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2.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belliroo/Downloads/"/>
    </mc:Choice>
  </mc:AlternateContent>
  <xr:revisionPtr revIDLastSave="0" documentId="8_{0D7E9794-87E0-9040-9436-C66E59D0E3F6}" xr6:coauthVersionLast="47" xr6:coauthVersionMax="47" xr10:uidLastSave="{00000000-0000-0000-0000-000000000000}"/>
  <bookViews>
    <workbookView xWindow="0" yWindow="600" windowWidth="38400" windowHeight="19820" tabRatio="871" xr2:uid="{EC63F7E8-5196-4CFB-9AD9-127B0158C165}"/>
  </bookViews>
  <sheets>
    <sheet name="START PAGE" sheetId="1" r:id="rId1"/>
    <sheet name="Definitions" sheetId="2" r:id="rId2"/>
    <sheet name="APMs calculated" sheetId="3" r:id="rId3"/>
    <sheet name="Income statement" sheetId="4" r:id="rId4"/>
    <sheet name="Segments" sheetId="5" r:id="rId5"/>
    <sheet name="Geography" sheetId="6" r:id="rId6"/>
    <sheet name="Balance Sheet" sheetId="7" r:id="rId7"/>
    <sheet name="Cash flow" sheetId="8" r:id="rId8"/>
    <sheet name="Sales bridges" sheetId="9" r:id="rId9"/>
    <sheet name="Profit bridges" sheetId="10" r:id="rId10"/>
    <sheet name="Adjusted bridges" sheetId="11" r:id="rId11"/>
    <sheet name="Key figures" sheetId="12" r:id="rId12"/>
    <sheet name="ESG" sheetId="19" r:id="rId13"/>
    <sheet name="Large orders" sheetId="14" r:id="rId14"/>
    <sheet name="OIB" sheetId="15" r:id="rId15"/>
    <sheet name="M&amp;A" sheetId="16" r:id="rId16"/>
    <sheet name="Segments (Old)" sheetId="17" r:id="rId17"/>
    <sheet name="Atlas Copco (Old)" sheetId="18" r:id="rId18"/>
  </sheets>
  <externalReferences>
    <externalReference r:id="rId19"/>
    <externalReference r:id="rId20"/>
    <externalReference r:id="rId21"/>
    <externalReference r:id="rId22"/>
  </externalReferences>
  <definedNames>
    <definedName name="_1_390__1_422">#REF!</definedName>
    <definedName name="_xlnm._FilterDatabase" localSheetId="4">Segments!$A$72:$F$74</definedName>
    <definedName name="_xlnm._FilterDatabase" localSheetId="16">'Segments (Old)'!$A$60:$F$63</definedName>
    <definedName name="Act_R12_Year">#REF!</definedName>
    <definedName name="ActAckPer">#REF!</definedName>
    <definedName name="ActAckPerR12">#REF!</definedName>
    <definedName name="ActFullYear">#REF!</definedName>
    <definedName name="ActFullYear_m1Y">#REF!</definedName>
    <definedName name="ActFullYearM">#REF!</definedName>
    <definedName name="ActFullYearM_1Y">#REF!</definedName>
    <definedName name="ActHYear">#REF!</definedName>
    <definedName name="ActHYear_m1Y">#REF!</definedName>
    <definedName name="ActMon">#REF!</definedName>
    <definedName name="ActMonth">#REF!</definedName>
    <definedName name="ActPer">#REF!</definedName>
    <definedName name="ActPer_nMonth">#REF!</definedName>
    <definedName name="ActPer_noMonth">#REF!</definedName>
    <definedName name="ActPerY">#REF!</definedName>
    <definedName name="ActPerYear">#REF!</definedName>
    <definedName name="ActQ" localSheetId="12">'[1]Period Admin'!$J$10</definedName>
    <definedName name="ActQ">#REF!</definedName>
    <definedName name="ActQ_Y">#REF!</definedName>
    <definedName name="ActQ_Year">#REF!</definedName>
    <definedName name="ActQBrDate">#REF!</definedName>
    <definedName name="ActQBrDateR12">#REF!</definedName>
    <definedName name="ActQBrDateR12Slut">#REF!</definedName>
    <definedName name="ActQBrDateR12Start">#REF!</definedName>
    <definedName name="ActQBrDateY">#REF!</definedName>
    <definedName name="ActQBrDateYear">#REF!</definedName>
    <definedName name="ActQBrMDay">#REF!</definedName>
    <definedName name="ActQn" localSheetId="12">'[2]Period Admin'!$J$9</definedName>
    <definedName name="ActQn">#REF!</definedName>
    <definedName name="ActQn_Y">#REF!</definedName>
    <definedName name="ActQn_Year">#REF!</definedName>
    <definedName name="ActY">#REF!</definedName>
    <definedName name="ActY_m10Y">#REF!</definedName>
    <definedName name="ActY_m1Y">#REF!</definedName>
    <definedName name="ActY_m2Y">#REF!</definedName>
    <definedName name="ActY_m3Y">#REF!</definedName>
    <definedName name="ActY_m4Y">#REF!</definedName>
    <definedName name="ActY_m5Y">#REF!</definedName>
    <definedName name="ActY_m6Y">#REF!</definedName>
    <definedName name="ActY_m7Y">#REF!</definedName>
    <definedName name="ActY_m8Y">#REF!</definedName>
    <definedName name="ActY_m9Y">#REF!</definedName>
    <definedName name="ActYear" localSheetId="12">'[2]Period Admin'!$D$8</definedName>
    <definedName name="ActYear">#REF!</definedName>
    <definedName name="ActYear_m10Y">#REF!</definedName>
    <definedName name="ActYear_m1Y">#REF!</definedName>
    <definedName name="ActYear_m2Y">#REF!</definedName>
    <definedName name="ActYear_m3Y">#REF!</definedName>
    <definedName name="ActYear_m4Y">#REF!</definedName>
    <definedName name="ActYear_m5Y">#REF!</definedName>
    <definedName name="ActYear_m6Y">#REF!</definedName>
    <definedName name="ActYear_m7Y">#REF!</definedName>
    <definedName name="ActYear_m8Y">#REF!</definedName>
    <definedName name="ActYear_m9Y">#REF!</definedName>
    <definedName name="ActYearMonth">#REF!</definedName>
    <definedName name="Adm_ActiveSheet">#REF!</definedName>
    <definedName name="AdmPeriod">#REF!</definedName>
    <definedName name="AR_ActQ_Year">#REF!</definedName>
    <definedName name="Available">'[3]Data Validation Lists'!$F$2:$F$4</definedName>
    <definedName name="Base_HelpURL">#REF!</definedName>
    <definedName name="BR_Dat_Txt_Slut">#REF!</definedName>
    <definedName name="BR_Dat_Txt_Slut_1Y">#REF!</definedName>
    <definedName name="BR_Dat_Txt_Start">#REF!</definedName>
    <definedName name="BR_Dat_Txt_Start_1Y">#REF!</definedName>
    <definedName name="CCO2ETR19">#REF!</definedName>
    <definedName name="CCO2ETRY">#REF!</definedName>
    <definedName name="ChartLabels">OFFSET([0]!ChartData,-1,0)</definedName>
    <definedName name="ClientName">#REF!</definedName>
    <definedName name="CO2ETR">#REF!</definedName>
    <definedName name="CO2ETRLY">#REF!</definedName>
    <definedName name="Code">#REF!</definedName>
    <definedName name="Data_complex">[3]!Data_complexity[Data Complexity]</definedName>
    <definedName name="Data_conf">[3]!Data_confidence_values[Data Confidence]</definedName>
    <definedName name="DevMode">#REF!</definedName>
    <definedName name="Diagram_Help">#REF!</definedName>
    <definedName name="EBITDA_and_Net_Debt__EBITDA">#REF!</definedName>
    <definedName name="EBITDA_margin">#REF!</definedName>
    <definedName name="Empty">[3]!Non_disclosure_value[Non-disclosure value]</definedName>
    <definedName name="EnableRetrieve">#REF!</definedName>
    <definedName name="EPMWorkbookOptions_1">"nzAAAB+LCAAAAAAABADtm21vokoUx99vst/B+F6efWqoG4r4cC8KAWy32zRmgFHJInAHrO23vyM+oti1rduINWkTMvOfMzM/zpwzwMj/eB67uSeIQsf3rvM0QeVz0LN82/GG1/lJNCjQpfyP2vdv/J2Pfpu+/1sJIiwNc7idF149h/Z1fhRFwRVJTqdTYsoSPhqSDEXR5M+OrFsjOAb5ldj5s7jgeGEEPAvmca+5HC/6ngetWZ+GL04Qgl50"</definedName>
    <definedName name="EPMWorkbookOptions_2">"68BpXJmoroMILEpxeReM4bzbVZcRHAcT5MR99kKIVAQHENuzIIGnka/1G2qnf6OK3Tua6j8sGsGADkGAWAKOISCGyJ8EBIhcEFp+YPmE5Y+vOI5lyiRWkWZgkY/9h6aq96XubVtTuh2pa+CSG61db0r4YgDcED7y5Gx468EKQeA6FtgAe/CglzaSVjaKFyxq8yFs9TxHuKaaI/dWtRzbhl7dGUMvjMe5X7oeY5jQYJU+8qcrG6Lv+qgWoQnk"</definedName>
    <definedName name="EPMWorkbookOptions_3">"yZSK15rGs0hpuTO7RUPsJhF8jhrgyUdOhMcV34h54526rfYtZzhy8X+kQxe7GrRbDkQAWSNnbedVzQHjaTgojDYmlF6/ZWg16/3AD1Vt6nqe898ExiRFwZCainbPk2m1rxmZ30IcPYoUzVboDQNpNzduqyAbohrFk/OLVOth4IIXFfkBRNFLDcCqWa1y1YJtmmyBK9KVgjkogwIo2axZZYsMM7BnPSdbpRiWQbi6cx04NnE8TJElvTxVgCXz"</definedName>
    <definedName name="EPMWorkbookOptions_4">"9huYHpYUH4kH/CeIRk+QcQzYEe4xuHSll7U0h0Pplee41/mZy+S31uLrN/Wwtjz5p6kegwV7r6my0L3AmMG41wxBa0pG1mnw5CHLaSMi/LXwVRcMQdfEZep7bwyjKK5CUYeHMPoNIYwulooDaA4KxZLNFThmUC1UihAWKAAZzjbLXNlkTyCEJUhiX1UFDe9sWjS+bHfVnrGouHhu2jDf4bkYbtt4f9pl2WKR47jDXZY5v6w7R5j0VaH+T1zc"</definedName>
    <definedName name="EPMWorkbookOptions_5">"lvAOXcy6ux6TjKTix5ULkQ0istQUZFHp6hcocygMvmxqqiS3O5fFk3AVTAVHljOAcjoJsCErdx/ct5XKNFWplA9Pguz57dvWGJMee9NslKtU1t31+FR+UlTmqZzOIla0ptBt/xKMttL9yONXqcSyb3j+4s5vHW+STPqsLtWz7rDHhyLI8hlk4+NzEVtfdje7H4pWz/wrt+ND6Wh9vKXNOpfTSYUffwv55i8pxfNLg+lvIC8vH4/sq6oh9jSM"</definedName>
    <definedName name="EPMWorkbookOptions_6">"V/zMD3+lM3TXNcj5Jx5d+jfrbno0FvKX3Z/toJB6WtZZnE70Mtqdz8yy5fMLWzOCyQzLUAxF0EzWnfSYQOjyBUgSSJWg6AuQBJCLhyRiCH0GQE4n0XUkQe9pkv6Jya5yfsluSXFxBsv4sm9TkyDYTtY5HHGhHiBKjCZdxJNpJ7QTpUs5trZ7rn2zcPcsPK/BAYLhSPGUAHrLc8nJwlgnuhCgmVHF08ETXCq3i2Pt8tA/Xp5RjHGp3q1I6qf2"</definedName>
    <definedName name="EPMWorkbookOptions_7">"4q7x7fAWIAeYLuxANFxb2Cn//m1tdvEjg9r/95TvW58wAAA="</definedName>
    <definedName name="EV__LASTREFTIME__">41869.341099537</definedName>
    <definedName name="Fair_value_of_acquired_assets_and_liabilities_2022__MSEK">#REF!</definedName>
    <definedName name="FullYear">#REF!</definedName>
    <definedName name="FullYearBrDate">#REF!</definedName>
    <definedName name="FullYearBrDate_1Y">#REF!</definedName>
    <definedName name="FullYearBrDate_2Y">#REF!</definedName>
    <definedName name="FullYearBrDate_3Y">#REF!</definedName>
    <definedName name="FullYearBrDay">#REF!</definedName>
    <definedName name="FullYearT">#REF!</definedName>
    <definedName name="FV_Acq_23">#REF!</definedName>
    <definedName name="GTrCode1">#REF!</definedName>
    <definedName name="GTrCode2">#REF!</definedName>
    <definedName name="GTrCode3">#REF!</definedName>
    <definedName name="GTrCode4">#REF!</definedName>
    <definedName name="HistoryColumn">#REF!</definedName>
    <definedName name="HistoryColumns">#REF!</definedName>
    <definedName name="HistoryStart">#REF!</definedName>
    <definedName name="HistoryStartYear">#REF!</definedName>
    <definedName name="HistoryStopYear">#REF!</definedName>
    <definedName name="IdxNt">#REF!</definedName>
    <definedName name="Immaterial_value">[3]!Immaterial[Immaterial Value]</definedName>
    <definedName name="Input_Help">#REF!</definedName>
    <definedName name="Interest_coverage_ratio">'[4]Key Ratios - SEK'!#REF!</definedName>
    <definedName name="Language_Help">#REF!</definedName>
    <definedName name="Language1">#REF!</definedName>
    <definedName name="Language2">#REF!</definedName>
    <definedName name="Language3">#REF!</definedName>
    <definedName name="Language4">#REF!</definedName>
    <definedName name="Languages">#REF!</definedName>
    <definedName name="m1Q_AckPer">#REF!</definedName>
    <definedName name="m1Q_Mon">#REF!</definedName>
    <definedName name="m1Q_Per">#REF!</definedName>
    <definedName name="m1Q_PerY">#REF!</definedName>
    <definedName name="m1Q_PerYear">#REF!</definedName>
    <definedName name="m1Q_Q">#REF!</definedName>
    <definedName name="m1Q_Q_Y">#REF!</definedName>
    <definedName name="m1Q_Q_Year">#REF!</definedName>
    <definedName name="m1Q_QBrDate">#REF!</definedName>
    <definedName name="m1Q_QBrDateY">#REF!</definedName>
    <definedName name="m1Q_QBrDateYear">#REF!</definedName>
    <definedName name="m1Q_QBrMDay">#REF!</definedName>
    <definedName name="m1Q_Qn">#REF!</definedName>
    <definedName name="m1Q_Qn_Y">#REF!</definedName>
    <definedName name="m1Q_Qn_Year">#REF!</definedName>
    <definedName name="m1Q_YearMonth">#REF!</definedName>
    <definedName name="m1Y_ActAckPer">#REF!</definedName>
    <definedName name="m1Y_ActMon">#REF!</definedName>
    <definedName name="m1Y_ActPer">#REF!</definedName>
    <definedName name="m1Y_ActPerY">#REF!</definedName>
    <definedName name="m1Y_ActPerYear">#REF!</definedName>
    <definedName name="m1Y_ActQ">#REF!</definedName>
    <definedName name="m1Y_ActQ_Y">#REF!</definedName>
    <definedName name="m1Y_ActQ_Year">#REF!</definedName>
    <definedName name="m1Y_ActQBrDate">#REF!</definedName>
    <definedName name="m1Y_ActQBrDateY">#REF!</definedName>
    <definedName name="m1Y_ActQBrDateYear">#REF!</definedName>
    <definedName name="m1Y_ActQBrMDay">#REF!</definedName>
    <definedName name="m1Y_ActQn">#REF!</definedName>
    <definedName name="m1Y_ActQn_Y">#REF!</definedName>
    <definedName name="m1Y_ActQn_Year">#REF!</definedName>
    <definedName name="m1Y_ActYearMonth">#REF!</definedName>
    <definedName name="m2Q_AckPer">#REF!</definedName>
    <definedName name="m2Q_Mon">#REF!</definedName>
    <definedName name="m2Q_Per">#REF!</definedName>
    <definedName name="m2Q_PerY">#REF!</definedName>
    <definedName name="m2Q_PerYear">#REF!</definedName>
    <definedName name="m2Q_Q">#REF!</definedName>
    <definedName name="m2Q_Q_Y">#REF!</definedName>
    <definedName name="m2Q_Q_Year">#REF!</definedName>
    <definedName name="m2Q_QBrDate">#REF!</definedName>
    <definedName name="m2Q_QBrDateY">#REF!</definedName>
    <definedName name="m2Q_QBrDateYear">#REF!</definedName>
    <definedName name="m2Q_QBrMDay">#REF!</definedName>
    <definedName name="m2Q_Qn">#REF!</definedName>
    <definedName name="m2Q_Qn_Y">#REF!</definedName>
    <definedName name="m2Q_Qn_Year">#REF!</definedName>
    <definedName name="m2Q_YearMonth">#REF!</definedName>
    <definedName name="m3Q_AckPer">#REF!</definedName>
    <definedName name="m3Q_Mon">#REF!</definedName>
    <definedName name="m3Q_Per">#REF!</definedName>
    <definedName name="m3Q_PerY">#REF!</definedName>
    <definedName name="m3Q_PerYear">#REF!</definedName>
    <definedName name="m3Q_Q">#REF!</definedName>
    <definedName name="m3Q_Q_Y">#REF!</definedName>
    <definedName name="m3Q_Q_Year">#REF!</definedName>
    <definedName name="m3Q_QBrDate">#REF!</definedName>
    <definedName name="m3Q_QBrDateY">#REF!</definedName>
    <definedName name="m3Q_QBrDateYear">#REF!</definedName>
    <definedName name="m3Q_QBrMDay">#REF!</definedName>
    <definedName name="m3Q_Qn">#REF!</definedName>
    <definedName name="m3Q_Qn_Y">#REF!</definedName>
    <definedName name="m3Q_Qn_Year">#REF!</definedName>
    <definedName name="m3Q_YearMonth">#REF!</definedName>
    <definedName name="m4Q_AckPer">#REF!</definedName>
    <definedName name="m4Q_Mon">#REF!</definedName>
    <definedName name="m4Q_Per">#REF!</definedName>
    <definedName name="m4Q_PerY">#REF!</definedName>
    <definedName name="m4Q_PerYear">#REF!</definedName>
    <definedName name="m4Q_Q">#REF!</definedName>
    <definedName name="m4Q_Q_Y">#REF!</definedName>
    <definedName name="m4Q_Q_Year">#REF!</definedName>
    <definedName name="m4Q_QBrDate">#REF!</definedName>
    <definedName name="m4Q_QBrDateY">#REF!</definedName>
    <definedName name="m4Q_QBrDateYear">#REF!</definedName>
    <definedName name="m4Q_QBrMDay">#REF!</definedName>
    <definedName name="m4Q_Qn">#REF!</definedName>
    <definedName name="m4Q_Qn_Y">#REF!</definedName>
    <definedName name="m4Q_Qn_Year">#REF!</definedName>
    <definedName name="m4Q_YearMonth">#REF!</definedName>
    <definedName name="m5Q_AckPer">#REF!</definedName>
    <definedName name="m5Q_Mon">#REF!</definedName>
    <definedName name="m5Q_Per">#REF!</definedName>
    <definedName name="m5Q_PerY">#REF!</definedName>
    <definedName name="m5Q_PerYear">#REF!</definedName>
    <definedName name="m5Q_Q">#REF!</definedName>
    <definedName name="m5Q_Q_Y">#REF!</definedName>
    <definedName name="m5Q_Q_Year">#REF!</definedName>
    <definedName name="m5Q_QBrDate">#REF!</definedName>
    <definedName name="m5Q_QBrDateY">#REF!</definedName>
    <definedName name="m5Q_QBrDateYear">#REF!</definedName>
    <definedName name="m5Q_QBrMDay">#REF!</definedName>
    <definedName name="m5Q_Qn">#REF!</definedName>
    <definedName name="m5Q_Qn_Y">#REF!</definedName>
    <definedName name="m5Q_Qn_Year">#REF!</definedName>
    <definedName name="m5Q_YearMonth">#REF!</definedName>
    <definedName name="m6Q_AckPer">#REF!</definedName>
    <definedName name="m6Q_Mon">#REF!</definedName>
    <definedName name="m6Q_Per">#REF!</definedName>
    <definedName name="m6Q_PerY">#REF!</definedName>
    <definedName name="m6Q_PerYear">#REF!</definedName>
    <definedName name="m6Q_Q">#REF!</definedName>
    <definedName name="m6Q_Q_Y">#REF!</definedName>
    <definedName name="m6Q_Q_Year">#REF!</definedName>
    <definedName name="m6Q_QBrDate">#REF!</definedName>
    <definedName name="m6Q_QBrDateY">#REF!</definedName>
    <definedName name="m6Q_QBrDateYear">#REF!</definedName>
    <definedName name="m6Q_QBrMDay">#REF!</definedName>
    <definedName name="m6Q_Qn">#REF!</definedName>
    <definedName name="m6Q_Qn_Y">#REF!</definedName>
    <definedName name="m6Q_Qn_Year">#REF!</definedName>
    <definedName name="m6Q_YearMonth">#REF!</definedName>
    <definedName name="m7Q_AckPer">#REF!</definedName>
    <definedName name="m7Q_Mon">#REF!</definedName>
    <definedName name="m7Q_Per">#REF!</definedName>
    <definedName name="m7Q_PerY">#REF!</definedName>
    <definedName name="m7Q_PerYear">#REF!</definedName>
    <definedName name="m7Q_Q">#REF!</definedName>
    <definedName name="m7Q_Q_Y">#REF!</definedName>
    <definedName name="m7Q_Q_Year">#REF!</definedName>
    <definedName name="m7Q_QBrDate">#REF!</definedName>
    <definedName name="m7Q_QBrDateY">#REF!</definedName>
    <definedName name="m7Q_QBrDateYear">#REF!</definedName>
    <definedName name="m7Q_QBrMDay">#REF!</definedName>
    <definedName name="m7Q_Qn">#REF!</definedName>
    <definedName name="m7Q_Qn_Y">#REF!</definedName>
    <definedName name="m7Q_Qn_Year">#REF!</definedName>
    <definedName name="m7Q_YearMonth">#REF!</definedName>
    <definedName name="m8Q_AckPer">#REF!</definedName>
    <definedName name="m8Q_Mon">#REF!</definedName>
    <definedName name="m8Q_Per">#REF!</definedName>
    <definedName name="m8Q_PerY">#REF!</definedName>
    <definedName name="m8Q_PerYear">#REF!</definedName>
    <definedName name="m8Q_Q">#REF!</definedName>
    <definedName name="m8Q_Q_Y">#REF!</definedName>
    <definedName name="m8Q_Q_Year">#REF!</definedName>
    <definedName name="m8Q_QBrDate">#REF!</definedName>
    <definedName name="m8Q_QBrDateY">#REF!</definedName>
    <definedName name="m8Q_QBrDateYear">#REF!</definedName>
    <definedName name="m8Q_QBrMDay">#REF!</definedName>
    <definedName name="m8Q_Qn">#REF!</definedName>
    <definedName name="m8Q_Qn_Y">#REF!</definedName>
    <definedName name="m8Q_Qn_Year">#REF!</definedName>
    <definedName name="m8Q_YearMonth">#REF!</definedName>
    <definedName name="m9Q_AckPer">#REF!</definedName>
    <definedName name="m9Q_Mon">#REF!</definedName>
    <definedName name="m9Q_Per">#REF!</definedName>
    <definedName name="m9Q_PerY">#REF!</definedName>
    <definedName name="m9Q_PerYear">#REF!</definedName>
    <definedName name="m9Q_Q">#REF!</definedName>
    <definedName name="m9Q_Q_Y">#REF!</definedName>
    <definedName name="m9Q_Q_Year">#REF!</definedName>
    <definedName name="m9Q_QBrDate">#REF!</definedName>
    <definedName name="m9Q_QBrDateY">#REF!</definedName>
    <definedName name="m9Q_QBrDateYear">#REF!</definedName>
    <definedName name="m9Q_QBrMDay">#REF!</definedName>
    <definedName name="m9Q_Qn">#REF!</definedName>
    <definedName name="m9Q_Qn_Y">#REF!</definedName>
    <definedName name="m9Q_Qn_Year">#REF!</definedName>
    <definedName name="m9Q_YearMonth">#REF!</definedName>
    <definedName name="MtchNt">#REF!</definedName>
    <definedName name="Net_Debt___EBITDA">#REF!</definedName>
    <definedName name="Non_available_disc">[3]!Non_available_disclosure[Non-available disclosure value]</definedName>
    <definedName name="NumberFormat">#REF!</definedName>
    <definedName name="NumFormat_1_0Dec">#REF!</definedName>
    <definedName name="NumFormat_1_1Dec">#REF!</definedName>
    <definedName name="NumFormat_1_2Dec">#REF!</definedName>
    <definedName name="NumFormat_2_0Dec">#REF!</definedName>
    <definedName name="NumFormat_2_1Dec">#REF!</definedName>
    <definedName name="NumFormat_2_2Dec">#REF!</definedName>
    <definedName name="NumFormChanged">#REF!</definedName>
    <definedName name="PBI_Help">#REF!</definedName>
    <definedName name="_xlnm.Print_Area" localSheetId="2">'APMs calculated'!$A$1:$AH$123</definedName>
    <definedName name="_xlnm.Print_Area" localSheetId="17">'Atlas Copco (Old)'!$A$1:$AC$28</definedName>
    <definedName name="_xlnm.Print_Area" localSheetId="6">'Balance Sheet'!$A$1:$AL$37</definedName>
    <definedName name="_xlnm.Print_Area" localSheetId="7">'Cash flow'!$A$1:$AL$50</definedName>
    <definedName name="_xlnm.Print_Area" localSheetId="1">Definitions!$A$1:$C$38</definedName>
    <definedName name="_xlnm.Print_Area" localSheetId="12">ESG!$A$1:$I$91</definedName>
    <definedName name="_xlnm.Print_Area" localSheetId="5">Geography!$A$1:$AL$69</definedName>
    <definedName name="_xlnm.Print_Area" localSheetId="3">'Income statement'!$A$1:$AL$25</definedName>
    <definedName name="_xlnm.Print_Area" localSheetId="11">'Key figures'!$A$1:$AL$77</definedName>
    <definedName name="_xlnm.Print_Area" localSheetId="13">'Large orders'!$A$1:$R$71</definedName>
    <definedName name="_xlnm.Print_Area" localSheetId="15">'M&amp;A'!$A$1:$H$60</definedName>
    <definedName name="_xlnm.Print_Area" localSheetId="14">OIB!$A$1:$F$30</definedName>
    <definedName name="_xlnm.Print_Area" localSheetId="9">'Profit bridges'!$A$1:$BL$34</definedName>
    <definedName name="_xlnm.Print_Area" localSheetId="8">'Sales bridges'!$A$1:$AH$99</definedName>
    <definedName name="_xlnm.Print_Area" localSheetId="4">Segments!$A$1:$AL$116</definedName>
    <definedName name="_xlnm.Print_Area" localSheetId="16">'Segments (Old)'!$A$1:$AL$95</definedName>
    <definedName name="_xlnm.Print_Area" localSheetId="0">'START PAGE'!$A$1:$I$26</definedName>
    <definedName name="Publish_Help">#REF!</definedName>
    <definedName name="Q_No">#REF!</definedName>
    <definedName name="Q1_Months">#REF!</definedName>
    <definedName name="Q2_Months">#REF!</definedName>
    <definedName name="Q3_Months">#REF!</definedName>
    <definedName name="Q4_Months">#REF!</definedName>
    <definedName name="QTool_Help">#REF!</definedName>
    <definedName name="QTool_Version">#REF!</definedName>
    <definedName name="QuarterT">#REF!</definedName>
    <definedName name="Report_Type">#REF!</definedName>
    <definedName name="Retrieve_Act">#REF!</definedName>
    <definedName name="Retrieve_Act_Ack">#REF!</definedName>
    <definedName name="Retrieve_m1Q">#REF!</definedName>
    <definedName name="Retrieve_m1Q_Ack">#REF!</definedName>
    <definedName name="Retrieve_m2Q">#REF!</definedName>
    <definedName name="Retrieve_m2Q_Ack">#REF!</definedName>
    <definedName name="Retrieve_m3Q">#REF!</definedName>
    <definedName name="Retrieve_m3Q_Ack">#REF!</definedName>
    <definedName name="Retrieve_m4Q">#REF!</definedName>
    <definedName name="Retrieve_m4Q_Ack">#REF!</definedName>
    <definedName name="Retrieve_m5Q">#REF!</definedName>
    <definedName name="Retrieve_m5Q_Ack">#REF!</definedName>
    <definedName name="Retrieve_m6Q">#REF!</definedName>
    <definedName name="Retrieve_m6Q_Ack">#REF!</definedName>
    <definedName name="Retrieve_m7Q">#REF!</definedName>
    <definedName name="Retrieve_m7Q_Ack">#REF!</definedName>
    <definedName name="Retrieve_m8Q">#REF!</definedName>
    <definedName name="Retrieve_m8Q_Ack">#REF!</definedName>
    <definedName name="Retrieve_m9Q">#REF!</definedName>
    <definedName name="Retrieve_m9Q_Ack">#REF!</definedName>
    <definedName name="Retrieve_PY_Act">#REF!</definedName>
    <definedName name="Retrieve_PY_Full">#REF!</definedName>
    <definedName name="rngFolderPath">#REF!</definedName>
    <definedName name="rngShName">#REF!</definedName>
    <definedName name="rngTblName">#REF!</definedName>
    <definedName name="rngWebAPM">#REF!</definedName>
    <definedName name="rngWebBS">#REF!</definedName>
    <definedName name="rngWebCF">#REF!</definedName>
    <definedName name="rngWebGeo">#REF!</definedName>
    <definedName name="rngWebIS">#REF!</definedName>
    <definedName name="rngWebKeyFig">#REF!</definedName>
    <definedName name="rngWebProfBridge">#REF!</definedName>
    <definedName name="rngWebSalesBridge">#REF!</definedName>
    <definedName name="rngWebSegments">#REF!</definedName>
    <definedName name="RowHeightIdx">#REF!</definedName>
    <definedName name="SaveHistory">#REF!</definedName>
    <definedName name="Sel_Lang">#REF!</definedName>
    <definedName name="Sel_Quarter">#REF!</definedName>
    <definedName name="Sel_Year">#REF!</definedName>
    <definedName name="SelAdmOrg">#REF!</definedName>
    <definedName name="SelDia">#REF!</definedName>
    <definedName name="SelectIdx">#REF!</definedName>
    <definedName name="Selinmatning">#REF!</definedName>
    <definedName name="SelLngNo">#REF!</definedName>
    <definedName name="SelMal">#REF!</definedName>
    <definedName name="SelPubl">#REF!</definedName>
    <definedName name="SelTxtdata">#REF!</definedName>
    <definedName name="Sensitivity">[3]!Sensitivity_values[Sensitivity]</definedName>
    <definedName name="shAPM">#REF!</definedName>
    <definedName name="shIS">#REF!</definedName>
    <definedName name="shKeyFig">#REF!</definedName>
    <definedName name="ShowHistoryTools">#REF!</definedName>
    <definedName name="shSegm">#REF!</definedName>
    <definedName name="smpy">#REF!</definedName>
    <definedName name="TblTyp">#REF!</definedName>
    <definedName name="ThsSep">#REF!</definedName>
    <definedName name="Txt_R12">#REF!</definedName>
    <definedName name="Unit">#REF!</definedName>
    <definedName name="Wd_Sidft_Txt_1">#REF!</definedName>
    <definedName name="whereof_RCT">#REF!</definedName>
    <definedName name="XL_Tbl_FVaCQ2023">#REF!</definedName>
    <definedName name="XL_Tbl_FvAcq23">#REF!</definedName>
    <definedName name="XL_Var_Geo_test_P_1">#REF!</definedName>
    <definedName name="XL_Var_Geo_test_P_2">#REF!</definedName>
    <definedName name="XL_Var_Geo_test_P_3">#REF!</definedName>
    <definedName name="XL_Var_Geo_test_P_4">#REF!</definedName>
    <definedName name="XL_Var_KeyFigFull2022">#REF!</definedName>
    <definedName name="XL_Var_KeyFigFullQ122">#REF!</definedName>
    <definedName name="XL_Var_SB_Group">#REF!</definedName>
    <definedName name="XL_Var_SB_TA">#REF!</definedName>
    <definedName name="XL_Var_Tbl_Acq2021">#REF!</definedName>
    <definedName name="XL_Var_Tbl_Acquisitions">#REF!</definedName>
    <definedName name="XL_Var_Tbl_APM_1">#REF!</definedName>
    <definedName name="XL_Var_Tbl_APM_10">#REF!</definedName>
    <definedName name="XL_Var_Tbl_APM_11">#REF!</definedName>
    <definedName name="XL_Var_Tbl_APM_12">#REF!</definedName>
    <definedName name="XL_Var_Tbl_APM_13">#REF!</definedName>
    <definedName name="XL_Var_Tbl_APM_14">#REF!</definedName>
    <definedName name="XL_Var_Tbl_APM_16">#REF!</definedName>
    <definedName name="XL_Var_Tbl_APM_17">#REF!</definedName>
    <definedName name="XL_Var_Tbl_APM_2">#REF!</definedName>
    <definedName name="XL_Var_Tbl_APM_3">#REF!</definedName>
    <definedName name="XL_Var_Tbl_APM_4">#REF!</definedName>
    <definedName name="XL_Var_Tbl_APM_5">#REF!</definedName>
    <definedName name="XL_Var_Tbl_APM_6">#REF!</definedName>
    <definedName name="XL_Var_Tbl_APM_7">#REF!</definedName>
    <definedName name="XL_Var_Tbl_APM_8">#REF!</definedName>
    <definedName name="XL_Var_Tbl_APM_9">#REF!</definedName>
    <definedName name="XL_Var_Tbl_APMs">#REF!</definedName>
    <definedName name="XL_Var_Tbl_BS_ASSETS">#REF!</definedName>
    <definedName name="XL_Var_Tbl_BS_EQ">#REF!</definedName>
    <definedName name="XL_Var_Tbl_BS_New">#REF!</definedName>
    <definedName name="XL_Var_Tbl_BS_P">#REF!</definedName>
    <definedName name="XL_Var_Tbl_BS_P_n">#REF!</definedName>
    <definedName name="XL_Var_Tbl_Cash_flow_full">#REF!</definedName>
    <definedName name="XL_Var_Tbl_CF">#REF!</definedName>
    <definedName name="XL_Var_Tbl_CF_Op_CF">#REF!</definedName>
    <definedName name="XL_Var_Tbl_Comp_Inc">#REF!</definedName>
    <definedName name="XL_Var_Tbl_CompInc_New">#REF!</definedName>
    <definedName name="XL_Var_Tbl_Derivatives">#REF!</definedName>
    <definedName name="XL_Var_Tbl_Equity">#REF!</definedName>
    <definedName name="XL_Var_Tbl_ESG">#REF!</definedName>
    <definedName name="XL_Var_Tbl_Geo_1">#REF!</definedName>
    <definedName name="XL_Var_Tbl_Geo_2">#REF!</definedName>
    <definedName name="XL_Var_Tbl_IS">#REF!</definedName>
    <definedName name="XL_Var_Tbl_IS_P">#REF!</definedName>
    <definedName name="XL_Var_Tbl_Key_Figures">#REF!</definedName>
    <definedName name="XL_Var_Tbl_Key_Figures_Short">#REF!</definedName>
    <definedName name="XL_Var_Tbl_Key_Figures_Short_ER">#REF!</definedName>
    <definedName name="XL_Var_Tbl_KeyRatios_IS">#REF!</definedName>
    <definedName name="XL_Var_Tbl_Orders_Revenue_ES">#REF!</definedName>
    <definedName name="XL_Var_Tbl_Orders_Revenue_Grp">#REF!</definedName>
    <definedName name="XL_Var_Tbl_Orders_Revenue_TA">#REF!</definedName>
    <definedName name="XL_Var_Tbl_Parent_BS">#REF!</definedName>
    <definedName name="XL_Var_Tbl_PB_YTD_New">#REF!</definedName>
    <definedName name="XL_Var_Tbl_Profit_Bridges_Q_ES">#REF!</definedName>
    <definedName name="XL_Var_Tbl_Profit_Bridges_Q_Grp_N">#REF!</definedName>
    <definedName name="XL_Var_Tbl_Profit_Bridges_Q_TA">#REF!</definedName>
    <definedName name="XL_Var_Tbl_Profit_Bridges_YTD_Grp">#REF!</definedName>
    <definedName name="XL_Var_Tbl_Profit_Bridges_YTD_TA">#REF!</definedName>
    <definedName name="XL_Var_Tbl_Sales_Bridges_Q_ES">#REF!</definedName>
    <definedName name="XL_Var_Tbl_Sales_Bridges_YTD_ES">#REF!</definedName>
    <definedName name="XL_Var_Tbl_Sales_Bridges_YTD_Grp">#REF!</definedName>
    <definedName name="XL_Var_Tbl_Sales_Bridges_YTD_TA">#REF!</definedName>
    <definedName name="XL_Var_Tbl_SBB">#REF!</definedName>
    <definedName name="XL_Var_Tbl_Segm_Q">#REF!</definedName>
    <definedName name="XL_Var_Tbl_Sign">#REF!</definedName>
    <definedName name="XL_Var_Tbl_sign_eng">#REF!</definedName>
    <definedName name="XL_Var_Tbl_sign_swe">#REF!</definedName>
    <definedName name="XL_Var_Txt_ACNWC">#REF!</definedName>
    <definedName name="XL_Var_Txt_CashPos">#REF!</definedName>
    <definedName name="XL_Var_Txt_CCNWC">#REF!</definedName>
    <definedName name="XL_Var_Txt_CCO2EOP19">#REF!</definedName>
    <definedName name="XL_Var_Txt_CCO2EOPY">#REF!</definedName>
    <definedName name="XL_Var_Txt_CCO2ETR19">#REF!</definedName>
    <definedName name="XL_Var_Txt_CCO2ETRY">#REF!</definedName>
    <definedName name="XL_VAR_txt_CCR12M">#REF!</definedName>
    <definedName name="XL_Var_Txt_CCU">#REF!</definedName>
    <definedName name="XL_Var_Txt_CFAQ">#REF!</definedName>
    <definedName name="XL_Var_Txt_CGAOP">#REF!</definedName>
    <definedName name="XL_Var_Txt_CO2C">#REF!</definedName>
    <definedName name="XL_Var_Txt_CO2EOP">#REF!</definedName>
    <definedName name="XL_Var_Txt_CO2EOPCC">#REF!</definedName>
    <definedName name="XL_Var_Txt_CO2EOPG">#REF!</definedName>
    <definedName name="XL_Var_Txt_CO2EOPLY">#REF!</definedName>
    <definedName name="XL_Var_Txt_CO2ETR">#REF!</definedName>
    <definedName name="XL_Var_Txt_CO2ETRG">#REF!</definedName>
    <definedName name="XL_Var_Txt_CO2ETRLY">#REF!</definedName>
    <definedName name="XL_Var_Txt_CO2T">#REF!</definedName>
    <definedName name="XL_Var_Txt_CO2TCOS">#REF!</definedName>
    <definedName name="XL_Var_Txt_COCF">#REF!</definedName>
    <definedName name="XL_Var_Txt_CWC">#REF!</definedName>
    <definedName name="XL_Var_Txt_DP">#REF!</definedName>
    <definedName name="XL_Var_Txt_ECOR">#REF!</definedName>
    <definedName name="XL_Var_Txt_ECREV">#REF!</definedName>
    <definedName name="XL_Var_Txt_EMP">#REF!</definedName>
    <definedName name="XL_Var_Txt_EOGOR">#REF!</definedName>
    <definedName name="XL_Var_Txt_EOGOR1">#REF!</definedName>
    <definedName name="XL_Var_Txt_EOR">#REF!</definedName>
    <definedName name="XL_Var_Txt_EOREV">#REF!</definedName>
    <definedName name="XL_Var_Txt_EOREV1">#REF!</definedName>
    <definedName name="XL_Var_Txt_ER">#REF!</definedName>
    <definedName name="XL_Var_Txt_ESAOM">#REF!</definedName>
    <definedName name="XL_Var_Txt_ESAOP">#REF!</definedName>
    <definedName name="XL_Var_Txt_ESBB">#REF!</definedName>
    <definedName name="XL_Var_Txt_ESCGOR">#REF!</definedName>
    <definedName name="XL_Var_Txt_ESCR">#REF!</definedName>
    <definedName name="XL_Var_Txt_ESE">#REF!</definedName>
    <definedName name="XL_Var_Txt_ESEQOREV">#REF!</definedName>
    <definedName name="XL_Var_Txt_ESIAC">#REF!</definedName>
    <definedName name="XL_Var_Txt_ESOGOR">#REF!</definedName>
    <definedName name="XL_Var_Txt_ESOGOR1">#REF!</definedName>
    <definedName name="XL_Var_Txt_ESOM">#REF!</definedName>
    <definedName name="XL_Var_Txt_ESOP">#REF!</definedName>
    <definedName name="XL_Var_Txt_ESOPC1">#REF!</definedName>
    <definedName name="XL_Var_Txt_ESOR">#REF!</definedName>
    <definedName name="XL_Var_Txt_ESOREV">#REF!</definedName>
    <definedName name="XL_Var_Txt_ESOREV1">#REF!</definedName>
    <definedName name="XL_Var_Txt_ESR">#REF!</definedName>
    <definedName name="XL_Var_Txt_ESREV">#REF!</definedName>
    <definedName name="XL_Var_Txt_ESSEOREV">#REF!</definedName>
    <definedName name="XL_Var_Txt_ESSGOR">#REF!</definedName>
    <definedName name="XL_Var_Txt_ESSOR">#REF!</definedName>
    <definedName name="XL_Var_Txt_ESSOREV">#REF!</definedName>
    <definedName name="XL_Var_Txt_ESSR">#REF!</definedName>
    <definedName name="XL_Var_Txt_ESTGOR">#REF!</definedName>
    <definedName name="XL_Var_Txt_ESTGOR1">#REF!</definedName>
    <definedName name="XL_Var_Txt_ESTGR">#REF!</definedName>
    <definedName name="XL_Var_Txt_ESTGR1">#REF!</definedName>
    <definedName name="XL_Var_Txt_ETGOR">#REF!</definedName>
    <definedName name="XL_Var_Txt_ETGR">#REF!</definedName>
    <definedName name="XL_Var_Txt_EXW">#REF!</definedName>
    <definedName name="XL_Var_Txt_GAMR">#REF!</definedName>
    <definedName name="XL_Var_Txt_GAOM">#REF!</definedName>
    <definedName name="XL_Var_Txt_GAOP">#REF!</definedName>
    <definedName name="XL_Var_Txt_GAOR">#REF!</definedName>
    <definedName name="XL_Var_Txt_GBB">#REF!</definedName>
    <definedName name="XL_Var_Txt_GBEPS">#REF!</definedName>
    <definedName name="XL_Var_Txt_GCOR">#REF!</definedName>
    <definedName name="XL_Var_Txt_GCREV">#REF!</definedName>
    <definedName name="XL_Var_Txt_GETR">#REF!</definedName>
    <definedName name="XL_Var_Txt_GIAC">#REF!</definedName>
    <definedName name="XL_Var_Txt_GIC">#REF!</definedName>
    <definedName name="XL_Var_Txt_GIN">#REF!</definedName>
    <definedName name="XL_Var_Txt_GITE">#REF!</definedName>
    <definedName name="XL_Var_Txt_GLTI">#REF!</definedName>
    <definedName name="XL_Var_Txt_GMC">#REF!</definedName>
    <definedName name="XL_Var_Txt_GMPBT">#REF!</definedName>
    <definedName name="XL_Var_Txt_GNFA">#REF!</definedName>
    <definedName name="XL_Var_Txt_GOCF">#REF!</definedName>
    <definedName name="XL_Var_Txt_GOCF1">#REF!</definedName>
    <definedName name="XL_Var_Txt_GOGOR">#REF!</definedName>
    <definedName name="XL_Var_Txt_GOGOReR">#REF!</definedName>
    <definedName name="XL_Var_Txt_GOM">#REF!</definedName>
    <definedName name="XL_Var_Txt_GOM1">#REF!</definedName>
    <definedName name="XL_Var_Txt_GOP">#REF!</definedName>
    <definedName name="XL_Var_Txt_GOP1">#REF!</definedName>
    <definedName name="XL_Var_Txt_GOPC1">#REF!</definedName>
    <definedName name="XL_Var_Txt_GOR">#REF!</definedName>
    <definedName name="XL_Var_Txt_GOR1">#REF!</definedName>
    <definedName name="XL_Var_Txt_GOR1eR">#REF!</definedName>
    <definedName name="XL_Var_Txt_GOReR">#REF!</definedName>
    <definedName name="XL_Var_Txt_GOREV">#REF!</definedName>
    <definedName name="XL_Var_Txt_GORieRUS">#REF!</definedName>
    <definedName name="XL_Var_Txt_GPBT">#REF!</definedName>
    <definedName name="XL_Var_Txt_GPFTP">#REF!</definedName>
    <definedName name="XL_Var_Txt_GR">#REF!</definedName>
    <definedName name="XL_Var_Txt_GR1">#REF!</definedName>
    <definedName name="XL_Var_Txt_GRNDYTD">#REF!</definedName>
    <definedName name="XL_Var_Txt_GSGOR">#REF!</definedName>
    <definedName name="XL_Var_Txt_GSOR">#REF!</definedName>
    <definedName name="XL_Var_Txt_GSREV">#REF!</definedName>
    <definedName name="XL_Var_Txt_GTGOR">#REF!</definedName>
    <definedName name="XL_Var_Txt_GTGOReR">#REF!</definedName>
    <definedName name="XL_Var_Txt_GTGR">#REF!</definedName>
    <definedName name="XL_Var_Txt_LTIFR">#REF!</definedName>
    <definedName name="XL_VAR_txt_M_AYTDCF">#REF!</definedName>
    <definedName name="XL_VAR_txt_M_AYTDGW">#REF!</definedName>
    <definedName name="XL_VAR_txt_M_AYTDIA">#REF!</definedName>
    <definedName name="XL_VAR_txt_M_AYTDP">#REF!</definedName>
    <definedName name="XL_VAR_txt_M_AYTDRev">#REF!</definedName>
    <definedName name="XL_Var_Txt_NCNWC">#REF!</definedName>
    <definedName name="XL_Var_Txt_ND">#REF!</definedName>
    <definedName name="XL_Var_Txt_NDE">#REF!</definedName>
    <definedName name="XL_Var_Txt_NWC">#REF!</definedName>
    <definedName name="XL_Var_Txt_NWCPRev">#REF!</definedName>
    <definedName name="XL_Var_Txt_OMWH">#REF!</definedName>
    <definedName name="XL_Var_Txt_OMWHC1">#REF!</definedName>
    <definedName name="XL_Var_Txt_RMWHCOS">#REF!</definedName>
    <definedName name="XL_Var_Txt_ROCE">#REF!</definedName>
    <definedName name="XL_Var_Txt_ROE">#REF!</definedName>
    <definedName name="XL_Var_Txt_SCOR">#REF!</definedName>
    <definedName name="XL_Var_Txt_SCREV">#REF!</definedName>
    <definedName name="XL_Var_Txt_SES">#REF!</definedName>
    <definedName name="XL_Var_Txt_SL">#REF!</definedName>
    <definedName name="XL_Var_Txt_SLLY">#REF!</definedName>
    <definedName name="XL_Var_Txt_SOGOR">#REF!</definedName>
    <definedName name="XL_Var_Txt_SOGOR1">#REF!</definedName>
    <definedName name="XL_Var_Txt_SOR">#REF!</definedName>
    <definedName name="XL_Var_Txt_SOREV">#REF!</definedName>
    <definedName name="XL_Var_Txt_SOREV1">#REF!</definedName>
    <definedName name="XL_Var_Txt_SREV">#REF!</definedName>
    <definedName name="XL_Var_Txt_SSOR">#REF!</definedName>
    <definedName name="XL_Var_Txt_SSREV">#REF!</definedName>
    <definedName name="XL_Var_Txt_STGOR">#REF!</definedName>
    <definedName name="XL_Var_Txt_STGREV">#REF!</definedName>
    <definedName name="XL_Var_Txt_TAAOM">#REF!</definedName>
    <definedName name="XL_Var_Txt_TAAOP">#REF!</definedName>
    <definedName name="XL_Var_Txt_TABB">#REF!</definedName>
    <definedName name="XL_Var_Txt_TACOR">#REF!</definedName>
    <definedName name="XL_Var_Txt_TACREV">#REF!</definedName>
    <definedName name="XL_Var_Txt_TAIAC">#REF!</definedName>
    <definedName name="XL_Var_Txt_TAOGOR">#REF!</definedName>
    <definedName name="XL_Var_Txt_TAOGOR1">#REF!</definedName>
    <definedName name="XL_Var_Txt_TAOM">#REF!</definedName>
    <definedName name="XL_Var_Txt_TAOP">#REF!</definedName>
    <definedName name="XL_Var_Txt_TAOPC1">#REF!</definedName>
    <definedName name="XL_Var_Txt_TAOR">#REF!</definedName>
    <definedName name="XL_Var_Txt_TAOREV">#REF!</definedName>
    <definedName name="XL_Var_Txt_TAOREV1">#REF!</definedName>
    <definedName name="XL_Var_Txt_TAREV">#REF!</definedName>
    <definedName name="XL_Var_Txt_TASGOR">#REF!</definedName>
    <definedName name="XL_Var_Txt_TASOR">#REF!</definedName>
    <definedName name="XL_Var_Txt_TASREV">#REF!</definedName>
    <definedName name="XL_Var_Txt_TATGOR">#REF!</definedName>
    <definedName name="XL_Var_Txt_TATGOR1">#REF!</definedName>
    <definedName name="XL_Var_Txt_TATGREV">#REF!</definedName>
    <definedName name="XL_Var_Txt_TATGREV1">#REF!</definedName>
    <definedName name="XL_Var_Txt_TCNWC">#REF!</definedName>
    <definedName name="XL_Var_Txt_TRIFR">#REF!</definedName>
    <definedName name="XL_Var_Txt_TRIFRLY">#REF!</definedName>
    <definedName name="XL_Var_Txt_WE">#REF!</definedName>
    <definedName name="XL_Var_Txt_WELY">#REF!</definedName>
    <definedName name="XL_Var_Txt_WM">#REF!</definedName>
    <definedName name="XL_Var_Txt_WMLY">#REF!</definedName>
    <definedName name="XL_VAR_Txt_YTDGAOM">#REF!</definedName>
    <definedName name="XL_VAR_Txt_YTDGBEPS">#REF!</definedName>
    <definedName name="XL_VAR_Txt_YTDGIAC">#REF!</definedName>
    <definedName name="XL_VAR_Txt_YTDGLTI">#REF!</definedName>
    <definedName name="XL_VAR_Txt_YTDGOCF">#REF!</definedName>
    <definedName name="XL_VAR_Txt_YTDGOGOR">#REF!</definedName>
    <definedName name="XL_VAR_Txt_YTDGOM">#REF!</definedName>
    <definedName name="XL_VAR_Txt_YTDGOP">#REF!</definedName>
    <definedName name="XL_VAR_Txt_YTDGOPC">#REF!</definedName>
    <definedName name="XL_VAR_Txt_YTDGOR">#REF!</definedName>
    <definedName name="XL_VAR_Txt_YTDGOREV">#REF!</definedName>
    <definedName name="XL_VAR_Txt_YTDGORtot">#REF!</definedName>
    <definedName name="XL_VAR_Txt_YTDGPBT">#REF!</definedName>
    <definedName name="XL_Var_Txt_YTDGPFT">#REF!</definedName>
    <definedName name="XL_VAR_Txt_YTDGR">#REF!</definedName>
    <definedName name="XL_VAR_Txt_YTDGRT">#REF!</definedName>
    <definedName name="XL_Var_XL_Tbl_Acq2021n">#REF!</definedName>
    <definedName name="XL_Var_XL_Tbl_AcqQ124">#REF!</definedName>
    <definedName name="XL_Var_XL_TbL_FVACQ">#REF!</definedName>
    <definedName name="XL_Var_XL_Tbl_FVACQ_SWE">#REF!</definedName>
    <definedName name="XL_Var_XL_Tbl_FVACW_SWE_new">#REF!</definedName>
    <definedName name="XL_Var_XL_Tbl_SBB">#REF!</definedName>
    <definedName name="XL_Var_XL_Tbl_SBB_2022">#REF!</definedName>
    <definedName name="XL_Var_XL_Tbl_YTD_Comb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4" l="1"/>
  <c r="I15" i="15"/>
  <c r="H113" i="19" l="1"/>
  <c r="G113" i="19"/>
  <c r="F113" i="19"/>
  <c r="E113" i="19"/>
  <c r="D113" i="19"/>
  <c r="C113" i="19"/>
  <c r="I111" i="19"/>
  <c r="H111" i="19"/>
  <c r="G111" i="19"/>
  <c r="F111" i="19"/>
  <c r="E111" i="19"/>
  <c r="D111" i="19"/>
  <c r="C111" i="19"/>
  <c r="I109" i="19"/>
  <c r="H109" i="19"/>
  <c r="G109" i="19"/>
  <c r="F109" i="19"/>
  <c r="E109" i="19"/>
  <c r="D109" i="19"/>
  <c r="C109" i="19"/>
  <c r="I107" i="19"/>
  <c r="H107" i="19"/>
  <c r="G107" i="19"/>
  <c r="F107" i="19"/>
  <c r="E107" i="19"/>
  <c r="D107" i="19"/>
  <c r="C107" i="19"/>
  <c r="D12" i="19"/>
  <c r="D7" i="19"/>
  <c r="K35" i="15"/>
  <c r="AW36" i="5" l="1"/>
  <c r="AW34" i="5"/>
  <c r="D174" i="11" l="1"/>
  <c r="D139" i="11"/>
  <c r="D159" i="11"/>
  <c r="D156" i="11"/>
  <c r="K66" i="6" l="1"/>
  <c r="K67" i="6"/>
  <c r="K68" i="6"/>
  <c r="K69" i="6"/>
  <c r="K65" i="6"/>
  <c r="L61" i="6"/>
  <c r="L114" i="6"/>
  <c r="L103" i="6"/>
  <c r="L149" i="6" s="1"/>
  <c r="L96" i="6"/>
  <c r="K86" i="6"/>
  <c r="L84" i="6"/>
  <c r="L73" i="6"/>
  <c r="L116" i="6" s="1"/>
  <c r="L160" i="6" l="1"/>
  <c r="L121" i="6"/>
  <c r="L139" i="6"/>
  <c r="L148" i="6"/>
  <c r="L157" i="6"/>
  <c r="L146" i="6"/>
  <c r="L122" i="6"/>
  <c r="L132" i="6"/>
  <c r="L140" i="6"/>
  <c r="L158" i="6"/>
  <c r="L145" i="6"/>
  <c r="L155" i="6"/>
  <c r="L124" i="6"/>
  <c r="L133" i="6"/>
  <c r="L141" i="6"/>
  <c r="L151" i="6"/>
  <c r="L159" i="6"/>
  <c r="L154" i="6"/>
  <c r="L128" i="6"/>
  <c r="L125" i="6"/>
  <c r="L134" i="6"/>
  <c r="L152" i="6"/>
  <c r="L126" i="6"/>
  <c r="L135" i="6"/>
  <c r="L144" i="6"/>
  <c r="L153" i="6"/>
  <c r="L137" i="6"/>
  <c r="L127" i="6"/>
  <c r="L136" i="6"/>
  <c r="L119" i="6"/>
  <c r="L120" i="6"/>
  <c r="L129" i="6"/>
  <c r="L138" i="6"/>
  <c r="L147" i="6"/>
  <c r="L156" i="6"/>
  <c r="L130" i="6"/>
  <c r="L142" i="6"/>
  <c r="H170" i="11"/>
  <c r="H152" i="11"/>
  <c r="H44" i="11"/>
  <c r="H31" i="11"/>
  <c r="H18" i="11"/>
  <c r="L25" i="5"/>
  <c r="L162" i="6" l="1"/>
  <c r="L69" i="6"/>
  <c r="L68" i="6"/>
  <c r="L67" i="6"/>
  <c r="L66" i="6"/>
  <c r="L65" i="6"/>
  <c r="L64" i="6"/>
  <c r="L62" i="6"/>
  <c r="L60" i="6"/>
  <c r="L59" i="6"/>
  <c r="L58" i="6"/>
  <c r="L57" i="6"/>
  <c r="L55" i="6"/>
  <c r="L54" i="6"/>
  <c r="L53" i="6"/>
  <c r="L52" i="6"/>
  <c r="L51" i="6"/>
  <c r="L50" i="6"/>
  <c r="L105" i="5"/>
  <c r="L104" i="5"/>
  <c r="L103" i="5"/>
  <c r="L99" i="5"/>
  <c r="L100" i="5" s="1"/>
  <c r="L96" i="5"/>
  <c r="L95" i="5"/>
  <c r="L94" i="5"/>
  <c r="L91" i="5"/>
  <c r="L90" i="5"/>
  <c r="L84" i="5"/>
  <c r="L85" i="5" s="1"/>
  <c r="L74" i="5"/>
  <c r="L73" i="5"/>
  <c r="L56" i="5"/>
  <c r="L55" i="5"/>
  <c r="L54" i="5"/>
  <c r="L88" i="5" l="1"/>
  <c r="L89" i="5"/>
  <c r="W126" i="11"/>
  <c r="W74" i="11"/>
  <c r="C29" i="15"/>
  <c r="D29" i="15"/>
  <c r="E29" i="15"/>
  <c r="F29" i="15"/>
  <c r="H29" i="15"/>
  <c r="J29" i="15"/>
  <c r="K18" i="15"/>
  <c r="K22" i="15" s="1"/>
  <c r="K29" i="15" s="1"/>
  <c r="K15" i="15"/>
  <c r="AC12" i="18"/>
  <c r="AB12" i="18"/>
  <c r="AA12" i="18"/>
  <c r="AC11" i="18"/>
  <c r="AD11" i="18" s="1"/>
  <c r="AB11" i="18"/>
  <c r="AA11" i="18"/>
  <c r="AC10" i="18"/>
  <c r="AD10" i="18" s="1"/>
  <c r="AB10" i="18"/>
  <c r="AA10" i="18"/>
  <c r="AC8" i="18"/>
  <c r="AB8" i="18"/>
  <c r="AA8" i="18"/>
  <c r="AC6" i="18"/>
  <c r="AB6" i="18"/>
  <c r="AA6" i="18"/>
  <c r="AC2" i="18"/>
  <c r="AB2" i="18"/>
  <c r="AA2" i="18"/>
  <c r="I91" i="17"/>
  <c r="G91" i="17"/>
  <c r="I90" i="17"/>
  <c r="G90" i="17"/>
  <c r="I89" i="17"/>
  <c r="G89" i="17"/>
  <c r="AD88" i="17"/>
  <c r="AC88" i="17"/>
  <c r="I87" i="17"/>
  <c r="I85" i="17"/>
  <c r="I84" i="17"/>
  <c r="AC81" i="17"/>
  <c r="I80" i="17"/>
  <c r="I76" i="17"/>
  <c r="I77" i="17" s="1"/>
  <c r="AC75" i="17"/>
  <c r="I74" i="17"/>
  <c r="AB71" i="17"/>
  <c r="AA71" i="17"/>
  <c r="Z71" i="17"/>
  <c r="Y71" i="17"/>
  <c r="X71" i="17"/>
  <c r="F71" i="17"/>
  <c r="W69" i="17"/>
  <c r="W71" i="17" s="1"/>
  <c r="AC68" i="17"/>
  <c r="I67" i="17"/>
  <c r="AC61" i="17"/>
  <c r="I60" i="17"/>
  <c r="AC54" i="17"/>
  <c r="I53" i="17"/>
  <c r="AC44" i="17"/>
  <c r="I43" i="17"/>
  <c r="AC37" i="17"/>
  <c r="I36" i="17"/>
  <c r="H33" i="17"/>
  <c r="H32" i="17"/>
  <c r="H31" i="17"/>
  <c r="H30" i="17"/>
  <c r="H29" i="17"/>
  <c r="H28" i="17"/>
  <c r="AC27" i="17"/>
  <c r="I26" i="17"/>
  <c r="H26" i="17"/>
  <c r="H22" i="17"/>
  <c r="I24" i="17" s="1"/>
  <c r="H21" i="17"/>
  <c r="H20" i="17"/>
  <c r="H63" i="17" s="1"/>
  <c r="H19" i="17"/>
  <c r="H18" i="17"/>
  <c r="H84" i="17" s="1"/>
  <c r="H17" i="17"/>
  <c r="AC16" i="17"/>
  <c r="H15" i="17"/>
  <c r="H12" i="17"/>
  <c r="H91" i="17" s="1"/>
  <c r="H11" i="17"/>
  <c r="H10" i="17"/>
  <c r="H90" i="17" s="1"/>
  <c r="H9" i="17"/>
  <c r="H8" i="17"/>
  <c r="H7" i="17"/>
  <c r="H89" i="17" s="1"/>
  <c r="AG22" i="16"/>
  <c r="AF22" i="16"/>
  <c r="AC22" i="16"/>
  <c r="AB22" i="16"/>
  <c r="AA22" i="16"/>
  <c r="Z22" i="16"/>
  <c r="Y22" i="16"/>
  <c r="X22" i="16"/>
  <c r="W22" i="16"/>
  <c r="V22" i="16"/>
  <c r="U22" i="16"/>
  <c r="T22" i="16"/>
  <c r="S22" i="16"/>
  <c r="AS21" i="16"/>
  <c r="AS20" i="16"/>
  <c r="AG20" i="16"/>
  <c r="AF20" i="16"/>
  <c r="AC20" i="16"/>
  <c r="AB20" i="16"/>
  <c r="AA20" i="16"/>
  <c r="Z20" i="16"/>
  <c r="Y20" i="16"/>
  <c r="X20" i="16"/>
  <c r="W20" i="16"/>
  <c r="V20" i="16"/>
  <c r="U20" i="16"/>
  <c r="T20" i="16"/>
  <c r="S20" i="16"/>
  <c r="AS19" i="16"/>
  <c r="AS18" i="16"/>
  <c r="AG18" i="16"/>
  <c r="AF18" i="16"/>
  <c r="AC18" i="16"/>
  <c r="AB18" i="16"/>
  <c r="AA18" i="16"/>
  <c r="Z18" i="16"/>
  <c r="Y18" i="16"/>
  <c r="X18" i="16"/>
  <c r="W18" i="16"/>
  <c r="V18" i="16"/>
  <c r="U18" i="16"/>
  <c r="T18" i="16"/>
  <c r="S18" i="16"/>
  <c r="AS16" i="16"/>
  <c r="AS15" i="16"/>
  <c r="AS14" i="16"/>
  <c r="AS13" i="16"/>
  <c r="AS12" i="16"/>
  <c r="AS11" i="16"/>
  <c r="AS10" i="16"/>
  <c r="AS9" i="16"/>
  <c r="AE9" i="16"/>
  <c r="Q9" i="16"/>
  <c r="P9" i="16"/>
  <c r="O9" i="16"/>
  <c r="N9" i="16"/>
  <c r="AS8" i="16"/>
  <c r="AG8" i="16"/>
  <c r="AF8" i="16"/>
  <c r="AC8" i="16"/>
  <c r="AB8" i="16"/>
  <c r="AA8" i="16"/>
  <c r="Z8" i="16"/>
  <c r="Y8" i="16"/>
  <c r="X8" i="16"/>
  <c r="W8" i="16"/>
  <c r="V8" i="16"/>
  <c r="U8" i="16"/>
  <c r="T8" i="16"/>
  <c r="S8" i="16"/>
  <c r="AS7" i="16"/>
  <c r="AG7" i="16"/>
  <c r="AF7" i="16"/>
  <c r="AS6" i="16"/>
  <c r="AC6" i="16"/>
  <c r="AB6" i="16"/>
  <c r="AA6" i="16"/>
  <c r="Z6" i="16"/>
  <c r="Y6" i="16"/>
  <c r="X6" i="16"/>
  <c r="W6" i="16"/>
  <c r="V6" i="16"/>
  <c r="U6" i="16"/>
  <c r="T6" i="16"/>
  <c r="S6" i="16"/>
  <c r="AS5" i="16"/>
  <c r="AS4" i="16"/>
  <c r="AK3" i="16"/>
  <c r="H52" i="15"/>
  <c r="F52" i="15"/>
  <c r="E52" i="15"/>
  <c r="D52" i="15"/>
  <c r="C52" i="15"/>
  <c r="B52" i="15"/>
  <c r="J35" i="15"/>
  <c r="H35" i="15"/>
  <c r="F35" i="15"/>
  <c r="G32" i="15"/>
  <c r="G33" i="15" s="1"/>
  <c r="G35" i="15" s="1"/>
  <c r="G39" i="15" s="1"/>
  <c r="G41" i="15" s="1"/>
  <c r="G43" i="15" s="1"/>
  <c r="I18" i="15"/>
  <c r="J15" i="15"/>
  <c r="J5" i="15"/>
  <c r="I5" i="15"/>
  <c r="H5" i="15"/>
  <c r="H13" i="15" s="1"/>
  <c r="F5" i="15"/>
  <c r="E5" i="15"/>
  <c r="D5" i="15"/>
  <c r="C5" i="15"/>
  <c r="B5" i="15"/>
  <c r="E54" i="14"/>
  <c r="E53" i="14"/>
  <c r="E51" i="14"/>
  <c r="E49" i="14"/>
  <c r="E45" i="14"/>
  <c r="E40" i="14"/>
  <c r="E35" i="14"/>
  <c r="E32" i="14"/>
  <c r="E28" i="14"/>
  <c r="E25" i="14"/>
  <c r="E22" i="14"/>
  <c r="E14" i="14"/>
  <c r="E12" i="14"/>
  <c r="C12" i="14"/>
  <c r="E10" i="14"/>
  <c r="K64" i="12"/>
  <c r="AS64" i="12" s="1"/>
  <c r="E64" i="12"/>
  <c r="AS63" i="12"/>
  <c r="Q30" i="12"/>
  <c r="P30" i="12"/>
  <c r="O30" i="12"/>
  <c r="N30" i="12"/>
  <c r="E28" i="12"/>
  <c r="AM27" i="12"/>
  <c r="AC22" i="12"/>
  <c r="AB22" i="12"/>
  <c r="AA22" i="12"/>
  <c r="Z22" i="12"/>
  <c r="Y22" i="12"/>
  <c r="X22" i="12"/>
  <c r="W22" i="12"/>
  <c r="V22" i="12"/>
  <c r="U22" i="12"/>
  <c r="T22" i="12"/>
  <c r="S22" i="12"/>
  <c r="R22" i="12"/>
  <c r="Q22" i="12"/>
  <c r="P22" i="12"/>
  <c r="O22" i="12"/>
  <c r="N22" i="12"/>
  <c r="G22" i="12"/>
  <c r="F22" i="12"/>
  <c r="E22" i="12"/>
  <c r="D22" i="12"/>
  <c r="C22" i="12"/>
  <c r="B22" i="12"/>
  <c r="AE18" i="12"/>
  <c r="AD18" i="12"/>
  <c r="AC18" i="12"/>
  <c r="AB18" i="12"/>
  <c r="AA18" i="12"/>
  <c r="Z18" i="12"/>
  <c r="Y18" i="12"/>
  <c r="X18" i="12"/>
  <c r="W18" i="12"/>
  <c r="V18" i="12"/>
  <c r="U18" i="12"/>
  <c r="T18" i="12"/>
  <c r="S18" i="12"/>
  <c r="R18" i="12"/>
  <c r="Q18" i="12"/>
  <c r="P18" i="12"/>
  <c r="O18" i="12"/>
  <c r="N18" i="12"/>
  <c r="G18" i="12"/>
  <c r="F18" i="12"/>
  <c r="E18" i="12"/>
  <c r="D18" i="12"/>
  <c r="C18" i="12"/>
  <c r="B18" i="12"/>
  <c r="AM6" i="12"/>
  <c r="AL6" i="12"/>
  <c r="K183" i="11"/>
  <c r="K182" i="11"/>
  <c r="K181" i="11"/>
  <c r="AA179" i="11"/>
  <c r="K179" i="11"/>
  <c r="AA178" i="11"/>
  <c r="K178" i="11"/>
  <c r="AA177" i="11"/>
  <c r="K177" i="11"/>
  <c r="AA176" i="11"/>
  <c r="K176" i="11"/>
  <c r="AA175" i="11"/>
  <c r="K175" i="11"/>
  <c r="AA174" i="11"/>
  <c r="K174" i="11"/>
  <c r="AA173" i="11"/>
  <c r="K173" i="11"/>
  <c r="AA172" i="11"/>
  <c r="K172" i="11"/>
  <c r="AA171" i="11"/>
  <c r="K171" i="11"/>
  <c r="AA170" i="11"/>
  <c r="K170" i="11"/>
  <c r="AA169" i="11"/>
  <c r="K169" i="11"/>
  <c r="AA168" i="11"/>
  <c r="K168" i="11"/>
  <c r="K165" i="11"/>
  <c r="K164" i="11"/>
  <c r="K163" i="11"/>
  <c r="AA161" i="11"/>
  <c r="K161" i="11"/>
  <c r="AA160" i="11"/>
  <c r="K160" i="11"/>
  <c r="AA159" i="11"/>
  <c r="K159" i="11"/>
  <c r="AA158" i="11"/>
  <c r="K158" i="11"/>
  <c r="AA157" i="11"/>
  <c r="K157" i="11"/>
  <c r="AA156" i="11"/>
  <c r="K156" i="11"/>
  <c r="AA155" i="11"/>
  <c r="K155" i="11"/>
  <c r="AJ154" i="11"/>
  <c r="AA154" i="11"/>
  <c r="K154" i="11"/>
  <c r="AA153" i="11"/>
  <c r="K153" i="11"/>
  <c r="AJ152" i="11"/>
  <c r="AA152" i="11"/>
  <c r="K152" i="11"/>
  <c r="AA151" i="11"/>
  <c r="K151" i="11"/>
  <c r="AA150" i="11"/>
  <c r="K150" i="11"/>
  <c r="K148" i="11"/>
  <c r="K147" i="11"/>
  <c r="K146" i="11"/>
  <c r="AA144" i="11"/>
  <c r="K144" i="11"/>
  <c r="AA143" i="11"/>
  <c r="K143" i="11"/>
  <c r="AA142" i="11"/>
  <c r="K142" i="11"/>
  <c r="AA141" i="11"/>
  <c r="K141" i="11"/>
  <c r="B141" i="11"/>
  <c r="AA140" i="11"/>
  <c r="K140" i="11"/>
  <c r="AA139" i="11"/>
  <c r="K139" i="11"/>
  <c r="AA138" i="11"/>
  <c r="K138" i="11"/>
  <c r="AA137" i="11"/>
  <c r="K137" i="11"/>
  <c r="AA136" i="11"/>
  <c r="K136" i="11"/>
  <c r="AA135" i="11"/>
  <c r="K135" i="11"/>
  <c r="AA134" i="11"/>
  <c r="K134" i="11"/>
  <c r="AA133" i="11"/>
  <c r="K133" i="11"/>
  <c r="AA131" i="11"/>
  <c r="K131" i="11"/>
  <c r="AA129" i="11"/>
  <c r="K129" i="11"/>
  <c r="AA128" i="11"/>
  <c r="K128" i="11"/>
  <c r="AA127" i="11"/>
  <c r="K127" i="11"/>
  <c r="AA126" i="11"/>
  <c r="K126" i="11"/>
  <c r="AA125" i="11"/>
  <c r="K125" i="11"/>
  <c r="AA124" i="11"/>
  <c r="K124" i="11"/>
  <c r="K123" i="11"/>
  <c r="AA122" i="11"/>
  <c r="K122" i="11"/>
  <c r="AA121" i="11"/>
  <c r="K121" i="11"/>
  <c r="AA120" i="11"/>
  <c r="K120" i="11"/>
  <c r="AA118" i="11"/>
  <c r="K118" i="11"/>
  <c r="AA116" i="11"/>
  <c r="K116" i="11"/>
  <c r="AA115" i="11"/>
  <c r="K115" i="11"/>
  <c r="AA114" i="11"/>
  <c r="K114" i="11"/>
  <c r="AA113" i="11"/>
  <c r="K113" i="11"/>
  <c r="AA112" i="11"/>
  <c r="K112" i="11"/>
  <c r="AA111" i="11"/>
  <c r="K111" i="11"/>
  <c r="K110" i="11"/>
  <c r="AA109" i="11"/>
  <c r="K109" i="11"/>
  <c r="AA108" i="11"/>
  <c r="K108" i="11"/>
  <c r="AA107" i="11"/>
  <c r="K107" i="11"/>
  <c r="AA105" i="11"/>
  <c r="K105" i="11"/>
  <c r="AA103" i="11"/>
  <c r="K103" i="11"/>
  <c r="AA102" i="11"/>
  <c r="K102" i="11"/>
  <c r="AA101" i="11"/>
  <c r="K101" i="11"/>
  <c r="AA100" i="11"/>
  <c r="K100" i="11"/>
  <c r="AA99" i="11"/>
  <c r="K99" i="11"/>
  <c r="AA98" i="11"/>
  <c r="K98" i="11"/>
  <c r="AA96" i="11"/>
  <c r="K96" i="11"/>
  <c r="AA95" i="11"/>
  <c r="K95" i="11"/>
  <c r="AA94" i="11"/>
  <c r="K94" i="11"/>
  <c r="AA92" i="11"/>
  <c r="K92" i="11"/>
  <c r="K91" i="11"/>
  <c r="AA90" i="11"/>
  <c r="K90" i="11"/>
  <c r="AA89" i="11"/>
  <c r="K89" i="11"/>
  <c r="AA88" i="11"/>
  <c r="K88" i="11"/>
  <c r="AA87" i="11"/>
  <c r="K87" i="11"/>
  <c r="AA86" i="11"/>
  <c r="K86" i="11"/>
  <c r="AA85" i="11"/>
  <c r="K85" i="11"/>
  <c r="AA83" i="11"/>
  <c r="K83" i="11"/>
  <c r="AA82" i="11"/>
  <c r="K82" i="11"/>
  <c r="AA81" i="11"/>
  <c r="K81" i="11"/>
  <c r="AA79" i="11"/>
  <c r="K79" i="11"/>
  <c r="AA77" i="11"/>
  <c r="K77" i="11"/>
  <c r="AA76" i="11"/>
  <c r="K76" i="11"/>
  <c r="AA75" i="11"/>
  <c r="K75" i="11"/>
  <c r="AA74" i="11"/>
  <c r="K74" i="11"/>
  <c r="AA73" i="11"/>
  <c r="K73" i="11"/>
  <c r="AA72" i="11"/>
  <c r="K72" i="11"/>
  <c r="K71" i="11"/>
  <c r="AA70" i="11"/>
  <c r="K70" i="11"/>
  <c r="AA69" i="11"/>
  <c r="K69" i="11"/>
  <c r="AA68" i="11"/>
  <c r="K68" i="11"/>
  <c r="AA66" i="11"/>
  <c r="K66" i="11"/>
  <c r="AA65" i="11"/>
  <c r="K65" i="11"/>
  <c r="AA64" i="11"/>
  <c r="K64" i="11"/>
  <c r="AA63" i="11"/>
  <c r="K63" i="11"/>
  <c r="AA62" i="11"/>
  <c r="K62" i="11"/>
  <c r="AA61" i="11"/>
  <c r="K61" i="11"/>
  <c r="AA60" i="11"/>
  <c r="K60" i="11"/>
  <c r="AA59" i="11"/>
  <c r="K59" i="11"/>
  <c r="AA58" i="11"/>
  <c r="K58" i="11"/>
  <c r="AA57" i="11"/>
  <c r="K57" i="11"/>
  <c r="AA56" i="11"/>
  <c r="K56" i="11"/>
  <c r="AA55" i="11"/>
  <c r="K55" i="11"/>
  <c r="AA53" i="11"/>
  <c r="K53" i="11"/>
  <c r="AA52" i="11"/>
  <c r="K52" i="11"/>
  <c r="AA51" i="11"/>
  <c r="K51" i="11"/>
  <c r="AA50" i="11"/>
  <c r="K50" i="11"/>
  <c r="AA49" i="11"/>
  <c r="K49" i="11"/>
  <c r="AA48" i="11"/>
  <c r="K48" i="11"/>
  <c r="AA47" i="11"/>
  <c r="K47" i="11"/>
  <c r="AA46" i="11"/>
  <c r="K46" i="11"/>
  <c r="AA45" i="11"/>
  <c r="K45" i="11"/>
  <c r="AA44" i="11"/>
  <c r="K44" i="11"/>
  <c r="AA43" i="11"/>
  <c r="K43" i="11"/>
  <c r="AA42" i="11"/>
  <c r="K42" i="11"/>
  <c r="AA40" i="11"/>
  <c r="K40" i="11"/>
  <c r="AA39" i="11"/>
  <c r="K39" i="11"/>
  <c r="AA38" i="11"/>
  <c r="K38" i="11"/>
  <c r="AA37" i="11"/>
  <c r="K37" i="11"/>
  <c r="AA36" i="11"/>
  <c r="K36" i="11"/>
  <c r="AA35" i="11"/>
  <c r="K35" i="11"/>
  <c r="AA34" i="11"/>
  <c r="K34" i="11"/>
  <c r="AA33" i="11"/>
  <c r="K33" i="11"/>
  <c r="AA32" i="11"/>
  <c r="K32" i="11"/>
  <c r="AA31" i="11"/>
  <c r="K31" i="11"/>
  <c r="AA30" i="11"/>
  <c r="K30" i="11"/>
  <c r="AA29" i="11"/>
  <c r="K29" i="11"/>
  <c r="AA27" i="11"/>
  <c r="K27" i="11"/>
  <c r="B27" i="11"/>
  <c r="AA26" i="11"/>
  <c r="K26" i="11"/>
  <c r="AA25" i="11"/>
  <c r="K25" i="11"/>
  <c r="AA24" i="11"/>
  <c r="K24" i="11"/>
  <c r="AA23" i="11"/>
  <c r="K23" i="11"/>
  <c r="AA22" i="11"/>
  <c r="K22" i="11"/>
  <c r="AA21" i="11"/>
  <c r="K21" i="11"/>
  <c r="AA20" i="11"/>
  <c r="K20" i="11"/>
  <c r="AA19" i="11"/>
  <c r="K19" i="11"/>
  <c r="AA18" i="11"/>
  <c r="K18" i="11"/>
  <c r="AA17" i="11"/>
  <c r="K17" i="11"/>
  <c r="AA16" i="11"/>
  <c r="K16" i="11"/>
  <c r="AA14" i="11"/>
  <c r="K14" i="11"/>
  <c r="AA13" i="11"/>
  <c r="K13" i="11"/>
  <c r="AA12" i="11"/>
  <c r="K12" i="11"/>
  <c r="AA11" i="11"/>
  <c r="K11" i="11"/>
  <c r="AA10" i="11"/>
  <c r="K10" i="11"/>
  <c r="AA9" i="11"/>
  <c r="K9" i="11"/>
  <c r="AA8" i="11"/>
  <c r="K8" i="11"/>
  <c r="AA7" i="11"/>
  <c r="K7" i="11"/>
  <c r="AA6" i="11"/>
  <c r="K6" i="11"/>
  <c r="AA5" i="11"/>
  <c r="K5" i="11"/>
  <c r="AA4" i="11"/>
  <c r="K4" i="11"/>
  <c r="AA3" i="11"/>
  <c r="K3" i="11"/>
  <c r="AY13" i="10"/>
  <c r="AY23" i="10" s="1"/>
  <c r="AQ56" i="8"/>
  <c r="AO56" i="8"/>
  <c r="AN56" i="8"/>
  <c r="AM56" i="8"/>
  <c r="AL56" i="8"/>
  <c r="AK56" i="8"/>
  <c r="AJ56" i="8"/>
  <c r="AI56" i="8"/>
  <c r="AH56" i="8"/>
  <c r="AG56" i="8"/>
  <c r="AF56" i="8"/>
  <c r="AE56" i="8"/>
  <c r="AD56" i="8"/>
  <c r="AC56" i="8"/>
  <c r="AB56" i="8"/>
  <c r="AA56" i="8"/>
  <c r="Z56" i="8"/>
  <c r="K56" i="8"/>
  <c r="F56" i="8"/>
  <c r="E56" i="8"/>
  <c r="J56" i="8"/>
  <c r="G168" i="6"/>
  <c r="F168" i="6"/>
  <c r="I167" i="6"/>
  <c r="AJ166" i="6"/>
  <c r="AI166" i="6"/>
  <c r="AH166" i="6"/>
  <c r="AG166" i="6"/>
  <c r="AF166" i="6"/>
  <c r="AE166" i="6"/>
  <c r="AD166" i="6"/>
  <c r="I165" i="6"/>
  <c r="H165" i="6"/>
  <c r="G165" i="6"/>
  <c r="F165" i="6"/>
  <c r="E165" i="6"/>
  <c r="D165" i="6"/>
  <c r="C165" i="6"/>
  <c r="B165" i="6"/>
  <c r="J86" i="6"/>
  <c r="I86" i="6"/>
  <c r="H86" i="6"/>
  <c r="G86" i="6"/>
  <c r="F86" i="6"/>
  <c r="K73" i="6"/>
  <c r="J73" i="6"/>
  <c r="I73" i="6"/>
  <c r="H73" i="6"/>
  <c r="G73" i="6"/>
  <c r="F73" i="6"/>
  <c r="AV69" i="6"/>
  <c r="AU69" i="6"/>
  <c r="AT69" i="6"/>
  <c r="AS69" i="6"/>
  <c r="AR69" i="6"/>
  <c r="AQ69" i="6"/>
  <c r="AP69" i="6"/>
  <c r="AO69" i="6"/>
  <c r="AN69" i="6"/>
  <c r="AM69" i="6"/>
  <c r="AL69" i="6"/>
  <c r="AK69" i="6"/>
  <c r="AJ69" i="6"/>
  <c r="AI69" i="6"/>
  <c r="AH69" i="6"/>
  <c r="J69" i="6"/>
  <c r="I69" i="6"/>
  <c r="H69" i="6"/>
  <c r="AV68" i="6"/>
  <c r="AU68" i="6"/>
  <c r="AT68" i="6"/>
  <c r="AS68" i="6"/>
  <c r="AR68" i="6"/>
  <c r="AQ68" i="6"/>
  <c r="AP68" i="6"/>
  <c r="AO68" i="6"/>
  <c r="AN68" i="6"/>
  <c r="AM68" i="6"/>
  <c r="AL68" i="6"/>
  <c r="AK68" i="6"/>
  <c r="AJ68" i="6"/>
  <c r="AI68" i="6"/>
  <c r="AH68" i="6"/>
  <c r="J68" i="6"/>
  <c r="I68" i="6"/>
  <c r="H68" i="6"/>
  <c r="AV67" i="6"/>
  <c r="AU67" i="6"/>
  <c r="AT67" i="6"/>
  <c r="AS67" i="6"/>
  <c r="AR67" i="6"/>
  <c r="AQ67" i="6"/>
  <c r="AP67" i="6"/>
  <c r="AO67" i="6"/>
  <c r="AN67" i="6"/>
  <c r="AM67" i="6"/>
  <c r="AL67" i="6"/>
  <c r="AK67" i="6"/>
  <c r="AJ67" i="6"/>
  <c r="AI67" i="6"/>
  <c r="AH67" i="6"/>
  <c r="J67" i="6"/>
  <c r="I67" i="6"/>
  <c r="H67" i="6"/>
  <c r="AV66" i="6"/>
  <c r="AU66" i="6"/>
  <c r="AT66" i="6"/>
  <c r="AS66" i="6"/>
  <c r="AR66" i="6"/>
  <c r="AQ66" i="6"/>
  <c r="AP66" i="6"/>
  <c r="AO66" i="6"/>
  <c r="AN66" i="6"/>
  <c r="AM66" i="6"/>
  <c r="AL66" i="6"/>
  <c r="AK66" i="6"/>
  <c r="AJ66" i="6"/>
  <c r="AI66" i="6"/>
  <c r="AH66" i="6"/>
  <c r="J66" i="6"/>
  <c r="I66" i="6"/>
  <c r="H66" i="6"/>
  <c r="AV65" i="6"/>
  <c r="AU65" i="6"/>
  <c r="AT65" i="6"/>
  <c r="AS65" i="6"/>
  <c r="AR65" i="6"/>
  <c r="AQ65" i="6"/>
  <c r="AP65" i="6"/>
  <c r="AO65" i="6"/>
  <c r="AN65" i="6"/>
  <c r="AM65" i="6"/>
  <c r="AL65" i="6"/>
  <c r="AK65" i="6"/>
  <c r="AJ65" i="6"/>
  <c r="AI65" i="6"/>
  <c r="AH65" i="6"/>
  <c r="J65" i="6"/>
  <c r="I65" i="6"/>
  <c r="H65" i="6"/>
  <c r="AU64" i="6"/>
  <c r="AT64" i="6"/>
  <c r="AS64" i="6"/>
  <c r="AR64" i="6"/>
  <c r="AQ64" i="6"/>
  <c r="AP64" i="6"/>
  <c r="AO64" i="6"/>
  <c r="AN64" i="6"/>
  <c r="AM64" i="6"/>
  <c r="AL64" i="6"/>
  <c r="AK64" i="6"/>
  <c r="AJ64" i="6"/>
  <c r="AI64" i="6"/>
  <c r="AH64" i="6"/>
  <c r="K64" i="6"/>
  <c r="J64" i="6"/>
  <c r="I64" i="6"/>
  <c r="AV62" i="6"/>
  <c r="AU62" i="6"/>
  <c r="AT62" i="6"/>
  <c r="AS62" i="6"/>
  <c r="AR62" i="6"/>
  <c r="AQ62" i="6"/>
  <c r="AP62" i="6"/>
  <c r="AO62" i="6"/>
  <c r="AN62" i="6"/>
  <c r="AM62" i="6"/>
  <c r="AL62" i="6"/>
  <c r="AK62" i="6"/>
  <c r="AJ62" i="6"/>
  <c r="AI62" i="6"/>
  <c r="AH62" i="6"/>
  <c r="K62" i="6"/>
  <c r="J62" i="6"/>
  <c r="I62" i="6"/>
  <c r="H62" i="6"/>
  <c r="AV61" i="6"/>
  <c r="AU61" i="6"/>
  <c r="AT61" i="6"/>
  <c r="AS61" i="6"/>
  <c r="AR61" i="6"/>
  <c r="AQ61" i="6"/>
  <c r="AP61" i="6"/>
  <c r="AO61" i="6"/>
  <c r="AN61" i="6"/>
  <c r="AM61" i="6"/>
  <c r="AL61" i="6"/>
  <c r="AK61" i="6"/>
  <c r="AJ61" i="6"/>
  <c r="AI61" i="6"/>
  <c r="AH61" i="6"/>
  <c r="K61" i="6"/>
  <c r="J61" i="6"/>
  <c r="I61" i="6"/>
  <c r="H61" i="6"/>
  <c r="AV60" i="6"/>
  <c r="AU60" i="6"/>
  <c r="AT60" i="6"/>
  <c r="AS60" i="6"/>
  <c r="AR60" i="6"/>
  <c r="AQ60" i="6"/>
  <c r="AP60" i="6"/>
  <c r="AO60" i="6"/>
  <c r="AN60" i="6"/>
  <c r="AM60" i="6"/>
  <c r="AL60" i="6"/>
  <c r="AK60" i="6"/>
  <c r="AJ60" i="6"/>
  <c r="AI60" i="6"/>
  <c r="AH60" i="6"/>
  <c r="K60" i="6"/>
  <c r="J60" i="6"/>
  <c r="I60" i="6"/>
  <c r="H60" i="6"/>
  <c r="AV59" i="6"/>
  <c r="AU59" i="6"/>
  <c r="AT59" i="6"/>
  <c r="AS59" i="6"/>
  <c r="AR59" i="6"/>
  <c r="AQ59" i="6"/>
  <c r="AP59" i="6"/>
  <c r="AO59" i="6"/>
  <c r="AN59" i="6"/>
  <c r="AM59" i="6"/>
  <c r="AL59" i="6"/>
  <c r="AK59" i="6"/>
  <c r="AJ59" i="6"/>
  <c r="AI59" i="6"/>
  <c r="AH59" i="6"/>
  <c r="K59" i="6"/>
  <c r="J59" i="6"/>
  <c r="I59" i="6"/>
  <c r="H59" i="6"/>
  <c r="AV58" i="6"/>
  <c r="AU58" i="6"/>
  <c r="AT58" i="6"/>
  <c r="AS58" i="6"/>
  <c r="AR58" i="6"/>
  <c r="AQ58" i="6"/>
  <c r="AP58" i="6"/>
  <c r="AO58" i="6"/>
  <c r="AN58" i="6"/>
  <c r="AM58" i="6"/>
  <c r="AL58" i="6"/>
  <c r="AK58" i="6"/>
  <c r="AJ58" i="6"/>
  <c r="AI58" i="6"/>
  <c r="AH58" i="6"/>
  <c r="K58" i="6"/>
  <c r="J58" i="6"/>
  <c r="I58" i="6"/>
  <c r="H58" i="6"/>
  <c r="AU57" i="6"/>
  <c r="AT57" i="6"/>
  <c r="AS57" i="6"/>
  <c r="AR57" i="6"/>
  <c r="AQ57" i="6"/>
  <c r="AP57" i="6"/>
  <c r="AO57" i="6"/>
  <c r="AN57" i="6"/>
  <c r="AM57" i="6"/>
  <c r="AL57" i="6"/>
  <c r="AK57" i="6"/>
  <c r="AJ57" i="6"/>
  <c r="AI57" i="6"/>
  <c r="AH57" i="6"/>
  <c r="K57" i="6"/>
  <c r="J57" i="6"/>
  <c r="I57" i="6"/>
  <c r="AV55" i="6"/>
  <c r="AU55" i="6"/>
  <c r="AT55" i="6"/>
  <c r="AS55" i="6"/>
  <c r="AR55" i="6"/>
  <c r="AQ55" i="6"/>
  <c r="AP55" i="6"/>
  <c r="AO55" i="6"/>
  <c r="AN55" i="6"/>
  <c r="AM55" i="6"/>
  <c r="AL55" i="6"/>
  <c r="AK55" i="6"/>
  <c r="AJ55" i="6"/>
  <c r="AI55" i="6"/>
  <c r="AH55" i="6"/>
  <c r="K55" i="6"/>
  <c r="J55" i="6"/>
  <c r="I55" i="6"/>
  <c r="H55" i="6"/>
  <c r="AV54" i="6"/>
  <c r="AU54" i="6"/>
  <c r="AT54" i="6"/>
  <c r="AS54" i="6"/>
  <c r="AR54" i="6"/>
  <c r="AQ54" i="6"/>
  <c r="AP54" i="6"/>
  <c r="AO54" i="6"/>
  <c r="AN54" i="6"/>
  <c r="AM54" i="6"/>
  <c r="AL54" i="6"/>
  <c r="AK54" i="6"/>
  <c r="AJ54" i="6"/>
  <c r="AI54" i="6"/>
  <c r="AH54" i="6"/>
  <c r="K54" i="6"/>
  <c r="J54" i="6"/>
  <c r="I54" i="6"/>
  <c r="H54" i="6"/>
  <c r="AV53" i="6"/>
  <c r="AU53" i="6"/>
  <c r="AT53" i="6"/>
  <c r="AS53" i="6"/>
  <c r="AR53" i="6"/>
  <c r="AQ53" i="6"/>
  <c r="AP53" i="6"/>
  <c r="AO53" i="6"/>
  <c r="AN53" i="6"/>
  <c r="AM53" i="6"/>
  <c r="AL53" i="6"/>
  <c r="AK53" i="6"/>
  <c r="AJ53" i="6"/>
  <c r="AI53" i="6"/>
  <c r="AH53" i="6"/>
  <c r="K53" i="6"/>
  <c r="J53" i="6"/>
  <c r="I53" i="6"/>
  <c r="H53" i="6"/>
  <c r="AV52" i="6"/>
  <c r="AU52" i="6"/>
  <c r="AT52" i="6"/>
  <c r="AS52" i="6"/>
  <c r="AR52" i="6"/>
  <c r="AQ52" i="6"/>
  <c r="AP52" i="6"/>
  <c r="AO52" i="6"/>
  <c r="AN52" i="6"/>
  <c r="AM52" i="6"/>
  <c r="AL52" i="6"/>
  <c r="AK52" i="6"/>
  <c r="AJ52" i="6"/>
  <c r="AI52" i="6"/>
  <c r="AH52" i="6"/>
  <c r="K52" i="6"/>
  <c r="J52" i="6"/>
  <c r="I52" i="6"/>
  <c r="H52" i="6"/>
  <c r="AV51" i="6"/>
  <c r="AU51" i="6"/>
  <c r="AT51" i="6"/>
  <c r="AS51" i="6"/>
  <c r="AR51" i="6"/>
  <c r="AQ51" i="6"/>
  <c r="AP51" i="6"/>
  <c r="AO51" i="6"/>
  <c r="AN51" i="6"/>
  <c r="AM51" i="6"/>
  <c r="AL51" i="6"/>
  <c r="AK51" i="6"/>
  <c r="AJ51" i="6"/>
  <c r="AI51" i="6"/>
  <c r="AH51" i="6"/>
  <c r="K51" i="6"/>
  <c r="J51" i="6"/>
  <c r="I51" i="6"/>
  <c r="H51" i="6"/>
  <c r="AU50" i="6"/>
  <c r="AT50" i="6"/>
  <c r="AS50" i="6"/>
  <c r="AR50" i="6"/>
  <c r="AQ50" i="6"/>
  <c r="AP50" i="6"/>
  <c r="AO50" i="6"/>
  <c r="AN50" i="6"/>
  <c r="AM50" i="6"/>
  <c r="AL50" i="6"/>
  <c r="AJ50" i="6"/>
  <c r="AI50" i="6"/>
  <c r="AH50" i="6"/>
  <c r="K50" i="6"/>
  <c r="J50" i="6"/>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J114" i="5"/>
  <c r="I114" i="5"/>
  <c r="H114" i="5"/>
  <c r="G114" i="5"/>
  <c r="F114" i="5"/>
  <c r="E114" i="5"/>
  <c r="AL105" i="5"/>
  <c r="K105" i="5"/>
  <c r="J105" i="5"/>
  <c r="I105" i="5"/>
  <c r="G105" i="5"/>
  <c r="AL104" i="5"/>
  <c r="AK104" i="5"/>
  <c r="AJ104" i="5"/>
  <c r="AI104" i="5"/>
  <c r="AH104" i="5"/>
  <c r="K104" i="5"/>
  <c r="I104" i="5"/>
  <c r="G104" i="5"/>
  <c r="AL103" i="5"/>
  <c r="AK103" i="5"/>
  <c r="AJ103" i="5"/>
  <c r="AI103" i="5"/>
  <c r="AH103" i="5"/>
  <c r="K103" i="5"/>
  <c r="I103" i="5"/>
  <c r="G103" i="5"/>
  <c r="AU99" i="5"/>
  <c r="AU100" i="5" s="1"/>
  <c r="AT99" i="5"/>
  <c r="AT100" i="5" s="1"/>
  <c r="AS99" i="5"/>
  <c r="AS100" i="5" s="1"/>
  <c r="AR99" i="5"/>
  <c r="AR100" i="5" s="1"/>
  <c r="AQ99" i="5"/>
  <c r="AQ100" i="5" s="1"/>
  <c r="AP99" i="5"/>
  <c r="AP100" i="5" s="1"/>
  <c r="AO99" i="5"/>
  <c r="AO100" i="5" s="1"/>
  <c r="AN99" i="5"/>
  <c r="AN100" i="5" s="1"/>
  <c r="AM99" i="5"/>
  <c r="AM100" i="5" s="1"/>
  <c r="AL99" i="5"/>
  <c r="AL100" i="5" s="1"/>
  <c r="AK99" i="5"/>
  <c r="AK100" i="5" s="1"/>
  <c r="AJ99" i="5"/>
  <c r="AJ100" i="5" s="1"/>
  <c r="AI99" i="5"/>
  <c r="AI100" i="5" s="1"/>
  <c r="AH99" i="5"/>
  <c r="AH100" i="5" s="1"/>
  <c r="AG99" i="5"/>
  <c r="AG100" i="5" s="1"/>
  <c r="AF99" i="5"/>
  <c r="AF100" i="5" s="1"/>
  <c r="AE99" i="5"/>
  <c r="AE100" i="5" s="1"/>
  <c r="AD99" i="5"/>
  <c r="AD100" i="5" s="1"/>
  <c r="AC99" i="5"/>
  <c r="AC100" i="5" s="1"/>
  <c r="AB99" i="5"/>
  <c r="AB100" i="5" s="1"/>
  <c r="AA99" i="5"/>
  <c r="AA100" i="5" s="1"/>
  <c r="Z99" i="5"/>
  <c r="Z100" i="5" s="1"/>
  <c r="Y99" i="5"/>
  <c r="Y100" i="5" s="1"/>
  <c r="X99" i="5"/>
  <c r="X100" i="5" s="1"/>
  <c r="W99" i="5"/>
  <c r="W100" i="5" s="1"/>
  <c r="V99" i="5"/>
  <c r="V100" i="5" s="1"/>
  <c r="U99" i="5"/>
  <c r="U100" i="5" s="1"/>
  <c r="T99" i="5"/>
  <c r="T100" i="5" s="1"/>
  <c r="S99" i="5"/>
  <c r="S100" i="5" s="1"/>
  <c r="R99" i="5"/>
  <c r="R100" i="5" s="1"/>
  <c r="Q99" i="5"/>
  <c r="Q100" i="5" s="1"/>
  <c r="P99" i="5"/>
  <c r="P100" i="5" s="1"/>
  <c r="O99" i="5"/>
  <c r="O100" i="5" s="1"/>
  <c r="N99" i="5"/>
  <c r="N100" i="5" s="1"/>
  <c r="K99" i="5"/>
  <c r="K100" i="5" s="1"/>
  <c r="J99" i="5"/>
  <c r="J100" i="5" s="1"/>
  <c r="I99" i="5"/>
  <c r="I100" i="5" s="1"/>
  <c r="G99" i="5"/>
  <c r="G100" i="5" s="1"/>
  <c r="F99" i="5"/>
  <c r="F100" i="5" s="1"/>
  <c r="E99" i="5"/>
  <c r="E100" i="5" s="1"/>
  <c r="D99" i="5"/>
  <c r="D100" i="5" s="1"/>
  <c r="C99" i="5"/>
  <c r="C100" i="5" s="1"/>
  <c r="B99" i="5"/>
  <c r="B100" i="5" s="1"/>
  <c r="AU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R96" i="5"/>
  <c r="Q96" i="5"/>
  <c r="P96" i="5"/>
  <c r="O96" i="5"/>
  <c r="N96" i="5"/>
  <c r="K96" i="5"/>
  <c r="J96" i="5"/>
  <c r="I96" i="5"/>
  <c r="G96" i="5"/>
  <c r="F96" i="5"/>
  <c r="E96" i="5"/>
  <c r="D96" i="5"/>
  <c r="C96" i="5"/>
  <c r="B96"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R95" i="5"/>
  <c r="Q95" i="5"/>
  <c r="P95" i="5"/>
  <c r="O95" i="5"/>
  <c r="N95" i="5"/>
  <c r="K95" i="5"/>
  <c r="J95" i="5"/>
  <c r="I95" i="5"/>
  <c r="G95" i="5"/>
  <c r="F95" i="5"/>
  <c r="E95" i="5"/>
  <c r="D95" i="5"/>
  <c r="C95" i="5"/>
  <c r="B95"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K94" i="5"/>
  <c r="J94" i="5"/>
  <c r="I94" i="5"/>
  <c r="G94" i="5"/>
  <c r="F94" i="5"/>
  <c r="E94" i="5"/>
  <c r="D94" i="5"/>
  <c r="C94" i="5"/>
  <c r="B94" i="5"/>
  <c r="AN93" i="5"/>
  <c r="AM93" i="5"/>
  <c r="AL93" i="5"/>
  <c r="AK93" i="5"/>
  <c r="AJ93" i="5"/>
  <c r="AI93" i="5"/>
  <c r="AH93" i="5"/>
  <c r="AG93" i="5"/>
  <c r="AF93" i="5"/>
  <c r="AE93" i="5"/>
  <c r="AD93" i="5"/>
  <c r="AC93" i="5"/>
  <c r="AB93" i="5"/>
  <c r="AA93" i="5"/>
  <c r="Z93" i="5"/>
  <c r="Y93" i="5"/>
  <c r="X93" i="5"/>
  <c r="W93" i="5"/>
  <c r="V93" i="5"/>
  <c r="U93" i="5"/>
  <c r="T93" i="5"/>
  <c r="S93" i="5"/>
  <c r="R93" i="5"/>
  <c r="Q93" i="5"/>
  <c r="P93" i="5"/>
  <c r="O93" i="5"/>
  <c r="N93" i="5"/>
  <c r="I93" i="5"/>
  <c r="H93" i="5"/>
  <c r="G93" i="5"/>
  <c r="F93" i="5"/>
  <c r="E93" i="5"/>
  <c r="D93" i="5"/>
  <c r="C93" i="5"/>
  <c r="B93" i="5"/>
  <c r="AT91" i="5"/>
  <c r="AS91" i="5"/>
  <c r="AS89" i="5" s="1"/>
  <c r="AR91" i="5"/>
  <c r="AQ91" i="5"/>
  <c r="AP91" i="5"/>
  <c r="AO91" i="5"/>
  <c r="AO89" i="5" s="1"/>
  <c r="AN91" i="5"/>
  <c r="AM91" i="5"/>
  <c r="AL91" i="5"/>
  <c r="AL89" i="5" s="1"/>
  <c r="AK91" i="5"/>
  <c r="AJ91" i="5"/>
  <c r="AI91" i="5"/>
  <c r="AH91" i="5"/>
  <c r="K91" i="5"/>
  <c r="J91" i="5"/>
  <c r="I91" i="5"/>
  <c r="AS90" i="5"/>
  <c r="AO90" i="5"/>
  <c r="AN90" i="5"/>
  <c r="AM90" i="5"/>
  <c r="AL90" i="5"/>
  <c r="AK90" i="5"/>
  <c r="AJ90" i="5"/>
  <c r="AI90" i="5"/>
  <c r="AH90" i="5"/>
  <c r="K90" i="5"/>
  <c r="J90" i="5"/>
  <c r="I90" i="5"/>
  <c r="AO88" i="5"/>
  <c r="AN88" i="5"/>
  <c r="AM88" i="5"/>
  <c r="AL88" i="5"/>
  <c r="AK85" i="5"/>
  <c r="AJ85" i="5"/>
  <c r="AI85" i="5"/>
  <c r="AH85" i="5"/>
  <c r="I85" i="5"/>
  <c r="AP84" i="5"/>
  <c r="AP85" i="5" s="1"/>
  <c r="AO84" i="5"/>
  <c r="AO85" i="5" s="1"/>
  <c r="AN84" i="5"/>
  <c r="AN85" i="5" s="1"/>
  <c r="AM84" i="5"/>
  <c r="AM85" i="5" s="1"/>
  <c r="AL84" i="5"/>
  <c r="AL85" i="5" s="1"/>
  <c r="AK84" i="5"/>
  <c r="AJ84" i="5"/>
  <c r="AI84" i="5"/>
  <c r="AH84" i="5"/>
  <c r="K84" i="5"/>
  <c r="K85" i="5" s="1"/>
  <c r="J84" i="5"/>
  <c r="J85" i="5" s="1"/>
  <c r="I84" i="5"/>
  <c r="AE80" i="5"/>
  <c r="AD80" i="5"/>
  <c r="AC80" i="5"/>
  <c r="AB80" i="5"/>
  <c r="AA80" i="5"/>
  <c r="F80" i="5"/>
  <c r="Z78" i="5"/>
  <c r="Z80" i="5" s="1"/>
  <c r="K74" i="5"/>
  <c r="K73" i="5"/>
  <c r="AK68" i="5"/>
  <c r="AK74" i="5" s="1"/>
  <c r="AJ68" i="5"/>
  <c r="AJ74" i="5" s="1"/>
  <c r="AI68" i="5"/>
  <c r="AI74" i="5" s="1"/>
  <c r="AH68" i="5"/>
  <c r="AH74" i="5" s="1"/>
  <c r="J68" i="5"/>
  <c r="J74" i="5" s="1"/>
  <c r="I68" i="5"/>
  <c r="I74" i="5" s="1"/>
  <c r="AK67" i="5"/>
  <c r="AK73" i="5" s="1"/>
  <c r="AJ67" i="5"/>
  <c r="AJ73" i="5" s="1"/>
  <c r="AI67" i="5"/>
  <c r="AI73" i="5" s="1"/>
  <c r="AH67" i="5"/>
  <c r="AH73" i="5" s="1"/>
  <c r="J67" i="5"/>
  <c r="J73" i="5" s="1"/>
  <c r="I67" i="5"/>
  <c r="I73" i="5" s="1"/>
  <c r="K56" i="5"/>
  <c r="J56" i="5"/>
  <c r="AK55" i="5"/>
  <c r="AJ55" i="5"/>
  <c r="AI55" i="5"/>
  <c r="AH55" i="5"/>
  <c r="K55" i="5"/>
  <c r="J55" i="5"/>
  <c r="I55" i="5"/>
  <c r="AK54" i="5"/>
  <c r="AJ54" i="5"/>
  <c r="AI54" i="5"/>
  <c r="AH54" i="5"/>
  <c r="K54" i="5"/>
  <c r="J54" i="5"/>
  <c r="I54" i="5"/>
  <c r="H50" i="5"/>
  <c r="H49" i="5"/>
  <c r="H48" i="5"/>
  <c r="H47" i="5"/>
  <c r="H46" i="5"/>
  <c r="H45" i="5"/>
  <c r="AU41" i="5"/>
  <c r="AS41" i="5"/>
  <c r="AQ41" i="5"/>
  <c r="AO41" i="5"/>
  <c r="K41" i="5"/>
  <c r="AS40" i="5"/>
  <c r="AP40" i="5"/>
  <c r="AL40" i="5"/>
  <c r="K40" i="5"/>
  <c r="AS39" i="5"/>
  <c r="AP39" i="5"/>
  <c r="AO39" i="5"/>
  <c r="AL39" i="5"/>
  <c r="K39" i="5"/>
  <c r="J39" i="5"/>
  <c r="AP36" i="5"/>
  <c r="AR36" i="5" s="1"/>
  <c r="AR41" i="5" s="1"/>
  <c r="AN36" i="5"/>
  <c r="AN41" i="5" s="1"/>
  <c r="AM36" i="5"/>
  <c r="AL36" i="5"/>
  <c r="AL41" i="5" s="1"/>
  <c r="AU35" i="5"/>
  <c r="AU40" i="5" s="1"/>
  <c r="AQ35" i="5"/>
  <c r="AQ40" i="5" s="1"/>
  <c r="AM35" i="5"/>
  <c r="AM40" i="5" s="1"/>
  <c r="J35" i="5"/>
  <c r="J40" i="5" s="1"/>
  <c r="AU34" i="5"/>
  <c r="AU39" i="5" s="1"/>
  <c r="AQ34" i="5"/>
  <c r="AR34" i="5" s="1"/>
  <c r="AR39" i="5" s="1"/>
  <c r="AM34" i="5"/>
  <c r="AM39" i="5" s="1"/>
  <c r="AQ31" i="5"/>
  <c r="AR30" i="5"/>
  <c r="AQ30" i="5"/>
  <c r="AM30" i="5"/>
  <c r="AN30" i="5" s="1"/>
  <c r="AO30" i="5" s="1"/>
  <c r="AR29" i="5"/>
  <c r="AQ29" i="5"/>
  <c r="AM29" i="5"/>
  <c r="AN29" i="5" s="1"/>
  <c r="AO29" i="5" s="1"/>
  <c r="K24" i="5"/>
  <c r="J24" i="5"/>
  <c r="H23" i="5"/>
  <c r="I24" i="5" s="1"/>
  <c r="H22" i="5"/>
  <c r="H21" i="5"/>
  <c r="H74" i="5" s="1"/>
  <c r="H20" i="5"/>
  <c r="H19" i="5"/>
  <c r="H90" i="5" s="1"/>
  <c r="H18" i="5"/>
  <c r="H9" i="5"/>
  <c r="H8" i="5"/>
  <c r="J7" i="5"/>
  <c r="J104" i="5" s="1"/>
  <c r="H7" i="5"/>
  <c r="H6" i="5"/>
  <c r="J5" i="5"/>
  <c r="H5" i="5"/>
  <c r="J4" i="5"/>
  <c r="J103" i="5" s="1"/>
  <c r="H4" i="5"/>
  <c r="AQ16" i="4"/>
  <c r="AQ15" i="4"/>
  <c r="AM7" i="4"/>
  <c r="AL7" i="4"/>
  <c r="H20" i="1"/>
  <c r="H7" i="1"/>
  <c r="H8" i="1" s="1"/>
  <c r="H9" i="1" s="1"/>
  <c r="H10" i="1" s="1"/>
  <c r="H11" i="1" s="1"/>
  <c r="H12" i="1" s="1"/>
  <c r="H13" i="1" s="1"/>
  <c r="H14" i="1" s="1"/>
  <c r="H15" i="1" s="1"/>
  <c r="H16" i="1" s="1"/>
  <c r="AK89" i="5" l="1"/>
  <c r="I88" i="5"/>
  <c r="I82" i="17"/>
  <c r="W9" i="16"/>
  <c r="S9" i="16"/>
  <c r="AG9" i="16"/>
  <c r="H38" i="17"/>
  <c r="H103" i="5"/>
  <c r="AA9" i="16"/>
  <c r="H24" i="17"/>
  <c r="H116" i="6"/>
  <c r="H153" i="6" s="1"/>
  <c r="AI89" i="5"/>
  <c r="AC13" i="18"/>
  <c r="AC15" i="18" s="1"/>
  <c r="J89" i="5"/>
  <c r="AJ88" i="5"/>
  <c r="I23" i="17"/>
  <c r="E24" i="17"/>
  <c r="G24" i="17"/>
  <c r="H40" i="17"/>
  <c r="I166" i="6"/>
  <c r="AB13" i="18"/>
  <c r="AB15" i="18" s="1"/>
  <c r="J36" i="5"/>
  <c r="J41" i="5" s="1"/>
  <c r="H84" i="5"/>
  <c r="H85" i="5" s="1"/>
  <c r="J116" i="6"/>
  <c r="J144" i="6" s="1"/>
  <c r="T9" i="16"/>
  <c r="H91" i="5"/>
  <c r="H88" i="5" s="1"/>
  <c r="H104" i="5"/>
  <c r="F116" i="6"/>
  <c r="F149" i="6" s="1"/>
  <c r="AF9" i="16"/>
  <c r="X9" i="16"/>
  <c r="C24" i="17"/>
  <c r="H39" i="17"/>
  <c r="AA13" i="18"/>
  <c r="AA15" i="18" s="1"/>
  <c r="Y9" i="16"/>
  <c r="H55" i="5"/>
  <c r="H166" i="6"/>
  <c r="Z9" i="16"/>
  <c r="H73" i="5"/>
  <c r="K89" i="5"/>
  <c r="H76" i="17"/>
  <c r="H77" i="17" s="1"/>
  <c r="I83" i="17"/>
  <c r="AH88" i="5"/>
  <c r="AB9" i="16"/>
  <c r="U9" i="16"/>
  <c r="AC9" i="16"/>
  <c r="G71" i="17"/>
  <c r="H85" i="17"/>
  <c r="H83" i="17" s="1"/>
  <c r="G80" i="5"/>
  <c r="AK88" i="5"/>
  <c r="G56" i="8"/>
  <c r="I56" i="8"/>
  <c r="H56" i="8"/>
  <c r="G116" i="6"/>
  <c r="G133" i="6" s="1"/>
  <c r="H95" i="5"/>
  <c r="AR35" i="5"/>
  <c r="AR40" i="5" s="1"/>
  <c r="AI88" i="5"/>
  <c r="H56" i="5"/>
  <c r="AN35" i="5"/>
  <c r="AN40" i="5" s="1"/>
  <c r="AJ89" i="5"/>
  <c r="I89" i="5"/>
  <c r="H24" i="5"/>
  <c r="H105" i="5"/>
  <c r="H54" i="5"/>
  <c r="H94" i="5"/>
  <c r="H169" i="6"/>
  <c r="H146" i="6"/>
  <c r="H141" i="6"/>
  <c r="H135" i="6"/>
  <c r="H128" i="6"/>
  <c r="H121" i="6"/>
  <c r="H159" i="6"/>
  <c r="H157" i="6"/>
  <c r="H139" i="6"/>
  <c r="H130" i="6"/>
  <c r="H119" i="6"/>
  <c r="H160" i="6"/>
  <c r="H158" i="6"/>
  <c r="H156" i="6"/>
  <c r="H154" i="6"/>
  <c r="H149" i="6"/>
  <c r="H147" i="6"/>
  <c r="H145" i="6"/>
  <c r="H142" i="6"/>
  <c r="H140" i="6"/>
  <c r="H138" i="6"/>
  <c r="H136" i="6"/>
  <c r="H129" i="6"/>
  <c r="H127" i="6"/>
  <c r="H125" i="6"/>
  <c r="H122" i="6"/>
  <c r="H120" i="6"/>
  <c r="H151" i="6"/>
  <c r="H144" i="6"/>
  <c r="H133" i="6"/>
  <c r="H124" i="6"/>
  <c r="H155" i="6"/>
  <c r="H126" i="6"/>
  <c r="H89" i="5"/>
  <c r="F134" i="6"/>
  <c r="F122" i="6"/>
  <c r="F153" i="6"/>
  <c r="F146" i="6"/>
  <c r="F135" i="6"/>
  <c r="AM41" i="5"/>
  <c r="AP41" i="5"/>
  <c r="J88" i="5"/>
  <c r="H23" i="17"/>
  <c r="H99" i="5"/>
  <c r="H100" i="5" s="1"/>
  <c r="K88" i="5"/>
  <c r="H96" i="5"/>
  <c r="I116" i="6"/>
  <c r="AN34" i="5"/>
  <c r="AN39" i="5" s="1"/>
  <c r="AQ39" i="5"/>
  <c r="D24" i="17"/>
  <c r="K116" i="6"/>
  <c r="F24" i="17"/>
  <c r="H62" i="17"/>
  <c r="J135" i="6" l="1"/>
  <c r="J127" i="6"/>
  <c r="J141" i="6"/>
  <c r="J159" i="6"/>
  <c r="F145" i="6"/>
  <c r="J145" i="6"/>
  <c r="J153" i="6"/>
  <c r="J122" i="6"/>
  <c r="J125" i="6"/>
  <c r="J121" i="6"/>
  <c r="J142" i="6"/>
  <c r="J151" i="6"/>
  <c r="F154" i="6"/>
  <c r="J147" i="6"/>
  <c r="J157" i="6"/>
  <c r="F128" i="6"/>
  <c r="J132" i="6"/>
  <c r="J152" i="6"/>
  <c r="G126" i="6"/>
  <c r="J120" i="6"/>
  <c r="J124" i="6"/>
  <c r="J162" i="6" s="1"/>
  <c r="F119" i="6"/>
  <c r="F137" i="6"/>
  <c r="F157" i="6"/>
  <c r="F136" i="6"/>
  <c r="F156" i="6"/>
  <c r="F121" i="6"/>
  <c r="F139" i="6"/>
  <c r="F159" i="6"/>
  <c r="F138" i="6"/>
  <c r="F158" i="6"/>
  <c r="F124" i="6"/>
  <c r="F141" i="6"/>
  <c r="F169" i="6"/>
  <c r="F140" i="6"/>
  <c r="F160" i="6"/>
  <c r="F126" i="6"/>
  <c r="F144" i="6"/>
  <c r="F120" i="6"/>
  <c r="F142" i="6"/>
  <c r="F130" i="6"/>
  <c r="F148" i="6"/>
  <c r="F125" i="6"/>
  <c r="F147" i="6"/>
  <c r="F132" i="6"/>
  <c r="F133" i="6"/>
  <c r="F151" i="6"/>
  <c r="F127" i="6"/>
  <c r="F152" i="6"/>
  <c r="J119" i="6"/>
  <c r="J134" i="6"/>
  <c r="J154" i="6"/>
  <c r="J128" i="6"/>
  <c r="G132" i="6"/>
  <c r="J137" i="6"/>
  <c r="J130" i="6"/>
  <c r="J158" i="6"/>
  <c r="J136" i="6"/>
  <c r="J156" i="6"/>
  <c r="J146" i="6"/>
  <c r="J138" i="6"/>
  <c r="J133" i="6"/>
  <c r="J155" i="6"/>
  <c r="J140" i="6"/>
  <c r="J160" i="6"/>
  <c r="J139" i="6"/>
  <c r="G136" i="6"/>
  <c r="G169" i="6"/>
  <c r="G122" i="6"/>
  <c r="G141" i="6"/>
  <c r="G129" i="6"/>
  <c r="G130" i="6"/>
  <c r="G148" i="6"/>
  <c r="G138" i="6"/>
  <c r="G154" i="6"/>
  <c r="G134" i="6"/>
  <c r="F155" i="6"/>
  <c r="F129" i="6"/>
  <c r="H132" i="6"/>
  <c r="H162" i="6" s="1"/>
  <c r="H137" i="6"/>
  <c r="H134" i="6"/>
  <c r="H152" i="6"/>
  <c r="H148" i="6"/>
  <c r="G157" i="6"/>
  <c r="K156" i="6"/>
  <c r="K147" i="6"/>
  <c r="K138" i="6"/>
  <c r="K129" i="6"/>
  <c r="K120" i="6"/>
  <c r="K124" i="6"/>
  <c r="K155" i="6"/>
  <c r="K146" i="6"/>
  <c r="K137" i="6"/>
  <c r="K128" i="6"/>
  <c r="K134" i="6"/>
  <c r="K141" i="6"/>
  <c r="K140" i="6"/>
  <c r="K130" i="6"/>
  <c r="K154" i="6"/>
  <c r="K145" i="6"/>
  <c r="K136" i="6"/>
  <c r="K127" i="6"/>
  <c r="K142" i="6"/>
  <c r="K122" i="6"/>
  <c r="K153" i="6"/>
  <c r="K144" i="6"/>
  <c r="K135" i="6"/>
  <c r="K126" i="6"/>
  <c r="K159" i="6"/>
  <c r="K149" i="6"/>
  <c r="K160" i="6"/>
  <c r="K152" i="6"/>
  <c r="K125" i="6"/>
  <c r="K151" i="6"/>
  <c r="K133" i="6"/>
  <c r="K148" i="6"/>
  <c r="K121" i="6"/>
  <c r="K158" i="6"/>
  <c r="K157" i="6"/>
  <c r="K139" i="6"/>
  <c r="K132" i="6"/>
  <c r="G121" i="6"/>
  <c r="G149" i="6"/>
  <c r="G139" i="6"/>
  <c r="K119" i="6"/>
  <c r="G137" i="6"/>
  <c r="G152" i="6"/>
  <c r="G146" i="6"/>
  <c r="AO35" i="5"/>
  <c r="AO40" i="5" s="1"/>
  <c r="J126" i="6"/>
  <c r="J129" i="6"/>
  <c r="J149" i="6"/>
  <c r="J148" i="6"/>
  <c r="G125" i="6"/>
  <c r="G156" i="6"/>
  <c r="G144" i="6"/>
  <c r="G120" i="6"/>
  <c r="G140" i="6"/>
  <c r="G158" i="6"/>
  <c r="G155" i="6"/>
  <c r="G151" i="6"/>
  <c r="H82" i="17"/>
  <c r="G142" i="6"/>
  <c r="G160" i="6"/>
  <c r="G124" i="6"/>
  <c r="G153" i="6"/>
  <c r="G145" i="6"/>
  <c r="G119" i="6"/>
  <c r="G128" i="6"/>
  <c r="G159" i="6"/>
  <c r="G127" i="6"/>
  <c r="G147" i="6"/>
  <c r="G135" i="6"/>
  <c r="I169" i="6"/>
  <c r="I159" i="6"/>
  <c r="I157" i="6"/>
  <c r="I155" i="6"/>
  <c r="I153" i="6"/>
  <c r="I151" i="6"/>
  <c r="I148" i="6"/>
  <c r="I146" i="6"/>
  <c r="I144" i="6"/>
  <c r="I141" i="6"/>
  <c r="I139" i="6"/>
  <c r="I137" i="6"/>
  <c r="I135" i="6"/>
  <c r="I133" i="6"/>
  <c r="I130" i="6"/>
  <c r="I128" i="6"/>
  <c r="I126" i="6"/>
  <c r="I124" i="6"/>
  <c r="I121" i="6"/>
  <c r="I160" i="6"/>
  <c r="I158" i="6"/>
  <c r="I156" i="6"/>
  <c r="I154" i="6"/>
  <c r="I152" i="6"/>
  <c r="I149" i="6"/>
  <c r="I147" i="6"/>
  <c r="I145" i="6"/>
  <c r="I142" i="6"/>
  <c r="I140" i="6"/>
  <c r="I138" i="6"/>
  <c r="I136" i="6"/>
  <c r="I134" i="6"/>
  <c r="I132" i="6"/>
  <c r="I129" i="6"/>
  <c r="I127" i="6"/>
  <c r="I125" i="6"/>
  <c r="I122" i="6"/>
  <c r="I120" i="6"/>
  <c r="I119" i="6"/>
  <c r="F162" i="6" l="1"/>
  <c r="G162" i="6"/>
  <c r="K162" i="6"/>
  <c r="I16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tc={53E9F295-3477-4665-AA0D-87C0F5C0B1E7}</author>
  </authors>
  <commentList>
    <comment ref="AR10" authorId="0" shapeId="0" xr:uid="{53E9F295-3477-4665-AA0D-87C0F5C0B1E7}">
      <text>
        <t>[Threaded comment]
Your version of Excel allows you to read this threaded comment; however, any edits to it will get removed if the file is opened in a newer version of Excel. Learn more: https://go.microsoft.com/fwlink/?linkid=870924
Comment:
    Includes impairment of acquisition-related intangible assets of MSEK 302.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tc={C5A81C1A-D797-457A-A63B-C2EE44C8B811}</author>
    <author>tc={F2AD107A-56DA-4955-A5E4-4DCDBF9B1CBA}</author>
    <author>tc={F188C676-466B-4F67-B75F-7CB75B199170}</author>
    <author>tc={7ECB876B-86FA-4464-8D6D-CA850D694DD3}</author>
    <author>tc={6FAF2AD0-6A38-4A91-B5DE-316E548670DA}</author>
    <author>tc={58CED058-5C96-40C1-BB22-BAC67EBB07DE}</author>
    <author>tc={EB5D7B6A-A7A3-4C28-87C3-6FCF7219D8CB}</author>
    <author>tc={29AA403D-019F-4377-A168-14768BF990C1}</author>
    <author>tc={6AC91073-585A-4224-9768-906A82F112A0}</author>
    <author>tc={98CBE7D3-EA0A-4CC8-9EB0-1D367A2D5285}</author>
    <author>tc={658BA16F-7F71-4EA6-BD23-B06087DE3344}</author>
    <author>tc={91C36C07-87DB-4119-9E8F-ABD209E95B37}</author>
    <author>tc={BCFB7B3F-C620-4B3E-A49A-257AE7ECAE41}</author>
    <author>tc={1D88CA78-6310-40F6-83D7-A0260020AE4F}</author>
    <author>tc={3A060105-DACD-4E09-A108-02A4E42F280B}</author>
    <author>tc={CD41C45A-B91F-40DC-890B-C56C42679109}</author>
    <author>tc={BDFE83A8-146C-4B72-B4D5-ED86B79A1A5B}</author>
    <author>tc={3A165D34-CA7A-4D0A-995E-C57A88726B05}</author>
    <author>tc={A01883A4-BB3B-4305-8A95-940A7642F991}</author>
    <author>tc={3CF5F6F0-1DD7-49B6-AEB1-3ABC3E98579C}</author>
    <author>tc={2CBC109A-D7F0-46E4-8E6B-4E4EAE8562D5}</author>
    <author>tc={0693F319-C7E7-43F5-A757-A1C7A75A96DA}</author>
    <author>tc={F2AA2B4B-4DF7-436E-8E44-750B07A5D490}</author>
    <author>tc={CC4BED75-DE88-42B6-8889-C661E9B893B5}</author>
    <author>tc={197EAB45-939C-4B52-9851-E1794C8B5645}</author>
    <author>tc={DB2C607E-3583-490F-B565-F45F28EDC80B}</author>
    <author>tc={C48E882B-02D6-477F-974D-1167E33F7A95}</author>
    <author>tc={CD925D97-14B3-462E-B21B-30A8D68518B9}</author>
    <author>tc={DDAC054E-5E19-4F94-8E2D-9465F853EE28}</author>
    <author>tc={4A5809C7-E551-4179-8DD9-E54144765942}</author>
    <author>tc={7554100A-2D17-4AF9-A723-6BF88EA46761}</author>
    <author>tc={A829C189-B6B2-49C3-BAB7-B62D6DF15D72}</author>
    <author>tc={22E5553A-B126-41C2-A61F-82CB29EF54F2}</author>
    <author>tc={30EF5795-2A19-420B-AEE0-90F0DE61E784}</author>
    <author>tc={94695940-4242-4E2A-85DC-BA1DC9AF0430}</author>
    <author>tc={B13A72C7-F638-459E-BE8A-2AE7599B797A}</author>
    <author>tc={E98CA007-0D85-4F6F-948E-430D0519A9ED}</author>
    <author>tc={5E99A81E-9382-4E8D-A2E9-07A43114C277}</author>
    <author>tc={6DA178A5-C6C5-44C6-B66D-2CF36E7FB382}</author>
  </authors>
  <commentList>
    <comment ref="G3" authorId="0" shapeId="0" xr:uid="{C5A81C1A-D797-457A-A63B-C2EE44C8B811}">
      <text>
        <t xml:space="preserve">[Threaded comment]
Your version of Excel allows you to read this threaded comment; however, any edits to it will get removed if the file is opened in a newer version of Excel. Learn more: https://go.microsoft.com/fwlink/?linkid=870924
Comment:
    The IT-function moved from group function to E&amp;S in Q2 2020. Figures for 2018 to Q1 2020 have been restated. </t>
      </text>
    </comment>
    <comment ref="I3" authorId="1" shapeId="0" xr:uid="{F2AD107A-56DA-4955-A5E4-4DCDBF9B1CBA}">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2" shapeId="0" xr:uid="{F188C676-466B-4F67-B75F-7CB75B199170}">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K8" authorId="3" shapeId="0" xr:uid="{7ECB876B-86FA-4464-8D6D-CA850D694DD3}">
      <text>
        <t xml:space="preserve">[Threaded comment]
Your version of Excel allows you to read this threaded comment; however, any edits to it will get removed if the file is opened in a newer version of Excel. Learn more: https://go.microsoft.com/fwlink/?linkid=870924
Comment:
    Some equipment orders in North America were booked as operational lease, i.e has to be adjusted for. 
</t>
      </text>
    </comment>
    <comment ref="AN8" authorId="4" shapeId="0" xr:uid="{6FAF2AD0-6A38-4A91-B5DE-316E548670DA}">
      <text>
        <t xml:space="preserve">[Threaded comment]
Your version of Excel allows you to read this threaded comment; however, any edits to it will get removed if the file is opened in a newer version of Excel. Learn more: https://go.microsoft.com/fwlink/?linkid=870924
Comment:
    A meaningful portion of MSEK 125 relates to late customer finance equipment orders in the quarter. These shall be allocated to North America. </t>
      </text>
    </comment>
    <comment ref="A12" authorId="5" shapeId="0" xr:uid="{58CED058-5C96-40C1-BB22-BAC67EBB07DE}">
      <text>
        <t xml:space="preserve">[Threaded comment]
Your version of Excel allows you to read this threaded comment; however, any edits to it will get removed if the file is opened in a newer version of Excel. Learn more: https://go.microsoft.com/fwlink/?linkid=870924
Comment:
    Until Q4 2023, Epiroc added order books from acquired businesses in Orders received. It was called “Orders on hand”. Since Q1 2024, only orders that was awarded in the actual quarter is included in Orders received. Any orderbook will be mentioned separately. 
</t>
      </text>
    </comment>
    <comment ref="AF13" authorId="6" shapeId="0" xr:uid="{EB5D7B6A-A7A3-4C28-87C3-6FCF7219D8CB}">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6%, whereof nearly half relates to booked orders-onhand of acquired companies (Meglab and Mining Tag). </t>
      </text>
    </comment>
    <comment ref="AI13" authorId="7" shapeId="0" xr:uid="{29AA403D-019F-4377-A168-14768BF990C1}">
      <text>
        <t xml:space="preserve">[Threaded comment]
Your version of Excel allows you to read this threaded comment; however, any edits to it will get removed if the file is opened in a newer version of Excel. Learn more: https://go.microsoft.com/fwlink/?linkid=870924
Comment:
    Acquisitions contributed 5%, whereof approximately 3 percentage points relates to orders-on-hand of the acquired company JTMEC. </t>
      </text>
    </comment>
    <comment ref="AK13" authorId="8" shapeId="0" xr:uid="{6AC91073-585A-4224-9768-906A82F112A0}">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11% (RCT). </t>
      </text>
    </comment>
    <comment ref="AF14" authorId="9" shapeId="0" xr:uid="{98CBE7D3-EA0A-4CC8-9EB0-1D367A2D5285}">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11%, whereof approximately two thirds relates to booked orders-on-hand of acquired companies (DandA Heavy Industries). </t>
      </text>
    </comment>
    <comment ref="AK14" authorId="10" shapeId="0" xr:uid="{658BA16F-7F71-4EA6-BD23-B06087DE3344}">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have a positive impact of approximately 1% (Wain Roy). </t>
      </text>
    </comment>
    <comment ref="AL14" authorId="11" shapeId="0" xr:uid="{91C36C07-87DB-4119-9E8F-ABD209E95B37}">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acquisitions contributed with 24% (whereof orders on hand from CR of approximately 13 percentage points) </t>
      </text>
    </comment>
    <comment ref="AF15" authorId="12" shapeId="0" xr:uid="{BCFB7B3F-C620-4B3E-A49A-257AE7ECAE41}">
      <text>
        <t xml:space="preserve">[Threaded comment]
Your version of Excel allows you to read this threaded comment; however, any edits to it will get removed if the file is opened in a newer version of Excel. Learn more: https://go.microsoft.com/fwlink/?linkid=870924
Comment:
    Acquisitions (structure) contributed with 7%, whereof approximately half relates to booked orders-on-hand of acquired companies. </t>
      </text>
    </comment>
    <comment ref="AI15" authorId="13" shapeId="0" xr:uid="{1D88CA78-6310-40F6-83D7-A0260020AE4F}">
      <text>
        <t xml:space="preserve">[Threaded comment]
Your version of Excel allows you to read this threaded comment; however, any edits to it will get removed if the file is opened in a newer version of Excel. Learn more: https://go.microsoft.com/fwlink/?linkid=870924
Comment:
    Acquisitions contributed with 5%, whereof close to half relates to orders-on-hand of the acquired company JTMEC. </t>
      </text>
    </comment>
    <comment ref="AK15" authorId="14" shapeId="0" xr:uid="{3A060105-DACD-4E09-A108-02A4E42F280B}">
      <text>
        <t xml:space="preserve">[Threaded comment]
Your version of Excel allows you to read this threaded comment; however, any edits to it will get removed if the file is opened in a newer version of Excel. Learn more: https://go.microsoft.com/fwlink/?linkid=870924
Comment:
    The orders received also included orders on hand from acquired companies. These had a positive impact of approximately 9%. </t>
      </text>
    </comment>
    <comment ref="AL15" authorId="15" shapeId="0" xr:uid="{CD41C45A-B91F-40DC-890B-C56C42679109}">
      <text>
        <t xml:space="preserve">[Threaded comment]
Your version of Excel allows you to read this threaded comment; however, any edits to it will get removed if the file is opened in a newer version of Excel. Learn more: https://go.microsoft.com/fwlink/?linkid=870924
Comment:
    Figures in this table have been restated.
In the published report, structure (acquisitions) contributed with 10% (whereof orders on hand of approximately 3 percentage points) </t>
      </text>
    </comment>
    <comment ref="AQ46" authorId="16" shapeId="0" xr:uid="{BDFE83A8-146C-4B72-B4D5-ED86B79A1A5B}">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R46" authorId="17" shapeId="0" xr:uid="{3A165D34-CA7A-4D0A-995E-C57A88726B05}">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S46" authorId="18" shapeId="0" xr:uid="{A01883A4-BB3B-4305-8A95-940A7642F991}">
      <text>
        <t xml:space="preserve">[Threaded comment]
Your version of Excel allows you to read this threaded comment; however, any edits to it will get removed if the file is opened in a newer version of Excel. Learn more: https://go.microsoft.com/fwlink/?linkid=870924
Comment:
    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
      </text>
    </comment>
    <comment ref="A59" authorId="19" shapeId="0" xr:uid="{3CF5F6F0-1DD7-49B6-AEB1-3ABC3E98579C}">
      <text>
        <t xml:space="preserve">[Threaded comment]
Your version of Excel allows you to read this threaded comment; however, any edits to it will get removed if the file is opened in a newer version of Excel. Learn more: https://go.microsoft.com/fwlink/?linkid=870924
Comment:
    Generally, when the share price increases, it is a cost. When the share price decreases, it is a gain. </t>
      </text>
    </comment>
    <comment ref="AG62" authorId="20" shapeId="0" xr:uid="{2CBC109A-D7F0-46E4-8E6B-4E4EAE8562D5}">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I62" authorId="21" shapeId="0" xr:uid="{0693F319-C7E7-43F5-A757-A1C7A75A96DA}">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J62" authorId="22" shapeId="0" xr:uid="{F2AA2B4B-4DF7-436E-8E44-750B07A5D490}">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N62" authorId="23" shapeId="0" xr:uid="{CC4BED75-DE88-42B6-8889-C661E9B893B5}">
      <text>
        <t xml:space="preserve">[Threaded comment]
Your version of Excel allows you to read this threaded comment; however, any edits to it will get removed if the file is opened in a newer version of Excel. Learn more: https://go.microsoft.com/fwlink/?linkid=870924
Comment:
    Remeasurement related to a prior year acquisition of MSEK 7 </t>
      </text>
    </comment>
    <comment ref="AO62" authorId="24" shapeId="0" xr:uid="{197EAB45-939C-4B52-9851-E1794C8B5645}">
      <text>
        <t>[Threaded comment]
Your version of Excel allows you to read this threaded comment; however, any edits to it will get removed if the file is opened in a newer version of Excel. Learn more: https://go.microsoft.com/fwlink/?linkid=870924
Comment:
    Equipment &amp; Service included items affecting comparability of MSEK 280. This is mainly explained by a capital gain from the sale of the property in Japan of MSEK 436, earn-out payments for acquisitions of MSEK -58 and other costs of MSEK -98.</t>
      </text>
    </comment>
    <comment ref="AQ62" authorId="25" shapeId="0" xr:uid="{DB2C607E-3583-490F-B565-F45F28EDC80B}">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-142 (0), including earn-out for RCT of MSEK -73 as well as restructuring costs of MSEK -69. </t>
      </text>
    </comment>
    <comment ref="AR62" authorId="26" shapeId="0" xr:uid="{C48E882B-02D6-477F-974D-1167E33F7A95}">
      <text>
        <t xml:space="preserve">[Threaded comment]
Your version of Excel allows you to read this threaded comment; however, any edits to it will get removed if the file is opened in a newer version of Excel. Learn more: https://go.microsoft.com/fwlink/?linkid=870924
Comment:
    In Q3, Equipment &amp; Service included items affecting comparability of net MSEK 208 (positive revaluation effect of the shares held prior to the acquisition of ASI Mining MSEK +554 and impairments of intangible assets related to acquisitions of MSEK -346). </t>
      </text>
    </comment>
    <comment ref="AS62" authorId="27" shapeId="0" xr:uid="{CD925D97-14B3-462E-B21B-30A8D68518B9}">
      <text>
        <t>[Threaded comment]
Your version of Excel allows you to read this threaded comment; however, any edits to it will get removed if the file is opened in a newer version of Excel. Learn more: https://go.microsoft.com/fwlink/?linkid=870924
Comment:
    Earn out for the acquisition of RCT.</t>
      </text>
    </comment>
    <comment ref="AU62" authorId="28" shapeId="0" xr:uid="{DDAC054E-5E19-4F94-8E2D-9465F853EE28}">
      <text>
        <t xml:space="preserve">[Threaded comment]
Your version of Excel allows you to read this threaded comment; however, any edits to it will get removed if the file is opened in a newer version of Excel. Learn more: https://go.microsoft.com/fwlink/?linkid=870924
Comment:
    Cost taken to increase efficiency onwards. </t>
      </text>
    </comment>
    <comment ref="AV62" authorId="29" shapeId="0" xr:uid="{4A5809C7-E551-4179-8DD9-E54144765942}">
      <text>
        <t>[Threaded comment]
Your version of Excel allows you to read this threaded comment; however, any edits to it will get removed if the file is opened in a newer version of Excel. Learn more: https://go.microsoft.com/fwlink/?linkid=870924
Comment:
    Efficiency measures</t>
      </text>
    </comment>
    <comment ref="AW62" authorId="30" shapeId="0" xr:uid="{7554100A-2D17-4AF9-A723-6BF88EA46761}">
      <text>
        <t xml:space="preserve">[Threaded comment]
Your version of Excel allows you to read this threaded comment; however, any edits to it will get removed if the file is opened in a newer version of Excel. Learn more: https://go.microsoft.com/fwlink/?linkid=870924
Comment:
    Efficiency measures </t>
      </text>
    </comment>
    <comment ref="AI63" authorId="31" shapeId="0" xr:uid="{A829C189-B6B2-49C3-BAB7-B62D6DF15D72}">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J63" authorId="32" shapeId="0" xr:uid="{22E5553A-B126-41C2-A61F-82CB29EF54F2}">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 ref="AO63" authorId="33" shapeId="0" xr:uid="{30EF5795-2A19-420B-AEE0-90F0DE61E784}">
      <text>
        <t>[Threaded comment]
Your version of Excel allows you to read this threaded comment; however, any edits to it will get removed if the file is opened in a newer version of Excel. Learn more: https://go.microsoft.com/fwlink/?linkid=870924
Comment:
    Tools &amp; Attachments included items affecting comparability of MSEK -158, which is related to the planned closure of the manufacturing plant in Essen, Germany.</t>
      </text>
    </comment>
    <comment ref="AP63" authorId="34" shapeId="0" xr:uid="{94695940-4242-4E2A-85DC-BA1DC9AF0430}">
      <text>
        <t xml:space="preserve">[Threaded comment]
Your version of Excel allows you to read this threaded comment; however, any edits to it will get removed if the file is opened in a newer version of Excel. Learn more: https://go.microsoft.com/fwlink/?linkid=870924
Comment:
    Transaction and integration costs for M&amp;A. (Stanley Infrastructure) </t>
      </text>
    </comment>
    <comment ref="AQ63" authorId="35" shapeId="0" xr:uid="{B13A72C7-F638-459E-BE8A-2AE7599B797A}">
      <text>
        <t xml:space="preserve">[Threaded comment]
Your version of Excel allows you to read this threaded comment; however, any edits to it will get removed if the file is opened in a newer version of Excel. Learn more: https://go.microsoft.com/fwlink/?linkid=870924
Comment:
    Items affecting comparability amounted to MSEK -165 (0), including transaction and integration costs for acquisitions of MSEK -130 and restructuring costs of MSEK -35. </t>
      </text>
    </comment>
    <comment ref="AU63" authorId="36" shapeId="0" xr:uid="{E98CA007-0D85-4F6F-948E-430D0519A9ED}">
      <text>
        <t xml:space="preserve">[Threaded comment]
Your version of Excel allows you to read this threaded comment; however, any edits to it will get removed if the file is opened in a newer version of Excel. Learn more: https://go.microsoft.com/fwlink/?linkid=870924
Comment:
    MSEK 70 relates to closure of tools manufacturing in Canada, which is moved to Mexico. The rest is cost taken to improve efficiency onwards. </t>
      </text>
    </comment>
    <comment ref="AV63" authorId="37" shapeId="0" xr:uid="{5E99A81E-9382-4E8D-A2E9-07A43114C277}">
      <text>
        <t xml:space="preserve">[Threaded comment]
Your version of Excel allows you to read this threaded comment; however, any edits to it will get removed if the file is opened in a newer version of Excel. Learn more: https://go.microsoft.com/fwlink/?linkid=870924
Comment:
    Reversed costs for previous restructuring measures </t>
      </text>
    </comment>
    <comment ref="AW63" authorId="38" shapeId="0" xr:uid="{6DA178A5-C6C5-44C6-B66D-2CF36E7FB382}">
      <text>
        <t xml:space="preserve">[Threaded comment]
Your version of Excel allows you to read this threaded comment; however, any edits to it will get removed if the file is opened in a newer version of Excel. Learn more: https://go.microsoft.com/fwlink/?linkid=870924
Comment:
    Insurance settlement claim for Stanley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tc={86BE7DA4-AC2F-4ABF-BE24-26CDCE012015}</author>
    <author>tc={C15A2B7F-3613-4393-91CE-75CA527CD64E}</author>
    <author>tc={4ACF0717-4B30-4DDE-8A26-212A517D8074}</author>
    <author>tc={5DEB5944-D27D-4478-BB8F-FF02CC838201}</author>
    <author>tc={22B3AFD3-0B4F-4DE3-96BD-D17FBBB27371}</author>
    <author>tc={F1EDB0FA-C084-413B-AEF8-A9CA418C0D40}</author>
    <author>tc={496DC08F-9C06-428E-AA57-F5EFBED6871E}</author>
    <author>tc={1551534F-4A1A-4215-A5F7-7FE435AA208F}</author>
    <author>tc={EC0A8764-B864-42F4-97A8-8FD9DE8F4E67}</author>
    <author>tc={F4D9540C-7F44-4FF5-AE86-7314116B8026}</author>
    <author>tc={E28AA2E6-E573-4ECD-B700-B9212EB08E3D}</author>
    <author>tc={449C8ED9-6F56-4650-83E0-984EEC6D3CED}</author>
  </authors>
  <commentList>
    <comment ref="I3" authorId="0" shapeId="0" xr:uid="{86BE7DA4-AC2F-4ABF-BE24-26CDCE012015}">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AH3" authorId="1" shapeId="0" xr:uid="{C15A2B7F-3613-4393-91CE-75CA527CD64E}">
      <text>
        <t xml:space="preserve">[Threaded comment]
Your version of Excel allows you to read this threaded comment; however, any edits to it will get removed if the file is opened in a newer version of Excel. Learn more: https://go.microsoft.com/fwlink/?linkid=870924
Comment:
    Exploration moved from T&amp;A to E&amp;S (Equipment) in Q1 2023. Figures for 2022 have been restated. </t>
      </text>
    </comment>
    <comment ref="K74" authorId="2" shapeId="0" xr:uid="{4ACF0717-4B30-4DDE-8A26-212A517D8074}">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83" authorId="3" shapeId="0" xr:uid="{5DEB5944-D27D-4478-BB8F-FF02CC838201}">
      <text>
        <t xml:space="preserve">[Threaded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
</t>
      </text>
    </comment>
    <comment ref="L100" authorId="4" shapeId="0" xr:uid="{22B3AFD3-0B4F-4DE3-96BD-D17FBBB27371}">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K120" authorId="5" shapeId="0" xr:uid="{F1EDB0FA-C084-413B-AEF8-A9CA418C0D40}">
      <text>
        <t xml:space="preserve">[Threaded comment]
Your version of Excel allows you to read this threaded comment; however, any edits to it will get removed if the file is opened in a newer version of Excel. Learn more: https://go.microsoft.com/fwlink/?linkid=870924
Comment:
    Acquisition of Stanley Infrastructure, with large US exposure. </t>
      </text>
    </comment>
    <comment ref="J129" authorId="6" shapeId="0" xr:uid="{496DC08F-9C06-428E-AA57-F5EFBED6871E}">
      <text>
        <t>[Threaded comment]
Your version of Excel allows you to read this threaded comment; however, any edits to it will get removed if the file is opened in a newer version of Excel. Learn more: https://go.microsoft.com/fwlink/?linkid=870924
Comment:
    Cobre Panamá, a $10 billion copper mine producing 1–2% of global supply, was shut down after Panama’s Supreme Court ruled its concession unconstitutional in 2023 due to environmental concerns and mass protests.</t>
      </text>
    </comment>
    <comment ref="I141" authorId="7" shapeId="0" xr:uid="{1551534F-4A1A-4215-A5F7-7FE435AA208F}">
      <text>
        <t xml:space="preserve">[Threaded comment]
Your version of Excel allows you to read this threaded comment; however, any edits to it will get removed if the file is opened in a newer version of Excel. Learn more: https://go.microsoft.com/fwlink/?linkid=870924
Comment:
    March 1, 2022, Epiroc said that it would no longer supply Russia. </t>
      </text>
    </comment>
    <comment ref="L146" authorId="8" shapeId="0" xr:uid="{EC0A8764-B864-42F4-97A8-8FD9DE8F4E67}">
      <text>
        <t xml:space="preserve">[Threaded comment]
Your version of Excel allows you to read this threaded comment; however, any edits to it will get removed if the file is opened in a newer version of Excel. Learn more: https://go.microsoft.com/fwlink/?linkid=870924
Comment:
    Q1 - Military actions reducing activity in Camoa. 
Q2-Q4 - Due to seismic activity, Camoa was either closed or run with reduced capacity </t>
      </text>
    </comment>
    <comment ref="AH165" authorId="9" shapeId="0" xr:uid="{F4D9540C-7F44-4FF5-AE86-7314116B8026}">
      <text>
        <t xml:space="preserve">[Threaded comment]
Your version of Excel allows you to read this threaded comment; however, any edits to it will get removed if the file is opened in a newer version of Excel. Learn more: https://go.microsoft.com/fwlink/?linkid=870924
Comment:
    Epiroc stopped deliveries to Russia 2022-03-01. 
Exploration moved from T&amp;A to E&amp;S (Equipment) in Q1 2023. Figures for 2022 have been restated. </t>
      </text>
    </comment>
    <comment ref="AI165" authorId="10" shapeId="0" xr:uid="{E28AA2E6-E573-4ECD-B700-B9212EB08E3D}">
      <text>
        <t xml:space="preserve">[Threaded comment]
Your version of Excel allows you to read this threaded comment; however, any edits to it will get removed if the file is opened in a newer version of Excel. Learn more: https://go.microsoft.com/fwlink/?linkid=870924
Comment:
    Customer cancellations in Russia of MSEK 400
</t>
      </text>
    </comment>
    <comment ref="AJ165" authorId="11" shapeId="0" xr:uid="{449C8ED9-6F56-4650-83E0-984EEC6D3CED}">
      <text>
        <t xml:space="preserve">[Threaded comment]
Your version of Excel allows you to read this threaded comment; however, any edits to it will get removed if the file is opened in a newer version of Excel. Learn more: https://go.microsoft.com/fwlink/?linkid=870924
Comment:
    Russian orderbook removed. Will not be delivered.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tc={25ECC453-367A-4218-825F-F229F14A2459}</author>
    <author>tc={57EED712-052A-4499-8C76-ECF5A2EBFC64}</author>
    <author>tc={F2125FC0-DE04-452D-B4DD-62279712EF49}</author>
    <author>tc={8044ADDF-390A-41A4-B8C2-5F2A9872023C}</author>
  </authors>
  <commentList>
    <comment ref="AO24" authorId="0" shapeId="0" xr:uid="{25ECC453-367A-4218-825F-F229F14A2459}">
      <text>
        <t>[Threaded comment]
Your version of Excel allows you to read this threaded comment; however, any edits to it will get removed if the file is opened in a newer version of Excel. Learn more: https://go.microsoft.com/fwlink/?linkid=870924
Comment:
    This is mainly explained by a capital gain from a sale of a property in Japan of MSEK 436.</t>
      </text>
    </comment>
    <comment ref="AJ31" authorId="1" shapeId="0" xr:uid="{57EED712-052A-4499-8C76-ECF5A2EBFC64}">
      <text>
        <t>[Threaded comment]
Your version of Excel allows you to read this threaded comment; however, any edits to it will get removed if the file is opened in a newer version of Excel. Learn more: https://go.microsoft.com/fwlink/?linkid=870924
Comment:
    In the third quarter 2022, Epiroc acquired the full remaining non-controlling interest of Epiroc Mining India Ltd for MSEK -173.</t>
      </text>
    </comment>
    <comment ref="AO31" authorId="2" shapeId="0" xr:uid="{F2125FC0-DE04-452D-B4DD-62279712EF49}">
      <text>
        <t xml:space="preserve">[Threaded comment]
Your version of Excel allows you to read this threaded comment; however, any edits to it will get removed if the file is opened in a newer version of Excel. Learn more: https://go.microsoft.com/fwlink/?linkid=870924
Comment:
    Increased ownership in Radlink. Prev. Ownership was 53%. </t>
      </text>
    </comment>
    <comment ref="AU31" authorId="3" shapeId="0" xr:uid="{8044ADDF-390A-41A4-B8C2-5F2A9872023C}">
      <text>
        <t xml:space="preserve">[Threaded comment]
Your version of Excel allows you to read this threaded comment; however, any edits to it will get removed if the file is opened in a newer version of Excel. Learn more: https://go.microsoft.com/fwlink/?linkid=870924
Comment:
    The transaction related to the acquisition of the minority share of Radlink led to MSEK -355 in cash flow from financing activities.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tc={ED14E2F9-2B4D-4A1D-8049-8012557163BA}</author>
    <author>tc={DBA57F3A-256D-48E8-96E8-4380B5608397}</author>
    <author>tc={3BEB8819-8E35-4389-83F4-8AD9F3BD8DE0}</author>
    <author>tc={5D6F72A8-61D6-43A6-9054-C762E9690DA0}</author>
    <author>tc={0E216018-8540-4487-B304-6175FC7214F8}</author>
    <author>tc={643C53E5-1B7D-4B8F-BD90-00320AB994F6}</author>
    <author>tc={EB0F739F-7830-44FB-8B03-49326ACFA9FA}</author>
    <author>tc={57CD25DF-2EB0-47CF-B892-0CE49B5837FC}</author>
    <author>tc={5A6B47B2-7B7D-445B-8B7A-A967EBAE5719}</author>
    <author>tc={C2082D05-75E1-441D-8B1F-981ADBCDC92B}</author>
    <author>tc={71C7E256-149B-405F-AABD-49474B7E9CA7}</author>
    <author>tc={5E712F9F-85EB-4374-B122-91B7E0A8ACF1}</author>
    <author>tc={4ED18DE9-C4F0-4FFF-A04A-96312F0DDA77}</author>
    <author>tc={D251996E-F98A-40F6-A8B2-EC8550118FD4}</author>
    <author>tc={4AF4A564-763D-47FB-BC25-C078B9E2439D}</author>
    <author>tc={D31F566F-E5F7-4304-895F-A56C257F64B8}</author>
    <author>tc={B9A146FC-B160-492C-A4AF-7A90C56FF065}</author>
    <author>tc={B20C3914-1182-4A35-8FF6-EDED7EC64776}</author>
    <author>tc={D13E094A-8BFA-4BAA-A9E5-14E40CC75CAB}</author>
    <author>tc={2DDB3955-89F4-4551-A285-1810484B3DD3}</author>
    <author>tc={FAD6BD69-9D7A-44D1-94E2-C88644B9D913}</author>
    <author>tc={1FCC5528-C8ED-4735-B77A-D6A273289551}</author>
    <author>tc={5DC6111C-3B10-46BA-8AA0-8578E05FE379}</author>
    <author>tc={92122B31-B039-48E0-8513-EE8807FE4DE9}</author>
    <author>tc={4803D71B-1F72-4FDC-A47B-1A8525939A7A}</author>
    <author>tc={CD7240D0-1659-4B9D-A43B-5B512A67E8E7}</author>
  </authors>
  <commentList>
    <comment ref="AH7" authorId="0" shapeId="0" xr:uid="{ED14E2F9-2B4D-4A1D-8049-8012557163BA}">
      <text>
        <t xml:space="preserve">[Threaded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
      </text>
    </comment>
    <comment ref="AH9" authorId="1" shapeId="0" xr:uid="{DBA57F3A-256D-48E8-96E8-4380B560839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10" authorId="2" shapeId="0" xr:uid="{3BEB8819-8E35-4389-83F4-8AD9F3BD8DE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10" authorId="3" shapeId="0" xr:uid="{5D6F72A8-61D6-43A6-9054-C762E9690DA0}">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10" authorId="4" shapeId="0" xr:uid="{0E216018-8540-4487-B304-6175FC7214F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10" authorId="5" shapeId="0" xr:uid="{643C53E5-1B7D-4B8F-BD90-00320AB994F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E15" authorId="6" shapeId="0" xr:uid="{EB0F739F-7830-44FB-8B03-49326ACFA9FA}">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F15" authorId="7" shapeId="0" xr:uid="{57CD25DF-2EB0-47CF-B892-0CE49B5837FC}">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G15" authorId="8" shapeId="0" xr:uid="{5A6B47B2-7B7D-445B-8B7A-A967EBAE5719}">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5" authorId="9" shapeId="0" xr:uid="{C2082D05-75E1-441D-8B1F-981ADBCDC92B}">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I15" authorId="10" shapeId="0" xr:uid="{71C7E256-149B-405F-AABD-49474B7E9CA7}">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J15" authorId="11" shapeId="0" xr:uid="{5E712F9F-85EB-4374-B122-91B7E0A8ACF1}">
      <text>
        <t xml:space="preserve">[Threaded comment]
Your version of Excel allows you to read this threaded comment; however, any edits to it will get removed if the file is opened in a newer version of Excel. Learn more: https://go.microsoft.com/fwlink/?linkid=870924
Comment:
    See ex. Russia below. </t>
      </text>
    </comment>
    <comment ref="AH17" authorId="12" shapeId="0" xr:uid="{4ED18DE9-C4F0-4FFF-A04A-96312F0DDA77}">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19" authorId="13" shapeId="0" xr:uid="{D251996E-F98A-40F6-A8B2-EC8550118FD4}">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20" authorId="14" shapeId="0" xr:uid="{4AF4A564-763D-47FB-BC25-C078B9E2439D}">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20" authorId="15" shapeId="0" xr:uid="{D31F566F-E5F7-4304-895F-A56C257F64B8}">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20" authorId="16" shapeId="0" xr:uid="{B9A146FC-B160-492C-A4AF-7A90C56FF065}">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20" authorId="17" shapeId="0" xr:uid="{B20C3914-1182-4A35-8FF6-EDED7EC64776}">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35" authorId="18" shapeId="0" xr:uid="{D13E094A-8BFA-4BAA-A9E5-14E40CC75CAB}">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36" authorId="19" shapeId="0" xr:uid="{2DDB3955-89F4-4551-A285-1810484B3DD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3" authorId="20" shapeId="0" xr:uid="{FAD6BD69-9D7A-44D1-94E2-C88644B9D913}">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H44" authorId="21" shapeId="0" xr:uid="{1FCC5528-C8ED-4735-B77A-D6A273289551}">
      <text>
        <t>[Threaded comment]
Your version of Excel allows you to read this threaded comment; however, any edits to it will get removed if the file is opened in a newer version of Excel. Learn more: https://go.microsoft.com/fwlink/?linkid=870924
Comment:
    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
      </text>
    </comment>
    <comment ref="AE46" authorId="22" shapeId="0" xr:uid="{5DC6111C-3B10-46BA-8AA0-8578E05FE37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F46" authorId="23" shapeId="0" xr:uid="{92122B31-B039-48E0-8513-EE8807FE4DE9}">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G46" authorId="24" shapeId="0" xr:uid="{4803D71B-1F72-4FDC-A47B-1A8525939A7A}">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 ref="AH46" authorId="25" shapeId="0" xr:uid="{CD7240D0-1659-4B9D-A43B-5B512A67E8E7}">
      <text>
        <t>[Threaded comment]
Your version of Excel allows you to read this threaded comment; however, any edits to it will get removed if the file is opened in a newer version of Excel. Learn more: https://go.microsoft.com/fwlink/?linkid=870924
Comment:
    Not adjusted for Russia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tc={86204D0D-86E8-4EAD-B940-3CE22F565926}</author>
    <author>tc={2AB98E23-0BA1-4EF5-920D-E216BF3EB12C}</author>
    <author>tc={5254E828-97A1-4B2D-B1E1-1C9AC25BD58D}</author>
    <author>tc={DDFD0FB8-B043-4703-B036-C0625A8915A0}</author>
    <author>tc={5747108C-531B-440F-A0B3-FCE813106E61}</author>
    <author>tc={0A54958D-6666-4683-BC2F-B613CC0CCA13}</author>
  </authors>
  <commentList>
    <comment ref="G123" authorId="0" shapeId="0" xr:uid="{86204D0D-86E8-4EAD-B940-3CE22F565926}">
      <text>
        <t>[Threaded comment]
Your version of Excel allows you to read this threaded comment; however, any edits to it will get removed if the file is opened in a newer version of Excel. Learn more: https://go.microsoft.com/fwlink/?linkid=870924
Comment:
    2023-06</t>
      </text>
    </comment>
    <comment ref="G124" authorId="1" shapeId="0" xr:uid="{2AB98E23-0BA1-4EF5-920D-E216BF3EB12C}">
      <text>
        <t>[Threaded comment]
Your version of Excel allows you to read this threaded comment; however, any edits to it will get removed if the file is opened in a newer version of Excel. Learn more: https://go.microsoft.com/fwlink/?linkid=870924
Comment:
    2023-03</t>
      </text>
    </comment>
    <comment ref="G125" authorId="2" shapeId="0" xr:uid="{5254E828-97A1-4B2D-B1E1-1C9AC25BD58D}">
      <text>
        <t>[Threaded comment]
Your version of Excel allows you to read this threaded comment; however, any edits to it will get removed if the file is opened in a newer version of Excel. Learn more: https://go.microsoft.com/fwlink/?linkid=870924
Comment:
    2023-06 (G)  2024-03 (E&amp;S)</t>
      </text>
    </comment>
    <comment ref="G126" authorId="3" shapeId="0" xr:uid="{DDFD0FB8-B043-4703-B036-C0625A8915A0}">
      <text>
        <t>[Threaded comment]
Your version of Excel allows you to read this threaded comment; however, any edits to it will get removed if the file is opened in a newer version of Excel. Learn more: https://go.microsoft.com/fwlink/?linkid=870924
Comment:
    2023-12</t>
      </text>
    </comment>
    <comment ref="G127" authorId="4" shapeId="0" xr:uid="{5747108C-531B-440F-A0B3-FCE813106E61}">
      <text>
        <t>[Threaded comment]
Your version of Excel allows you to read this threaded comment; however, any edits to it will get removed if the file is opened in a newer version of Excel. Learn more: https://go.microsoft.com/fwlink/?linkid=870924
Comment:
    2024-02</t>
      </text>
    </comment>
    <comment ref="H127" authorId="5" shapeId="0" xr:uid="{0A54958D-6666-4683-BC2F-B613CC0CCA13}">
      <text>
        <t xml:space="preserve">[Threaded comment]
Your version of Excel allows you to read this threaded comment; however, any edits to it will get removed if the file is opened in a newer version of Excel. Learn more: https://go.microsoft.com/fwlink/?linkid=870924
Comment:
    New questionnaire.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tc={60AE6F34-A108-4574-8543-87445B347050}</author>
    <author>tc={C554FA82-9A3B-4262-95FA-670E59220CA7}</author>
    <author>tc={C48FFF7D-E179-4EF9-BA59-FAE17AC53F30}</author>
  </authors>
  <commentList>
    <comment ref="F11" authorId="0" shapeId="0" xr:uid="{60AE6F34-A108-4574-8543-87445B347050}">
      <text>
        <t xml:space="preserve">[Threaded comment]
Your version of Excel allows you to read this threaded comment; however, any edits to it will get removed if the file is opened in a newer version of Excel. Learn more: https://go.microsoft.com/fwlink/?linkid=870924
Comment:
    The Schramm assets are not considered to be M&amp;A. Everything is reported organically. </t>
      </text>
    </comment>
    <comment ref="H17" authorId="1" shapeId="0" xr:uid="{C554FA82-9A3B-4262-95FA-670E59220CA7}">
      <text>
        <t xml:space="preserve">[Threaded comment]
Your version of Excel allows you to read this threaded comment; however, any edits to it will get removed if the file is opened in a newer version of Excel. Learn more: https://go.microsoft.com/fwlink/?linkid=870924
Comment:
    In Q4, 2023, Epiroc increased its holding. New ownership percent not disclosed. </t>
      </text>
    </comment>
    <comment ref="AP20" authorId="2" shapeId="0" xr:uid="{C48FFF7D-E179-4EF9-BA59-FAE17AC53F30}">
      <text>
        <t>[Threaded comment]
Your version of Excel allows you to read this threaded comment; however, any edits to it will get removed if the file is opened in a newer version of Excel. Learn more: https://go.microsoft.com/fwlink/?linkid=870924
Comment:
    Includes IAC</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tc={F0ADF7B6-E784-4D81-AD5B-27259CA1A57E}</author>
    <author>tc={5A917518-A710-46EB-95FB-CB792F28EBE9}</author>
    <author>tc={162BFBDC-075B-4060-B682-84B347EC9C09}</author>
    <author>tc={AD5F8F5D-9AB4-4872-8E18-DA0560EEBBDE}</author>
    <author>tc={EB4870A7-2C5B-4934-B447-04DC9D75F13E}</author>
  </authors>
  <commentList>
    <comment ref="AD48" authorId="0" shapeId="0" xr:uid="{F0ADF7B6-E784-4D81-AD5B-27259CA1A57E}">
      <text>
        <t>[Threaded comment]
Your version of Excel allows you to read this threaded comment; however, any edits to it will get removed if the file is opened in a newer version of Excel. Learn more: https://go.microsoft.com/fwlink/?linkid=870924
Comment:
    Q4 2021 includes a positive revaluation effect of the shares held prior to the acquisition of the remaining shares of Mobilaris of MSEK 167.</t>
      </text>
    </comment>
    <comment ref="AF48" authorId="1" shapeId="0" xr:uid="{5A917518-A710-46EB-95FB-CB792F28EBE9}">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-327 and restructuring costs related to the
relocation of manufacturing from Japan to China of MSEK -95. </t>
      </text>
    </comment>
    <comment ref="AG48" authorId="2" shapeId="0" xr:uid="{162BFBDC-075B-4060-B682-84B347EC9C09}">
      <text>
        <t>[Threaded comment]
Your version of Excel allows you to read this threaded comment; however, any edits to it will get removed if the file is opened in a newer version of Excel. Learn more: https://go.microsoft.com/fwlink/?linkid=870924
Comment:
    Provisions
related to Russia of MSEK -138</t>
      </text>
    </comment>
    <comment ref="AF49" authorId="3" shapeId="0" xr:uid="{AD5F8F5D-9AB4-4872-8E18-DA0560EEBBDE}">
      <text>
        <t>[Threaded comment]
Your version of Excel allows you to read this threaded comment; however, any edits to it will get removed if the file is opened in a newer version of Excel. Learn more: https://go.microsoft.com/fwlink/?linkid=870924
Comment:
    Provisions of MSEK -73 related to Russia</t>
      </text>
    </comment>
    <comment ref="AG49" authorId="4" shapeId="0" xr:uid="{EB4870A7-2C5B-4934-B447-04DC9D75F13E}">
      <text>
        <t xml:space="preserve">[Threaded comment]
Your version of Excel allows you to read this threaded comment; however, any edits to it will get removed if the file is opened in a newer version of Excel. Learn more: https://go.microsoft.com/fwlink/?linkid=870924
Comment:
    Provisions related to Russia of
MSEK -12. </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tc={91B63FE5-C058-4329-8D5F-8917AEA3E77D}</author>
    <author>acpkl</author>
  </authors>
  <commentList>
    <comment ref="A35" authorId="0" shapeId="0" xr:uid="{91B63FE5-C058-4329-8D5F-8917AEA3E77D}">
      <text>
        <t xml:space="preserve">[Threaded comment]
Your version of Excel allows you to read this threaded comment; however, any edits to it will get removed if the file is opened in a newer version of Excel. Learn more: https://go.microsoft.com/fwlink/?linkid=870924
Comment:
    It covers various offering such as construction tools, road construction, and specialty rental solutions.  </t>
      </text>
    </comment>
    <comment ref="N52" authorId="1" shapeId="0" xr:uid="{572D1545-BD53-48B0-ADB5-B1C1AC975F74}">
      <text>
        <r>
          <rPr>
            <b/>
            <sz val="8"/>
            <color indexed="81"/>
            <rFont val="Tahoma"/>
            <family val="2"/>
          </rPr>
          <t>Continuing operations are included in Compressor Technique</t>
        </r>
        <r>
          <rPr>
            <sz val="8"/>
            <color indexed="81"/>
            <rFont val="Tahoma"/>
            <family val="2"/>
          </rPr>
          <t xml:space="preserve">
</t>
        </r>
      </text>
    </comment>
    <comment ref="A62" authorId="1" shapeId="0" xr:uid="{03ECBDE1-7F1B-4813-9573-FD612B4A8EB5}">
      <text>
        <r>
          <rPr>
            <sz val="8"/>
            <color indexed="81"/>
            <rFont val="Tahoma"/>
            <family val="2"/>
          </rPr>
          <t xml:space="preserve">Items affecting comparability with the same period previous year. </t>
        </r>
      </text>
    </comment>
    <comment ref="T63" authorId="1" shapeId="0" xr:uid="{D3644207-1B0C-4D42-AC6F-31D4357CD000}">
      <text>
        <r>
          <rPr>
            <sz val="8"/>
            <color indexed="81"/>
            <rFont val="Tahoma"/>
            <family val="2"/>
          </rPr>
          <t xml:space="preserve">Restructuring costs within the Road Construction Equipment division and costs for reduction in workforce
</t>
        </r>
      </text>
    </comment>
  </commentList>
</comments>
</file>

<file path=xl/sharedStrings.xml><?xml version="1.0" encoding="utf-8"?>
<sst xmlns="http://schemas.openxmlformats.org/spreadsheetml/2006/main" count="6606" uniqueCount="1356">
  <si>
    <t xml:space="preserve">Key figures </t>
  </si>
  <si>
    <t xml:space="preserve">Content </t>
  </si>
  <si>
    <t xml:space="preserve">Last updated </t>
  </si>
  <si>
    <t>Definitions</t>
  </si>
  <si>
    <t>At Epiroc we have the ambition to provide you with updated financial information and assist you in understanding our business, strategy and financial performance. If you cannot find what you are looking for, do not hesitate to contact us.</t>
  </si>
  <si>
    <t xml:space="preserve">APMs calculated </t>
  </si>
  <si>
    <t xml:space="preserve">Income Statement </t>
  </si>
  <si>
    <t xml:space="preserve">Segments </t>
  </si>
  <si>
    <t xml:space="preserve">Geography </t>
  </si>
  <si>
    <t>Balance Sheet</t>
  </si>
  <si>
    <t>Sales bridges</t>
  </si>
  <si>
    <t xml:space="preserve">Adjusted bridges </t>
  </si>
  <si>
    <t>Profit bridges</t>
  </si>
  <si>
    <t xml:space="preserve">Telephone: </t>
  </si>
  <si>
    <t xml:space="preserve">Cash Flow </t>
  </si>
  <si>
    <t>+46 10 755 0719</t>
  </si>
  <si>
    <t>Key figures</t>
  </si>
  <si>
    <t xml:space="preserve">+46 10 755 0106 </t>
  </si>
  <si>
    <t xml:space="preserve">ESG </t>
  </si>
  <si>
    <t>FY 2024</t>
  </si>
  <si>
    <t xml:space="preserve">OIB </t>
  </si>
  <si>
    <t>Mail:</t>
  </si>
  <si>
    <t xml:space="preserve">Large Orders </t>
  </si>
  <si>
    <t>ir@epiroc.com</t>
  </si>
  <si>
    <t xml:space="preserve">M&amp;A </t>
  </si>
  <si>
    <t xml:space="preserve">Segments (Old) </t>
  </si>
  <si>
    <t>Through 2022-12-31</t>
  </si>
  <si>
    <t xml:space="preserve">Atlas Copco (Old) </t>
  </si>
  <si>
    <t>Through 2017</t>
  </si>
  <si>
    <t xml:space="preserve">Definitions </t>
  </si>
  <si>
    <t>Back to start page</t>
  </si>
  <si>
    <t>Several key figures in Epiroc's financial reports are not defined according to IFRS. They provide complementary information aiming to help readers to analyze the company’s operations and facilitate an evaluation of performance. Since not all companies calculate financial performance measures in the same manner, these are not always comparable with measures used by other companies. These financial performance measures should therefore not be regarded as a replacement for measures as defined according to IFRS.</t>
  </si>
  <si>
    <r>
      <rPr>
        <b/>
        <sz val="9"/>
        <color rgb="FF000000"/>
        <rFont val="Arial"/>
        <family val="2"/>
        <scheme val="minor"/>
      </rPr>
      <t>Totals and roundings</t>
    </r>
    <r>
      <rPr>
        <sz val="9"/>
        <color rgb="FF000000"/>
        <rFont val="Arial"/>
        <family val="2"/>
        <scheme val="minor"/>
      </rPr>
      <t xml:space="preserve">
Totals quoted in tables and statements may not always be the exact sum of the individual items because of rounding differences. The aim is that each line item should correspond to its source, and round¬ing differences may therefore arise.</t>
    </r>
  </si>
  <si>
    <r>
      <t xml:space="preserve">Language 
</t>
    </r>
    <r>
      <rPr>
        <sz val="9"/>
        <color rgb="FF000000"/>
        <rFont val="Arial"/>
        <family val="2"/>
        <scheme val="minor"/>
      </rPr>
      <t>In the event of inconsistency or discrepancy between the English and the Swedish quarterly report, presentation and/or this publication, the Swedish version of the quarterly report shall prevail.</t>
    </r>
  </si>
  <si>
    <t xml:space="preserve">Key figure </t>
  </si>
  <si>
    <t>Description</t>
  </si>
  <si>
    <t>Reason for use</t>
  </si>
  <si>
    <t>Adjusted operating margin</t>
  </si>
  <si>
    <t>Adjusted operating profit in % of revenues.</t>
  </si>
  <si>
    <t>A measurement of the operational profit which enables comparisons over time by excluding items that are irregular in frequency or size.</t>
  </si>
  <si>
    <t xml:space="preserve">Adjusted operating profit </t>
  </si>
  <si>
    <t xml:space="preserve">Operating profit adjusted for items affecting comparability. </t>
  </si>
  <si>
    <t>Enables comparisons over time - and between companies - by excluding items that are irregular in frequency or size.</t>
  </si>
  <si>
    <t>Book-to-bill</t>
  </si>
  <si>
    <t>Orders received divided by revenues.</t>
  </si>
  <si>
    <t>An indicator of demand trends.</t>
  </si>
  <si>
    <t xml:space="preserve">Cash conversion, % </t>
  </si>
  <si>
    <t xml:space="preserve">Operating cash flow divided by net profit, rolling 12 months </t>
  </si>
  <si>
    <t>The cash conversion rate measures how efficiently a company converts its net income into operating cash flow.</t>
  </si>
  <si>
    <t xml:space="preserve">Capital employed </t>
  </si>
  <si>
    <r>
      <t>Average total assets</t>
    </r>
    <r>
      <rPr>
        <vertAlign val="superscript"/>
        <sz val="9"/>
        <color rgb="FF000000"/>
        <rFont val="Arial"/>
        <family val="2"/>
        <scheme val="minor"/>
      </rPr>
      <t>1)</t>
    </r>
    <r>
      <rPr>
        <sz val="9"/>
        <color rgb="FF000000"/>
        <rFont val="Arial"/>
        <family val="2"/>
        <scheme val="minor"/>
      </rPr>
      <t xml:space="preserve"> less average non-interest-bearing liabilities/provisions. Capital employed for the segments excludes cash, tax liabilities and tax receivables. </t>
    </r>
  </si>
  <si>
    <t>Shows how much of total capital is tied to operations.</t>
  </si>
  <si>
    <t>Capital employed turnover ratio</t>
  </si>
  <si>
    <r>
      <t>Revenues</t>
    </r>
    <r>
      <rPr>
        <vertAlign val="superscript"/>
        <sz val="9"/>
        <color rgb="FF000000"/>
        <rFont val="Arial"/>
        <family val="2"/>
        <scheme val="minor"/>
      </rPr>
      <t>2)</t>
    </r>
    <r>
      <rPr>
        <sz val="9"/>
        <color rgb="FF000000"/>
        <rFont val="Arial"/>
        <family val="2"/>
        <scheme val="minor"/>
      </rPr>
      <t xml:space="preserve"> divided by the average capital employed</t>
    </r>
    <r>
      <rPr>
        <vertAlign val="superscript"/>
        <sz val="9"/>
        <color rgb="FF000000"/>
        <rFont val="Arial"/>
        <family val="2"/>
        <scheme val="minor"/>
      </rPr>
      <t>1)</t>
    </r>
    <r>
      <rPr>
        <sz val="9"/>
        <color rgb="FF000000"/>
        <rFont val="Arial"/>
        <family val="2"/>
        <scheme val="minor"/>
      </rPr>
      <t>.</t>
    </r>
  </si>
  <si>
    <t>Shows how efficiently Epiroc generates revenues from the capital utilized to run operations.</t>
  </si>
  <si>
    <t>Capital turnover ratio</t>
  </si>
  <si>
    <r>
      <t>Revenues</t>
    </r>
    <r>
      <rPr>
        <vertAlign val="superscript"/>
        <sz val="9"/>
        <color rgb="FF000000"/>
        <rFont val="Arial"/>
        <family val="2"/>
        <scheme val="minor"/>
      </rPr>
      <t>2)</t>
    </r>
    <r>
      <rPr>
        <sz val="9"/>
        <color rgb="FF000000"/>
        <rFont val="Arial"/>
        <family val="2"/>
        <scheme val="minor"/>
      </rPr>
      <t xml:space="preserve"> divided by average total assets</t>
    </r>
    <r>
      <rPr>
        <vertAlign val="superscript"/>
        <sz val="9"/>
        <color rgb="FF000000"/>
        <rFont val="Arial"/>
        <family val="2"/>
        <scheme val="minor"/>
      </rPr>
      <t>1)</t>
    </r>
    <r>
      <rPr>
        <sz val="9"/>
        <color rgb="FF000000"/>
        <rFont val="Arial"/>
        <family val="2"/>
        <scheme val="minor"/>
      </rPr>
      <t>.</t>
    </r>
  </si>
  <si>
    <t>Shows how effectively total assets are used.</t>
  </si>
  <si>
    <t>EBITA</t>
  </si>
  <si>
    <t>Earnings before interest, taxes, and amortization and impairment of intangible assets. Alternatively; the operating profit plus amortization and impairment.</t>
  </si>
  <si>
    <t>An indicator of cash generating ability.</t>
  </si>
  <si>
    <t>EBITDA</t>
  </si>
  <si>
    <t>Earnings before interest, taxes, depreciation and amortization. Alternatively; the operating profit plus depreciation, impairment and amortization.</t>
  </si>
  <si>
    <t xml:space="preserve">EBITDA margin </t>
  </si>
  <si>
    <t xml:space="preserve">EBITDA as % of revenues. </t>
  </si>
  <si>
    <t>Equity/assets ratio</t>
  </si>
  <si>
    <t>Equity including non-controlling interests, as % of total assets.</t>
  </si>
  <si>
    <t>A measure of financial risk showing how much of Epiroc's total assets that have been financed with equity.</t>
  </si>
  <si>
    <t>Gross margin</t>
  </si>
  <si>
    <t>Gross profit as % of revenues.</t>
  </si>
  <si>
    <t xml:space="preserve">Measures how much of Epiroc’s revenues are left after paying the costs of goods sold. </t>
  </si>
  <si>
    <t>Items affecting comparability</t>
  </si>
  <si>
    <t xml:space="preserve">Items such as operating profit/loss from acquisitions and divestments, one-time items (restructuring) and change in provision for share-based long-term incentive programs. </t>
  </si>
  <si>
    <t xml:space="preserve">Shows how non-recurring items have affected the result.  </t>
  </si>
  <si>
    <t>Large orders</t>
  </si>
  <si>
    <t>Shows orders impacting comparability.</t>
  </si>
  <si>
    <t>Net debt</t>
  </si>
  <si>
    <t>Interest-bearing liabilities and post-employment benefits, adjusted for the fair value of interest rate swaps, less cash and cash equivalents and certain other financial receivables.</t>
  </si>
  <si>
    <t xml:space="preserve">A measurement of the financial position. </t>
  </si>
  <si>
    <t>Net debt/EBITDA ratio</t>
  </si>
  <si>
    <r>
      <t>Net debt in relation to EBITDA.</t>
    </r>
    <r>
      <rPr>
        <vertAlign val="superscript"/>
        <sz val="9"/>
        <color rgb="FF000000"/>
        <rFont val="Arial"/>
        <family val="2"/>
        <scheme val="minor"/>
      </rPr>
      <t>2)</t>
    </r>
  </si>
  <si>
    <t xml:space="preserve">A measurement of financial risk. </t>
  </si>
  <si>
    <t>Net debt/equity ratio</t>
  </si>
  <si>
    <t>Net debt in relation to equity, including non-controlling interests.</t>
  </si>
  <si>
    <t xml:space="preserve">A measurement of financial risk.  </t>
  </si>
  <si>
    <t>Net working capital</t>
  </si>
  <si>
    <t>Working capital net of inventories, trade receivables, trade payables, other operating assets and liabilities.</t>
  </si>
  <si>
    <t>Measures Epiroc's liquidity and capital efficiency.</t>
  </si>
  <si>
    <t xml:space="preserve">Orders on hand </t>
  </si>
  <si>
    <t>Orders on hand are orders that have been placed but not yet completed and recognized as revenues.</t>
  </si>
  <si>
    <t xml:space="preserve">When Epiroc acquired companies 2018-2023, Epiroc added orders on hand in the" Structure" in the bridge. As from 2024, Epiroc will disclose orders on hand from acquisitions separately. </t>
  </si>
  <si>
    <t>Operating cash flow</t>
  </si>
  <si>
    <t>Cash flow from operations and cash flow from investing activities, excluding company acquisitions/divestments, as well as other adjustments.</t>
  </si>
  <si>
    <t xml:space="preserve">Indicates Epiroc’s ability to generate sufficient positive cash flow to maintain and grow operations. </t>
  </si>
  <si>
    <t>Operating cash flow per share</t>
  </si>
  <si>
    <t>Operating cash flow divided by basic number of shares outstanding.</t>
  </si>
  <si>
    <t>Improves the ability to make comparisons over time.</t>
  </si>
  <si>
    <t xml:space="preserve">Operating margin </t>
  </si>
  <si>
    <t xml:space="preserve">Operating profit as % of revenues. </t>
  </si>
  <si>
    <t xml:space="preserve">Helps monitor Epiroc's fulfillment of the financial goal of having market leading profitability. </t>
  </si>
  <si>
    <t xml:space="preserve">Orders received </t>
  </si>
  <si>
    <t xml:space="preserve">Orders received refers to the value of ordered equipment, tools, solutions, and services for which there is a specific delivery date and quantity specified, and production and/or delivery is planned in the near or midterm, normally within a year. </t>
  </si>
  <si>
    <t xml:space="preserve">A good indicator of demand for Epiroc’s equipment and aftermarket in the short term. </t>
  </si>
  <si>
    <t xml:space="preserve">Orders received growth </t>
  </si>
  <si>
    <t xml:space="preserve">The total order growth includes the contribution from organic growth, currency and structure. </t>
  </si>
  <si>
    <t xml:space="preserve">A good indicator of demand for Epiroc’s equipment and aftermarket. </t>
  </si>
  <si>
    <t>Organic growth</t>
  </si>
  <si>
    <t xml:space="preserve">Organic growth is total growth excluding the contribution from currency and structure. Alternatively, the growth that is based on volume and price. </t>
  </si>
  <si>
    <t>Explains how volume, price and product/service mix changes drive the growth.</t>
  </si>
  <si>
    <t>Pay-out ratio</t>
  </si>
  <si>
    <t xml:space="preserve">Dividend per share as % of basic earnings per share. </t>
  </si>
  <si>
    <t>Facilitates monitoring of Epiroc’s financial target of a payout ratio
of 50%.</t>
  </si>
  <si>
    <t>Profit margin</t>
  </si>
  <si>
    <t xml:space="preserve">Profit before tax as % of revenues. </t>
  </si>
  <si>
    <t xml:space="preserve">An indicator of profitability. </t>
  </si>
  <si>
    <t>Return on capital employed</t>
  </si>
  <si>
    <r>
      <t>Operating profit</t>
    </r>
    <r>
      <rPr>
        <vertAlign val="superscript"/>
        <sz val="9"/>
        <color rgb="FF000000"/>
        <rFont val="Arial"/>
        <family val="2"/>
        <scheme val="minor"/>
      </rPr>
      <t>2)</t>
    </r>
    <r>
      <rPr>
        <sz val="9"/>
        <color rgb="FF000000"/>
        <rFont val="Arial"/>
        <family val="2"/>
        <scheme val="minor"/>
      </rPr>
      <t xml:space="preserve"> as % of average capital employed</t>
    </r>
    <r>
      <rPr>
        <vertAlign val="superscript"/>
        <sz val="9"/>
        <color rgb="FF000000"/>
        <rFont val="Arial"/>
        <family val="2"/>
        <scheme val="minor"/>
      </rPr>
      <t>1)</t>
    </r>
    <r>
      <rPr>
        <sz val="9"/>
        <color rgb="FF000000"/>
        <rFont val="Arial"/>
        <family val="2"/>
        <scheme val="minor"/>
      </rPr>
      <t>.</t>
    </r>
  </si>
  <si>
    <t xml:space="preserve">Measures how efficiently Epiroc generates profits from the capital utilized to run operations. </t>
  </si>
  <si>
    <t>Return on equity</t>
  </si>
  <si>
    <r>
      <t>Profit for the period</t>
    </r>
    <r>
      <rPr>
        <vertAlign val="superscript"/>
        <sz val="9"/>
        <color rgb="FF000000"/>
        <rFont val="Arial"/>
        <family val="2"/>
        <scheme val="minor"/>
      </rPr>
      <t>2)</t>
    </r>
    <r>
      <rPr>
        <sz val="9"/>
        <color rgb="FF000000"/>
        <rFont val="Arial"/>
        <family val="2"/>
        <scheme val="minor"/>
      </rPr>
      <t xml:space="preserve"> divided by average equity, excluding non-controlling interest</t>
    </r>
    <r>
      <rPr>
        <vertAlign val="superscript"/>
        <sz val="9"/>
        <color rgb="FF000000"/>
        <rFont val="Arial"/>
        <family val="2"/>
        <scheme val="minor"/>
      </rPr>
      <t>1)</t>
    </r>
    <r>
      <rPr>
        <sz val="9"/>
        <color rgb="FF000000"/>
        <rFont val="Arial"/>
        <family val="2"/>
        <scheme val="minor"/>
      </rPr>
      <t xml:space="preserve">. </t>
    </r>
  </si>
  <si>
    <t>Shows Epiroc's ability to generate a return on the investments made by shareholders.</t>
  </si>
  <si>
    <r>
      <rPr>
        <vertAlign val="superscript"/>
        <sz val="9"/>
        <color rgb="FF000000"/>
        <rFont val="Arial"/>
        <family val="2"/>
        <scheme val="minor"/>
      </rPr>
      <t xml:space="preserve">1) </t>
    </r>
    <r>
      <rPr>
        <sz val="9"/>
        <color rgb="FF000000"/>
        <rFont val="Arial"/>
        <family val="2"/>
        <scheme val="minor"/>
      </rPr>
      <t xml:space="preserve">Calculated as an average of five quarters. In 2016 and 2015, however, it was calculated as an average of two periods. </t>
    </r>
  </si>
  <si>
    <r>
      <rPr>
        <vertAlign val="superscript"/>
        <sz val="9"/>
        <color rgb="FF000000"/>
        <rFont val="Arial"/>
        <family val="2"/>
        <scheme val="minor"/>
      </rPr>
      <t>2)</t>
    </r>
    <r>
      <rPr>
        <sz val="9"/>
        <color rgb="FF000000"/>
        <rFont val="Arial"/>
        <family val="2"/>
        <scheme val="minor"/>
      </rPr>
      <t xml:space="preserve"> 12 months’ value. </t>
    </r>
  </si>
  <si>
    <t>APMs calculated</t>
  </si>
  <si>
    <t xml:space="preserve">Annual </t>
  </si>
  <si>
    <t xml:space="preserve">Quarterly </t>
  </si>
  <si>
    <t>Book to bill for the Group</t>
  </si>
  <si>
    <r>
      <t xml:space="preserve">2017 </t>
    </r>
    <r>
      <rPr>
        <b/>
        <vertAlign val="superscript"/>
        <sz val="8"/>
        <rFont val="Arial"/>
        <family val="2"/>
      </rPr>
      <t>(1)</t>
    </r>
  </si>
  <si>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</si>
  <si>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</si>
  <si>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</si>
  <si>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</si>
  <si>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</si>
  <si>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</si>
  <si>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</si>
  <si>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</si>
  <si>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</si>
  <si>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</si>
  <si>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</si>
  <si>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</si>
  <si>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</si>
  <si>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</si>
  <si>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</si>
  <si>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</si>
  <si>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</si>
  <si>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</si>
  <si>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</si>
  <si>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</si>
  <si>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</si>
  <si>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</si>
  <si>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Q323</t>
  </si>
  <si>
    <t>Q423</t>
  </si>
  <si>
    <t>Q124</t>
  </si>
  <si>
    <t>Q224</t>
  </si>
  <si>
    <t>Q324</t>
  </si>
  <si>
    <t>Q424</t>
  </si>
  <si>
    <t>Q125</t>
  </si>
  <si>
    <t>Q225</t>
  </si>
  <si>
    <t>Q325</t>
  </si>
  <si>
    <t>Orders received, MSEK</t>
  </si>
  <si>
    <t xml:space="preserve">Revenues, MSEK </t>
  </si>
  <si>
    <t>Book-to-bill, %</t>
  </si>
  <si>
    <t xml:space="preserve">(1) Restated in accordance with IFRS 15. </t>
  </si>
  <si>
    <t>EBITDA for the Group</t>
  </si>
  <si>
    <t xml:space="preserve">Operating profit, MSEK </t>
  </si>
  <si>
    <t xml:space="preserve">Total depreciation and amortization, MSEK </t>
  </si>
  <si>
    <t>(1) Restated in accordance with IFRS 15.</t>
  </si>
  <si>
    <t>EBITDA margin</t>
  </si>
  <si>
    <t xml:space="preserve">EBITDA, MSEK </t>
  </si>
  <si>
    <t>EBITDA margin, %</t>
  </si>
  <si>
    <t>22.9</t>
  </si>
  <si>
    <t>21.3</t>
  </si>
  <si>
    <t>Gross profit margin for the Group</t>
  </si>
  <si>
    <t>Gross profit, MSEK</t>
  </si>
  <si>
    <t>Revenues, MSEK</t>
  </si>
  <si>
    <t>Gross profit margin, %</t>
  </si>
  <si>
    <t>35.6</t>
  </si>
  <si>
    <t>33.6</t>
  </si>
  <si>
    <t>35.9</t>
  </si>
  <si>
    <t>Operating margin for the Group</t>
  </si>
  <si>
    <t>Operating profit, MSEK</t>
  </si>
  <si>
    <t>Operating margin, %</t>
  </si>
  <si>
    <t>Adjusted operating margin for the Group, MSEK</t>
  </si>
  <si>
    <r>
      <t>2019</t>
    </r>
    <r>
      <rPr>
        <b/>
        <vertAlign val="superscript"/>
        <sz val="8"/>
        <rFont val="Arial"/>
        <family val="2"/>
      </rPr>
      <t>(1)</t>
    </r>
  </si>
  <si>
    <r>
      <t>2020</t>
    </r>
    <r>
      <rPr>
        <b/>
        <vertAlign val="superscript"/>
        <sz val="8"/>
        <rFont val="Arial"/>
        <family val="2"/>
      </rPr>
      <t>(1)</t>
    </r>
  </si>
  <si>
    <r>
      <t>2021</t>
    </r>
    <r>
      <rPr>
        <b/>
        <vertAlign val="superscript"/>
        <sz val="8"/>
        <rFont val="Arial"/>
        <family val="2"/>
      </rPr>
      <t>(1)</t>
    </r>
  </si>
  <si>
    <r>
      <t>2022</t>
    </r>
    <r>
      <rPr>
        <b/>
        <vertAlign val="superscript"/>
        <sz val="8"/>
        <rFont val="Arial"/>
        <family val="2"/>
      </rPr>
      <t>(1)</t>
    </r>
  </si>
  <si>
    <r>
      <t>2023</t>
    </r>
    <r>
      <rPr>
        <b/>
        <vertAlign val="superscript"/>
        <sz val="8"/>
        <rFont val="Arial"/>
        <family val="2"/>
      </rPr>
      <t>(1)</t>
    </r>
  </si>
  <si>
    <r>
      <t>2024</t>
    </r>
    <r>
      <rPr>
        <b/>
        <vertAlign val="superscript"/>
        <sz val="8"/>
        <rFont val="Arial"/>
        <family val="2"/>
      </rPr>
      <t>(1)</t>
    </r>
  </si>
  <si>
    <t>Operating profit</t>
  </si>
  <si>
    <t xml:space="preserve">Reversal of change in provision for share-based long-term incentive programs </t>
  </si>
  <si>
    <t>Reversal of costs for agreement with CEO</t>
  </si>
  <si>
    <t>-</t>
  </si>
  <si>
    <t>Reversal of costs for split from Atlas Copco</t>
  </si>
  <si>
    <t>Reversal of costs in E&amp;S</t>
  </si>
  <si>
    <t>Reversal of costs in T&amp;A</t>
  </si>
  <si>
    <t>Adjusted operating profit</t>
  </si>
  <si>
    <t>Revenues</t>
  </si>
  <si>
    <t>Adjusted operating margin, %</t>
  </si>
  <si>
    <t xml:space="preserve">(1) Split costs not reversed from 2019. </t>
  </si>
  <si>
    <t>Profit margin for the Group</t>
  </si>
  <si>
    <t>Profit before tax, MSEK</t>
  </si>
  <si>
    <t>Profit margin, %</t>
  </si>
  <si>
    <t>Capital employed  for the Group</t>
  </si>
  <si>
    <t>Total assets, MSEK</t>
  </si>
  <si>
    <t>Non-interest bearing liabilities and provisions, MSEK</t>
  </si>
  <si>
    <t xml:space="preserve">Capital employed, period end, MSEK </t>
  </si>
  <si>
    <t>Capital employed turnover ratio for the Group</t>
  </si>
  <si>
    <r>
      <t>2015</t>
    </r>
    <r>
      <rPr>
        <b/>
        <vertAlign val="superscript"/>
        <sz val="8"/>
        <rFont val="Arial"/>
        <family val="2"/>
      </rPr>
      <t>(3)</t>
    </r>
  </si>
  <si>
    <r>
      <t>2016</t>
    </r>
    <r>
      <rPr>
        <b/>
        <vertAlign val="superscript"/>
        <sz val="8"/>
        <rFont val="Arial"/>
        <family val="2"/>
      </rPr>
      <t>(3)</t>
    </r>
  </si>
  <si>
    <r>
      <t xml:space="preserve">2017 </t>
    </r>
    <r>
      <rPr>
        <b/>
        <vertAlign val="superscript"/>
        <sz val="8"/>
        <rFont val="Arial"/>
        <family val="2"/>
      </rPr>
      <t>(1)(2)</t>
    </r>
  </si>
  <si>
    <r>
      <t>2018</t>
    </r>
    <r>
      <rPr>
        <b/>
        <vertAlign val="superscript"/>
        <sz val="8"/>
        <rFont val="Arial"/>
        <family val="2"/>
      </rPr>
      <t>(2)</t>
    </r>
  </si>
  <si>
    <r>
      <t>2019</t>
    </r>
    <r>
      <rPr>
        <b/>
        <vertAlign val="superscript"/>
        <sz val="8"/>
        <rFont val="Arial"/>
        <family val="2"/>
      </rPr>
      <t>(2)</t>
    </r>
  </si>
  <si>
    <r>
      <t>2020</t>
    </r>
    <r>
      <rPr>
        <b/>
        <vertAlign val="superscript"/>
        <sz val="8"/>
        <rFont val="Arial"/>
        <family val="2"/>
      </rPr>
      <t>(2)</t>
    </r>
  </si>
  <si>
    <r>
      <t>2021</t>
    </r>
    <r>
      <rPr>
        <b/>
        <vertAlign val="superscript"/>
        <sz val="8"/>
        <rFont val="Arial"/>
        <family val="2"/>
      </rPr>
      <t>(2)</t>
    </r>
  </si>
  <si>
    <r>
      <t>2022</t>
    </r>
    <r>
      <rPr>
        <b/>
        <vertAlign val="superscript"/>
        <sz val="8"/>
        <rFont val="Arial"/>
        <family val="2"/>
      </rPr>
      <t>(2)</t>
    </r>
  </si>
  <si>
    <r>
      <t>2023</t>
    </r>
    <r>
      <rPr>
        <b/>
        <vertAlign val="superscript"/>
        <sz val="8"/>
        <rFont val="Arial"/>
        <family val="2"/>
      </rPr>
      <t>(2)</t>
    </r>
  </si>
  <si>
    <r>
      <t>2024</t>
    </r>
    <r>
      <rPr>
        <b/>
        <vertAlign val="superscript"/>
        <sz val="8"/>
        <rFont val="Arial"/>
        <family val="2"/>
      </rPr>
      <t>(2)</t>
    </r>
  </si>
  <si>
    <t>Revenues, MSEK, 12 months</t>
  </si>
  <si>
    <t>Average capital employed, MSEK</t>
  </si>
  <si>
    <t>(2) The average capital employed is calculated as an average of five quarters.</t>
  </si>
  <si>
    <t>(3) The average capital employed is calculated as an average of two periods.</t>
  </si>
  <si>
    <t>Return on capital employed for the Group</t>
  </si>
  <si>
    <t>Operating profit, MSEK, 12 months</t>
  </si>
  <si>
    <t>Return on capital employed, %</t>
  </si>
  <si>
    <t xml:space="preserve">Net working capital </t>
  </si>
  <si>
    <t>Inventories, MSEK</t>
  </si>
  <si>
    <t xml:space="preserve">Trade receivables, MSEK </t>
  </si>
  <si>
    <t>Trade payables, MSEK</t>
  </si>
  <si>
    <t>Other operating assets and liabilities, MSEK</t>
  </si>
  <si>
    <t>Capital turnover ratio for the Group</t>
  </si>
  <si>
    <t>Average total assets, MSEK</t>
  </si>
  <si>
    <t>(2) The average total asset is calculated as an average of five quarters.</t>
  </si>
  <si>
    <t>(3) The average total asset is calculated as an average of two periods.</t>
  </si>
  <si>
    <t>Net debt, net debt/equity ratio and net debt/EBITDA ratio for the Group</t>
  </si>
  <si>
    <t>Interest-bearing liabilities and post-employment benefits, MSEK</t>
  </si>
  <si>
    <t>Cash and cash equivalents, MSEK</t>
  </si>
  <si>
    <t>Other financial assets, MSEK</t>
  </si>
  <si>
    <t>Adjustment for fair value of interest-rate swaps, MSEK</t>
  </si>
  <si>
    <t>Net cash/debt</t>
  </si>
  <si>
    <t>Total equity, MSEK</t>
  </si>
  <si>
    <t>Net debt/equity ratio, %</t>
  </si>
  <si>
    <t>EBITDA, MSEK, 12 months</t>
  </si>
  <si>
    <t>0.76</t>
  </si>
  <si>
    <t>Equity/assets ratio for the Group</t>
  </si>
  <si>
    <t>Equity/assets ratio, %</t>
  </si>
  <si>
    <t>Net profit, MSEK, 12 months</t>
  </si>
  <si>
    <t>Average total equity, MSEK</t>
  </si>
  <si>
    <t>Return on equity, %</t>
  </si>
  <si>
    <t>(2) The average total equity is calculated as an average of five quarters.</t>
  </si>
  <si>
    <t>(3) The average total equity is calculated as an average of two periods.</t>
  </si>
  <si>
    <t>Operating cash flow and Operating cash flow per share for the Group</t>
  </si>
  <si>
    <t>Cash flow from operating activities, MSEK</t>
  </si>
  <si>
    <t>Net cash from investing activities, MSEK</t>
  </si>
  <si>
    <t>Acquisitions and divestments of subsidiaries, MSEK</t>
  </si>
  <si>
    <r>
      <t xml:space="preserve">Other adjustments </t>
    </r>
    <r>
      <rPr>
        <vertAlign val="superscript"/>
        <sz val="8"/>
        <rFont val="Arial"/>
        <family val="2"/>
      </rPr>
      <t>(2)</t>
    </r>
    <r>
      <rPr>
        <sz val="8"/>
        <rFont val="Arial"/>
        <family val="2"/>
      </rPr>
      <t>, MSEK</t>
    </r>
  </si>
  <si>
    <t>Number of shares, million</t>
  </si>
  <si>
    <t>Operating cash flow per share, SEK</t>
  </si>
  <si>
    <t>1.3</t>
  </si>
  <si>
    <t xml:space="preserve">(2) Mainly changes in the cash-pool with Atlas Copco and currency hedges of loans. </t>
  </si>
  <si>
    <t>Group Income statement</t>
  </si>
  <si>
    <t>MSEK</t>
  </si>
  <si>
    <t>2019</t>
  </si>
  <si>
    <t>2020</t>
  </si>
  <si>
    <t>Q117</t>
  </si>
  <si>
    <t>Q217</t>
  </si>
  <si>
    <t>Q317</t>
  </si>
  <si>
    <t>Q417</t>
  </si>
  <si>
    <t>Cost of sales</t>
  </si>
  <si>
    <t>Gross profit</t>
  </si>
  <si>
    <t>39.5%</t>
  </si>
  <si>
    <t>Administrative expenses</t>
  </si>
  <si>
    <t>Marketing expenses</t>
  </si>
  <si>
    <t>Research and development costs</t>
  </si>
  <si>
    <t>Other expenses/income from operations</t>
  </si>
  <si>
    <t>Share of profits of associates</t>
  </si>
  <si>
    <t>Operating margin</t>
  </si>
  <si>
    <t>19.9%</t>
  </si>
  <si>
    <t>Financial income</t>
  </si>
  <si>
    <t>Financial expenses</t>
  </si>
  <si>
    <t>Net financial items</t>
  </si>
  <si>
    <t>Of which interest net</t>
  </si>
  <si>
    <t>Profit before tax</t>
  </si>
  <si>
    <t>18.5%</t>
  </si>
  <si>
    <t>Income tax expenses</t>
  </si>
  <si>
    <t>Tax rate</t>
  </si>
  <si>
    <t>-23.8%</t>
  </si>
  <si>
    <t>Profit for the period</t>
  </si>
  <si>
    <t>Profit for the period attributable to owners of the parent</t>
  </si>
  <si>
    <t>Profit for the period attributable to non-controlling interests</t>
  </si>
  <si>
    <t>Condensed segments</t>
  </si>
  <si>
    <t xml:space="preserve">Blue = Exploration moved from T&amp;A to E&amp;S (Equipment) in Q1 2023. Figures for 2022 have been restated. </t>
  </si>
  <si>
    <t>Effective January 1, 2024, electrification infrastructure business has moved from Service to Equipment and figures for 2023 have been restated.</t>
  </si>
  <si>
    <t>Equipment &amp; Service</t>
  </si>
  <si>
    <t>Equipment</t>
  </si>
  <si>
    <t>Service</t>
  </si>
  <si>
    <t>Tools &amp; Attachments</t>
  </si>
  <si>
    <t>Common group functions</t>
  </si>
  <si>
    <t>Epiroc Group</t>
  </si>
  <si>
    <t xml:space="preserve">Orders on hand included in Orders received, %  </t>
  </si>
  <si>
    <t xml:space="preserve">Epiroc Group </t>
  </si>
  <si>
    <t xml:space="preserve">Revenue growth </t>
  </si>
  <si>
    <t/>
  </si>
  <si>
    <t>EBITA, MSEK</t>
  </si>
  <si>
    <t>Adjusted EBITA, MSEK</t>
  </si>
  <si>
    <t>Adj. EBITA margin for items affecting comparability, %</t>
  </si>
  <si>
    <t>Adjusted EBITA margin, E&amp;S, %</t>
  </si>
  <si>
    <t xml:space="preserve">Adjusted EBITA margin, T&amp;A, % </t>
  </si>
  <si>
    <t xml:space="preserve">Adjusted EBITA margin, Group, % </t>
  </si>
  <si>
    <t>21.6%</t>
  </si>
  <si>
    <t>Operating profit, EBIT, and profit before tax, MSEK</t>
  </si>
  <si>
    <t>Operating margin, EBIT, %</t>
  </si>
  <si>
    <t>23.3%</t>
  </si>
  <si>
    <t>12.1%</t>
  </si>
  <si>
    <t>Items affecting comparability*, MSEK</t>
  </si>
  <si>
    <t>Change in provision for LTI-program</t>
  </si>
  <si>
    <t>Agreement with CEO</t>
  </si>
  <si>
    <t>Costs for split from Atlas Copco</t>
  </si>
  <si>
    <t xml:space="preserve">Costs in Equipment &amp; Service </t>
  </si>
  <si>
    <t xml:space="preserve">Costs in Tools &amp; Attachments </t>
  </si>
  <si>
    <t>Adjusted operating profit, EBIT, MSEK</t>
  </si>
  <si>
    <t>Adj. EBIT margin for items affecting comparability, %</t>
  </si>
  <si>
    <t>Adjusted operating margin, E&amp;S, %</t>
  </si>
  <si>
    <t xml:space="preserve">Adjusted operating margin, T&amp;A, % </t>
  </si>
  <si>
    <t xml:space="preserve">Adjusted operating margin, Group, % </t>
  </si>
  <si>
    <t>Split and incentive program costs, MSEK</t>
  </si>
  <si>
    <t xml:space="preserve">Change in provision for share-based long-term incentive programs </t>
  </si>
  <si>
    <t>Revenue split by reporting segment, %</t>
  </si>
  <si>
    <t>Revenue split by business type, %</t>
  </si>
  <si>
    <t xml:space="preserve">Equipment, % </t>
  </si>
  <si>
    <t xml:space="preserve">Aftermarket, %  </t>
  </si>
  <si>
    <t xml:space="preserve">Equipment, MSEK </t>
  </si>
  <si>
    <t>Aftermarket, MSEK</t>
  </si>
  <si>
    <t>Revenue by revenue stream, %</t>
  </si>
  <si>
    <t xml:space="preserve">Equipment </t>
  </si>
  <si>
    <t xml:space="preserve">Service </t>
  </si>
  <si>
    <t xml:space="preserve">Tools &amp; Attachments </t>
  </si>
  <si>
    <t>Revenue split in E&amp;S, %</t>
  </si>
  <si>
    <t xml:space="preserve">Equipment &amp; Service </t>
  </si>
  <si>
    <t xml:space="preserve">Dilution from acquisitions, percentage points </t>
  </si>
  <si>
    <t>Q224**</t>
  </si>
  <si>
    <t xml:space="preserve">Revenue by customer type, % (see also sheet OIB) </t>
  </si>
  <si>
    <t xml:space="preserve">Mining </t>
  </si>
  <si>
    <t xml:space="preserve">Infrastructure </t>
  </si>
  <si>
    <t>* As reported in income statement</t>
  </si>
  <si>
    <t>** Dilution on adjusted EBIT</t>
  </si>
  <si>
    <t>Geographical distribution Orders received and Revenues</t>
  </si>
  <si>
    <t>Geographical distribution of orders received</t>
  </si>
  <si>
    <t>MSEK, % currency adjusted</t>
  </si>
  <si>
    <t>As from January 1, 2024, Epiroc will not include orders on hand (order book) in orders received when acquiring companies. The previously reported orders received in the first quarter 2023 of MSEK 15 148 included orders on hand from acquired companies of MSEK 433. Figures in this table have not been restated.</t>
  </si>
  <si>
    <t>Epiroc group</t>
  </si>
  <si>
    <t>North America</t>
  </si>
  <si>
    <t>South America</t>
  </si>
  <si>
    <t>Europe</t>
  </si>
  <si>
    <t>Africa/Middle East</t>
  </si>
  <si>
    <t>Asia/Australia</t>
  </si>
  <si>
    <t>Geographical distribution of revenues</t>
  </si>
  <si>
    <t>Geographical distribution of revenues, %</t>
  </si>
  <si>
    <t xml:space="preserve">Geographical distribution of revenues, MSEK </t>
  </si>
  <si>
    <t xml:space="preserve">North America </t>
  </si>
  <si>
    <t>USA</t>
  </si>
  <si>
    <t>Canada</t>
  </si>
  <si>
    <t>Mexico</t>
  </si>
  <si>
    <t xml:space="preserve">Chile </t>
  </si>
  <si>
    <t>Peru</t>
  </si>
  <si>
    <t xml:space="preserve">Brazil </t>
  </si>
  <si>
    <t xml:space="preserve">Argentina </t>
  </si>
  <si>
    <t xml:space="preserve">Panama </t>
  </si>
  <si>
    <t xml:space="preserve">Other </t>
  </si>
  <si>
    <t xml:space="preserve">Europe </t>
  </si>
  <si>
    <t xml:space="preserve">Sweden </t>
  </si>
  <si>
    <t xml:space="preserve">Turkey </t>
  </si>
  <si>
    <t xml:space="preserve">Spain </t>
  </si>
  <si>
    <t xml:space="preserve">Norway </t>
  </si>
  <si>
    <t xml:space="preserve">Germany </t>
  </si>
  <si>
    <t xml:space="preserve">Italy </t>
  </si>
  <si>
    <t xml:space="preserve">Portugal </t>
  </si>
  <si>
    <t>Finland</t>
  </si>
  <si>
    <t xml:space="preserve">Russia </t>
  </si>
  <si>
    <t xml:space="preserve">Africa / Middle East </t>
  </si>
  <si>
    <t>South Africa</t>
  </si>
  <si>
    <t>Congo (DRC)</t>
  </si>
  <si>
    <t xml:space="preserve">Zambia </t>
  </si>
  <si>
    <t xml:space="preserve">Ghana </t>
  </si>
  <si>
    <t xml:space="preserve">Asia / Australia </t>
  </si>
  <si>
    <t xml:space="preserve">Australia </t>
  </si>
  <si>
    <t xml:space="preserve">China </t>
  </si>
  <si>
    <t xml:space="preserve">India </t>
  </si>
  <si>
    <t>Kazakhstan</t>
  </si>
  <si>
    <t xml:space="preserve">Indonesia </t>
  </si>
  <si>
    <t xml:space="preserve">Mongolia </t>
  </si>
  <si>
    <t xml:space="preserve">Philippines </t>
  </si>
  <si>
    <t>South korea</t>
  </si>
  <si>
    <t xml:space="preserve">Total </t>
  </si>
  <si>
    <t>Panama</t>
  </si>
  <si>
    <t xml:space="preserve">Congo (DRC) </t>
  </si>
  <si>
    <t xml:space="preserve">Orders received, MSEK </t>
  </si>
  <si>
    <t xml:space="preserve">Provisions, MSEK </t>
  </si>
  <si>
    <t xml:space="preserve">% of Group revenues </t>
  </si>
  <si>
    <t>Consolidated Balance Sheet</t>
  </si>
  <si>
    <t xml:space="preserve">MSEK </t>
  </si>
  <si>
    <t>Intangible assets</t>
  </si>
  <si>
    <t xml:space="preserve"> - whereof goodwill </t>
  </si>
  <si>
    <t>Rental equipment</t>
  </si>
  <si>
    <t>Other property, plant and equipment</t>
  </si>
  <si>
    <t>Other financial assets and receivables</t>
  </si>
  <si>
    <t>Deferred tax assets</t>
  </si>
  <si>
    <t>Total non-current assets</t>
  </si>
  <si>
    <t>Inventories</t>
  </si>
  <si>
    <t>Trade receivables</t>
  </si>
  <si>
    <t>Other receivables</t>
  </si>
  <si>
    <t xml:space="preserve">Financial assets </t>
  </si>
  <si>
    <t>Cash and cash equivalents</t>
  </si>
  <si>
    <t>Assets held for sale</t>
  </si>
  <si>
    <t>Total current assets</t>
  </si>
  <si>
    <t>Total assets</t>
  </si>
  <si>
    <t>Share capital</t>
  </si>
  <si>
    <t>Retained earnings</t>
  </si>
  <si>
    <t>Equity attributable to owners of the parent</t>
  </si>
  <si>
    <t>Non-controlling interest</t>
  </si>
  <si>
    <t>Total equity</t>
  </si>
  <si>
    <t>Interest bearing liabilities</t>
  </si>
  <si>
    <t>Post-employment benefits</t>
  </si>
  <si>
    <t>Other liabilities and provisions</t>
  </si>
  <si>
    <t>Deferred tax liabilities</t>
  </si>
  <si>
    <t>Total non-current liabilities</t>
  </si>
  <si>
    <t xml:space="preserve">Trade payables </t>
  </si>
  <si>
    <t>Current tax liabilities</t>
  </si>
  <si>
    <t>Total current liabilities</t>
  </si>
  <si>
    <t>Total equities and liabilities</t>
  </si>
  <si>
    <t>Consolidated Statement of Cash Flow</t>
  </si>
  <si>
    <t>Cash flow from operating activities</t>
  </si>
  <si>
    <t>Depreciation, amortization and impairment (see below)</t>
  </si>
  <si>
    <t>Capital gain/loss and other non-cash items</t>
  </si>
  <si>
    <t>Net financial items received/paid</t>
  </si>
  <si>
    <t>Taxes paid</t>
  </si>
  <si>
    <t>Pension funding and payment of pension to employees</t>
  </si>
  <si>
    <t>Change in working capital</t>
  </si>
  <si>
    <t>Increase in rental equipment</t>
  </si>
  <si>
    <t>Sale of rental equipment</t>
  </si>
  <si>
    <t>Net cash from operating activities</t>
  </si>
  <si>
    <t>Cash flows from investing activities</t>
  </si>
  <si>
    <t>Investments in other property, plant and equipment</t>
  </si>
  <si>
    <t>Sale of other property, plant and equipment</t>
  </si>
  <si>
    <t>Investments in intangible assets</t>
  </si>
  <si>
    <t>Sale of intangible assets</t>
  </si>
  <si>
    <t>Acquisition of subsidiaries and associated companies</t>
  </si>
  <si>
    <t>Divestment of subsidiaries and associated companies</t>
  </si>
  <si>
    <t>Proceeds to/from other financial assets, net</t>
  </si>
  <si>
    <t>Sale of assets held for sale</t>
  </si>
  <si>
    <t>Net cash from investing activities</t>
  </si>
  <si>
    <t>Cash flows from financing activities</t>
  </si>
  <si>
    <t>Dividends paid</t>
  </si>
  <si>
    <t>Dividends paid to non-controlling interest</t>
  </si>
  <si>
    <t>Dividends paid to Atlas Copco</t>
  </si>
  <si>
    <t>Acquisition of non-controlling interest</t>
  </si>
  <si>
    <t>Redemption of shares</t>
  </si>
  <si>
    <t>Divestment/ Repurchase of own shares</t>
  </si>
  <si>
    <t>Change in interest-bearing liabilities</t>
  </si>
  <si>
    <t>Net cash from financing activities</t>
  </si>
  <si>
    <t>Net cash flow for the period</t>
  </si>
  <si>
    <t xml:space="preserve">Cash and cash equivalents, beginning of the period </t>
  </si>
  <si>
    <t>Exchange differences in cash and cash equivalents</t>
  </si>
  <si>
    <t>Other cash flow from transactions with shareholders</t>
  </si>
  <si>
    <t>Cash and cash equivalents, end of the period</t>
  </si>
  <si>
    <t>Net cash flow from operating activities</t>
  </si>
  <si>
    <t>Acquisitions and divestments of subsidiaries</t>
  </si>
  <si>
    <t>Other adjustments*</t>
  </si>
  <si>
    <t>*In 2015-2017, mainly changes in cash-pool with Atlas Copco and currency hedges of loans. From 2018, mainly currency hedges of loans and divestment of Payment Solutions portfolios.</t>
  </si>
  <si>
    <t>Depreciation, amortization and impairment</t>
  </si>
  <si>
    <t>Property and machinery</t>
  </si>
  <si>
    <t>Total</t>
  </si>
  <si>
    <t>Effective January 1, 2024, electrification infrastructure business has moved from Service to Equipment. The tables below for 2023 have not been updated with restated figures.</t>
  </si>
  <si>
    <t xml:space="preserve">* In 2021-2023 Epiroc added orders on hand from acquired companies in orders received. As of 2024, Epiroc report orders on hand separately. </t>
  </si>
  <si>
    <t>Orders received</t>
  </si>
  <si>
    <t>Opening balance</t>
  </si>
  <si>
    <t>Organic, %</t>
  </si>
  <si>
    <t xml:space="preserve">Currency, % </t>
  </si>
  <si>
    <t>Structure and other, %</t>
  </si>
  <si>
    <t xml:space="preserve">Total, % </t>
  </si>
  <si>
    <t>Closing balance</t>
  </si>
  <si>
    <t xml:space="preserve">Sequential organic growth, % </t>
  </si>
  <si>
    <t xml:space="preserve">Orders on hand in structure* </t>
  </si>
  <si>
    <t>+3.5</t>
  </si>
  <si>
    <t>+2.5</t>
  </si>
  <si>
    <t>+9.0</t>
  </si>
  <si>
    <t>+3.0</t>
  </si>
  <si>
    <t>Equipment &amp; Services</t>
  </si>
  <si>
    <t xml:space="preserve"> -   </t>
  </si>
  <si>
    <t>+0</t>
  </si>
  <si>
    <t>+11.0</t>
  </si>
  <si>
    <t>+7.3</t>
  </si>
  <si>
    <t>+1.0</t>
  </si>
  <si>
    <t>+13.0</t>
  </si>
  <si>
    <t xml:space="preserve">Organic Order growth ex. Russia </t>
  </si>
  <si>
    <t>Full year</t>
  </si>
  <si>
    <t xml:space="preserve">Full year </t>
  </si>
  <si>
    <t>Q1</t>
  </si>
  <si>
    <t>Q2</t>
  </si>
  <si>
    <t>Q3</t>
  </si>
  <si>
    <t>Q4</t>
  </si>
  <si>
    <t>Epiroc</t>
  </si>
  <si>
    <t xml:space="preserve">Revenues </t>
  </si>
  <si>
    <t>Services</t>
  </si>
  <si>
    <t xml:space="preserve">Profit bridges </t>
  </si>
  <si>
    <t>2016 Full year</t>
  </si>
  <si>
    <t>2017 Full year</t>
  </si>
  <si>
    <t>2018 Full year</t>
  </si>
  <si>
    <t>2019 Full year</t>
  </si>
  <si>
    <t>2020 Full year</t>
  </si>
  <si>
    <t>2021 Full year</t>
  </si>
  <si>
    <t>2022 Full year</t>
  </si>
  <si>
    <t>2023 Full year</t>
  </si>
  <si>
    <t>2024 Full year</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</si>
  <si>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</si>
  <si>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</si>
  <si>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</si>
  <si>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</si>
  <si>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</si>
  <si>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</si>
  <si>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</si>
  <si>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</si>
  <si>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</si>
  <si>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</si>
  <si>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</si>
  <si>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</si>
  <si>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</si>
  <si>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</si>
  <si>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</si>
  <si>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</si>
  <si>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</si>
  <si>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</si>
  <si>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</si>
  <si>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</si>
  <si>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</si>
  <si>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</si>
  <si>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</si>
  <si>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</si>
  <si>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</si>
  <si>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</si>
  <si>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</si>
  <si>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</si>
  <si>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</si>
  <si>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2025 Q2</t>
  </si>
  <si>
    <t>2025 Q3</t>
  </si>
  <si>
    <t>Op marg,%</t>
  </si>
  <si>
    <t>Total, %</t>
  </si>
  <si>
    <t>Equipment &amp; Service*</t>
  </si>
  <si>
    <t xml:space="preserve">* The IT-function moved from group function to E&amp;S in Q2 2020. Figures for 2018 to Q1 2020 have been restated. </t>
  </si>
  <si>
    <t xml:space="preserve">Annual, absolute </t>
  </si>
  <si>
    <t xml:space="preserve">Annual, % </t>
  </si>
  <si>
    <t xml:space="preserve">Quarterly, absolute </t>
  </si>
  <si>
    <t xml:space="preserve">Quarterly, % </t>
  </si>
  <si>
    <t>Reported opening balance</t>
  </si>
  <si>
    <t>Adjustment OOH</t>
  </si>
  <si>
    <t>Adjusted opening balance</t>
  </si>
  <si>
    <t>Organic</t>
  </si>
  <si>
    <t>Currency</t>
  </si>
  <si>
    <t>Structure</t>
  </si>
  <si>
    <t>Operational closing balance</t>
  </si>
  <si>
    <t>Reported closing balance</t>
  </si>
  <si>
    <t>Adjustment</t>
  </si>
  <si>
    <t>Adjustment IAC</t>
  </si>
  <si>
    <t>of which translation</t>
  </si>
  <si>
    <t>of which transaction</t>
  </si>
  <si>
    <t xml:space="preserve">Growth </t>
  </si>
  <si>
    <t>*Orders received, MSEK</t>
  </si>
  <si>
    <t xml:space="preserve">*Total order growth, % </t>
  </si>
  <si>
    <t xml:space="preserve">*Organic order growth. % </t>
  </si>
  <si>
    <t>Total revenue growth, %</t>
  </si>
  <si>
    <t>*Organic revenue growth, %</t>
  </si>
  <si>
    <t>*Book to bill, %</t>
  </si>
  <si>
    <t>Costs</t>
  </si>
  <si>
    <t>Research and development expenses</t>
  </si>
  <si>
    <t>R&amp;D expenses in % of revenues</t>
  </si>
  <si>
    <t xml:space="preserve">Profitability </t>
  </si>
  <si>
    <t xml:space="preserve">Gross profit </t>
  </si>
  <si>
    <t>*Gross margin, %</t>
  </si>
  <si>
    <t xml:space="preserve">* EBITDA </t>
  </si>
  <si>
    <t>* EBITDA margin, %</t>
  </si>
  <si>
    <t>* EBITA</t>
  </si>
  <si>
    <t xml:space="preserve">* EBITA margin, % </t>
  </si>
  <si>
    <t>* Adjusted operating profit, EBIT</t>
  </si>
  <si>
    <t>* Adjusted operating margin, EBIT, %</t>
  </si>
  <si>
    <t xml:space="preserve">Operating profit </t>
  </si>
  <si>
    <t xml:space="preserve">* Operating margin, % </t>
  </si>
  <si>
    <t>16.8</t>
  </si>
  <si>
    <t>18.9</t>
  </si>
  <si>
    <t>19.3</t>
  </si>
  <si>
    <t>19.9</t>
  </si>
  <si>
    <t>20.4</t>
  </si>
  <si>
    <t>18.4</t>
  </si>
  <si>
    <t>19.7</t>
  </si>
  <si>
    <t>20.5</t>
  </si>
  <si>
    <t>19.0</t>
  </si>
  <si>
    <t>19.6</t>
  </si>
  <si>
    <t>21.2</t>
  </si>
  <si>
    <t>20.9</t>
  </si>
  <si>
    <t>22.6</t>
  </si>
  <si>
    <t xml:space="preserve">* Profit margin, % </t>
  </si>
  <si>
    <t>17.3</t>
  </si>
  <si>
    <t>16.3</t>
  </si>
  <si>
    <t>18.5</t>
  </si>
  <si>
    <t>18.8</t>
  </si>
  <si>
    <t>19.2</t>
  </si>
  <si>
    <t>17.0</t>
  </si>
  <si>
    <t>17.7</t>
  </si>
  <si>
    <t>17.9</t>
  </si>
  <si>
    <t>20.0</t>
  </si>
  <si>
    <t>18.7</t>
  </si>
  <si>
    <t>20.6</t>
  </si>
  <si>
    <t>16.2</t>
  </si>
  <si>
    <t xml:space="preserve">Capital efficiency </t>
  </si>
  <si>
    <t>Capital employed, period end</t>
  </si>
  <si>
    <t xml:space="preserve">Average Capital employed, excl. cash  </t>
  </si>
  <si>
    <t>* Return on capital employed, %</t>
  </si>
  <si>
    <t>* Capital employed turnover ratio</t>
  </si>
  <si>
    <t>1.4</t>
  </si>
  <si>
    <t>1.7</t>
  </si>
  <si>
    <t>1.1</t>
  </si>
  <si>
    <t>1.5</t>
  </si>
  <si>
    <t>1.6</t>
  </si>
  <si>
    <t>1.2</t>
  </si>
  <si>
    <t>Net Debt (+) / Net cash (-)</t>
  </si>
  <si>
    <t>* Net debt / EBITDA ratio</t>
  </si>
  <si>
    <t>* Net Debt / equity, % , period end</t>
  </si>
  <si>
    <t xml:space="preserve">* Equity/assets ratio, period end </t>
  </si>
  <si>
    <t xml:space="preserve">Net working capital, average </t>
  </si>
  <si>
    <t>* Net working capital, period end</t>
  </si>
  <si>
    <t>Average net working capital / revenues, %</t>
  </si>
  <si>
    <t>Credit rating, period end</t>
  </si>
  <si>
    <t>BBB+</t>
  </si>
  <si>
    <t>Cash generation</t>
  </si>
  <si>
    <t>* Operating cash flow, MSEK</t>
  </si>
  <si>
    <t>Cash conversion rate, %, 12 months</t>
  </si>
  <si>
    <t xml:space="preserve">Equity information </t>
  </si>
  <si>
    <t>Basic number of shares outstanding, millions*</t>
  </si>
  <si>
    <t>Diluted number of shares outstanding, millions</t>
  </si>
  <si>
    <t>Equity per share, period end, SEK*</t>
  </si>
  <si>
    <t>Basic earnings per share, SEK*</t>
  </si>
  <si>
    <t xml:space="preserve">Diluted earnings per share, SEK </t>
  </si>
  <si>
    <t>* Return on equity, %</t>
  </si>
  <si>
    <t>* Operating cash flow per share</t>
  </si>
  <si>
    <t>0.5*</t>
  </si>
  <si>
    <t>Dividend per share, SEK</t>
  </si>
  <si>
    <t>3.80</t>
  </si>
  <si>
    <t>Payout ratio**, %</t>
  </si>
  <si>
    <t>Redemption per share**, SEK</t>
  </si>
  <si>
    <t xml:space="preserve">People &amp; Planet </t>
  </si>
  <si>
    <t>Employees, period end</t>
  </si>
  <si>
    <t>External/Additional workforce, period end</t>
  </si>
  <si>
    <t xml:space="preserve">Employees, average </t>
  </si>
  <si>
    <t>Total recordable injury frequency rate, TRIFR, 12 months*</t>
  </si>
  <si>
    <t>Lost-time injury frequency rate, LTIFR, 12 months</t>
  </si>
  <si>
    <t>Women employees, %, period end</t>
  </si>
  <si>
    <t>Women managers, %, period end</t>
  </si>
  <si>
    <t xml:space="preserve">Sick leave, % </t>
  </si>
  <si>
    <t>* Data prior to Q4 2021 are not comparable</t>
  </si>
  <si>
    <t>** Proposed by the Board</t>
  </si>
  <si>
    <t>Sustainability performance</t>
  </si>
  <si>
    <t>Environment</t>
  </si>
  <si>
    <t>2019 (BY) Restated</t>
  </si>
  <si>
    <t>Emissions</t>
  </si>
  <si>
    <t>Target</t>
  </si>
  <si>
    <t>Range of emissions-free product offering, %</t>
  </si>
  <si>
    <t>Total GHG emissions per net revenue (location-based) (tCO2e /net revenue)</t>
  </si>
  <si>
    <t>Total GHG emissions per net revenue (market-based) (tCO2e /net revenue)</t>
  </si>
  <si>
    <t xml:space="preserve">Energy </t>
  </si>
  <si>
    <t>Water</t>
  </si>
  <si>
    <t>p.104</t>
  </si>
  <si>
    <t>Water withdrawal in water risk areas (’000 m3)</t>
  </si>
  <si>
    <t xml:space="preserve">Water withdrawal in water risk areas (in m3)/COS, MSEK </t>
  </si>
  <si>
    <t>EU Taxonomy</t>
  </si>
  <si>
    <t>% Taxonomy-Aligned activities - Turnover</t>
  </si>
  <si>
    <t>% Taxonomy-Eligible activities - Turnover</t>
  </si>
  <si>
    <t>% Taxonomy-Eligible activities - Capex</t>
  </si>
  <si>
    <t>% Taxonomy-Eligible activities - Opex</t>
  </si>
  <si>
    <t>% Taxonomy-Eligible activities and additional revenues - Turnover</t>
  </si>
  <si>
    <t xml:space="preserve">Social </t>
  </si>
  <si>
    <t>Employees</t>
  </si>
  <si>
    <t>p.119</t>
  </si>
  <si>
    <t xml:space="preserve">Nationalities among senior managers, number </t>
  </si>
  <si>
    <t xml:space="preserve">Turnover, voluntary leave % </t>
  </si>
  <si>
    <t xml:space="preserve">Turnover, Total % </t>
  </si>
  <si>
    <t>Employees by country, where Epiroc has at least 50 employees and
representing at least 10% of our total number of employees.</t>
  </si>
  <si>
    <t>Sweden</t>
  </si>
  <si>
    <t>Australia</t>
  </si>
  <si>
    <t>Number of permanent employees</t>
  </si>
  <si>
    <t>Number of temporary employees</t>
  </si>
  <si>
    <t>Number of non-guaranteed hours employees</t>
  </si>
  <si>
    <t>Number of full-time employees</t>
  </si>
  <si>
    <t>Number of part-time employees</t>
  </si>
  <si>
    <t>Employees covered by Collective bargaining agreements, %</t>
  </si>
  <si>
    <t>Women employees, period end, %</t>
  </si>
  <si>
    <t>Women employees, Research and development, %</t>
  </si>
  <si>
    <t>Women employees, Marketing and sales, %</t>
  </si>
  <si>
    <t>Women employees, Manufacturing, %</t>
  </si>
  <si>
    <t>Women employees, Logistics, %</t>
  </si>
  <si>
    <t>Women employees, Service, %</t>
  </si>
  <si>
    <t xml:space="preserve">Women managers, period end, % </t>
  </si>
  <si>
    <t>Compensation metrics, ratio of remuneration for highest paid individual to 
average total compensation for average employees</t>
  </si>
  <si>
    <t>Education and leadership</t>
  </si>
  <si>
    <t xml:space="preserve">Yearly performance and development discussion, % </t>
  </si>
  <si>
    <t xml:space="preserve">Leadership index </t>
  </si>
  <si>
    <t xml:space="preserve">Safety </t>
  </si>
  <si>
    <t>p.123</t>
  </si>
  <si>
    <t>Fatalities, number</t>
  </si>
  <si>
    <t>No. of total recordable work-related injuries (TRI)</t>
  </si>
  <si>
    <t>Total recordable injury frequency rate (TRIFR)</t>
  </si>
  <si>
    <t>&lt;5,0</t>
  </si>
  <si>
    <t>&lt;4,5</t>
  </si>
  <si>
    <t>&lt;3,8</t>
  </si>
  <si>
    <t>High consequnce injuries</t>
  </si>
  <si>
    <t>No of days lost to work-related injuries and fatalities from work-related accidents, related to employee</t>
  </si>
  <si>
    <t xml:space="preserve">Sick leave due to illness and Lost-time injuries, % </t>
  </si>
  <si>
    <t>&lt;2.5</t>
  </si>
  <si>
    <t xml:space="preserve">Governance </t>
  </si>
  <si>
    <t xml:space="preserve">Ethics </t>
  </si>
  <si>
    <t>Implemented Responsible Sales Assessment, %</t>
  </si>
  <si>
    <t>p.130</t>
  </si>
  <si>
    <t>Significant indirect sales channels that confirmed compliance with the Epiroc Business Partner Code of Conduct, %</t>
  </si>
  <si>
    <t>Significant suppliers that confirmed compliance with the Epiroc Business Partner Code of Conduct, %</t>
  </si>
  <si>
    <t>p.131</t>
  </si>
  <si>
    <t>Safety, health, social and environment audited suppliers, %</t>
  </si>
  <si>
    <t>p.143</t>
  </si>
  <si>
    <t>Managers that confirmed compliance with the Epiroc Code of Conduct, %</t>
  </si>
  <si>
    <t>Employees that confirmed compliance with the Epiroc Code of Conduct, %</t>
  </si>
  <si>
    <t>Reported potential violations, number</t>
  </si>
  <si>
    <t xml:space="preserve">Board of Directors </t>
  </si>
  <si>
    <t xml:space="preserve">Board size Max. number according to articles </t>
  </si>
  <si>
    <t>6-12</t>
  </si>
  <si>
    <t xml:space="preserve">Board size, number </t>
  </si>
  <si>
    <t xml:space="preserve">Independent Board members, number </t>
  </si>
  <si>
    <t>Independent board members, %</t>
  </si>
  <si>
    <t xml:space="preserve">Foreign board members </t>
  </si>
  <si>
    <t xml:space="preserve">Foreign board members, %  </t>
  </si>
  <si>
    <t>Female members</t>
  </si>
  <si>
    <t xml:space="preserve">Female member, % </t>
  </si>
  <si>
    <t xml:space="preserve">Board meetings per year </t>
  </si>
  <si>
    <t xml:space="preserve">Presence, average % </t>
  </si>
  <si>
    <t xml:space="preserve">Average non-exec directors, age </t>
  </si>
  <si>
    <t xml:space="preserve">Chair of Board, age </t>
  </si>
  <si>
    <t xml:space="preserve">Average tenure (non-exec) </t>
  </si>
  <si>
    <t xml:space="preserve">Total Board fees, KSEK </t>
  </si>
  <si>
    <t>Chair fees, KSEK</t>
  </si>
  <si>
    <t>Average member fees, KSEK</t>
  </si>
  <si>
    <t>Total Board costs, KSEK</t>
  </si>
  <si>
    <t>ESG Rating</t>
  </si>
  <si>
    <t xml:space="preserve">MSCI ESG Rating </t>
  </si>
  <si>
    <t>AA</t>
  </si>
  <si>
    <t>ISS ESG Corporate Rating</t>
  </si>
  <si>
    <t>C+ (Prime)</t>
  </si>
  <si>
    <t>ISS QualityScore (G/E/S)</t>
  </si>
  <si>
    <t>3/2/1</t>
  </si>
  <si>
    <t>6/2/1</t>
  </si>
  <si>
    <t>Sustainalytics ESG Risk Rating</t>
  </si>
  <si>
    <t>18.3</t>
  </si>
  <si>
    <t xml:space="preserve">CDP Climate Change </t>
  </si>
  <si>
    <t>A-</t>
  </si>
  <si>
    <t>C</t>
  </si>
  <si>
    <t>Lead times</t>
  </si>
  <si>
    <t xml:space="preserve">Total mentioned in call </t>
  </si>
  <si>
    <t>Q</t>
  </si>
  <si>
    <t>Sum announced as press release in quarter</t>
  </si>
  <si>
    <t xml:space="preserve">Date announced </t>
  </si>
  <si>
    <t xml:space="preserve">Booked </t>
  </si>
  <si>
    <t xml:space="preserve">Delivery </t>
  </si>
  <si>
    <t xml:space="preserve">No of machines </t>
  </si>
  <si>
    <t xml:space="preserve">Country </t>
  </si>
  <si>
    <t xml:space="preserve">Customer </t>
  </si>
  <si>
    <t xml:space="preserve">UG / Surface / Infra </t>
  </si>
  <si>
    <t>Mineral</t>
  </si>
  <si>
    <t xml:space="preserve">BEV? </t>
  </si>
  <si>
    <t xml:space="preserve">Automation? </t>
  </si>
  <si>
    <t xml:space="preserve">Comment </t>
  </si>
  <si>
    <t>Link</t>
  </si>
  <si>
    <t xml:space="preserve">Normal </t>
  </si>
  <si>
    <t>Fleet of underground mining trucks, loaders, face drilling rigs and production drilling rigs</t>
  </si>
  <si>
    <t>Ghana</t>
  </si>
  <si>
    <t>Asante Gold Corp</t>
  </si>
  <si>
    <t>UG / Digital</t>
  </si>
  <si>
    <t xml:space="preserve">Gold </t>
  </si>
  <si>
    <t>No</t>
  </si>
  <si>
    <t>Minetruck MT65 S hauler, Scooptram ST18 S loader, Boomer M20 S face drilling rig and Simba E70 S production drilling rig and digital solutions</t>
  </si>
  <si>
    <t>https://www.epirocgroup.com/en/media/corporate-press-releases/2025/20251008-epiroc-wins-large-order-for-mining-equipment-and-digital-solutions-in-ghana</t>
  </si>
  <si>
    <t xml:space="preserve">The customer activity within mining was high and the large mining equipment orders, which are lumpy in nature, amounted to MSEK 500 (950). </t>
  </si>
  <si>
    <t>Significant fleet of underground mine trucks, as well as digital solutions</t>
  </si>
  <si>
    <t>Sociedad Punta del Cobre SA (Pucobre) </t>
  </si>
  <si>
    <t xml:space="preserve">UG </t>
  </si>
  <si>
    <t>Copper</t>
  </si>
  <si>
    <t xml:space="preserve">No </t>
  </si>
  <si>
    <t>Yes</t>
  </si>
  <si>
    <t xml:space="preserve">MT65 S where "S" stands for "smart" and indicates automation ready </t>
  </si>
  <si>
    <t>https://www.epirocgroup.com/en/media/corporate-press-releases/2025/20250708-epiroc-wins-large-order-in-chile-for-mine-trucks-and-digital-solutions</t>
  </si>
  <si>
    <t xml:space="preserve">Total order contract BSEK 2.2 over five years </t>
  </si>
  <si>
    <t>Fortescue </t>
  </si>
  <si>
    <t>Surface</t>
  </si>
  <si>
    <t>Iron ore</t>
  </si>
  <si>
    <t xml:space="preserve">YES </t>
  </si>
  <si>
    <t>largest contract ever, for autonomous and electric-powered mining equipment</t>
  </si>
  <si>
    <t>https://www.epirocgroup.com/en/media/corporate-press-releases/2025/20250416-epiroc-wins-its-largest-contract-ever--for-autonomous-and-electric-powered-mining-equipment</t>
  </si>
  <si>
    <t>Q225-Q425</t>
  </si>
  <si>
    <t>Fleet of underground truck and rigs</t>
  </si>
  <si>
    <t>Hindustan Zinc (Vedanta Group)</t>
  </si>
  <si>
    <t xml:space="preserve">Underground </t>
  </si>
  <si>
    <t>Zink and silver</t>
  </si>
  <si>
    <t>Fleet of mine trucks as well as rigs for face drilling and production drilling</t>
  </si>
  <si>
    <t>https://www.epirocgroup.com/en/media/corporate-press-releases/2025/20250415-epiroc-wins-large-mining-equipment-order-in-india</t>
  </si>
  <si>
    <t>Q125-Q325</t>
  </si>
  <si>
    <t>Fleet of BEVs</t>
  </si>
  <si>
    <t xml:space="preserve">Hudbay Minerals </t>
  </si>
  <si>
    <t xml:space="preserve">Yes </t>
  </si>
  <si>
    <t>BEV versions of the Boomer M20 SG face drilling rig, the Scooptram ST18 SG and Scooptram ST14 SG loader, and the Minetruck MT42 SG hauler. </t>
  </si>
  <si>
    <t>https://www.epirocgroup.com/en/media/corporate-press-releases/2025/20250313-epiroc-wins-large-order-for-battery-electric-vehicles-for-canadian-gold-and-copper-mine</t>
  </si>
  <si>
    <t>x</t>
  </si>
  <si>
    <t xml:space="preserve">Digital Solutions </t>
  </si>
  <si>
    <t>Not disclosed</t>
  </si>
  <si>
    <t xml:space="preserve">Yes. Digitalization </t>
  </si>
  <si>
    <t>The mining companies ordered Long-Term Evolution (LTE) and digital connectivity solutions that include telecommunications towers, huts and power systems.</t>
  </si>
  <si>
    <t>https://www.epirocgroup.com/en/media/corporate-press-releases/2025/20250116-epiroc-wins-large-orders-for-mining-connectivity-solutions-in-australia</t>
  </si>
  <si>
    <t>Q425</t>
  </si>
  <si>
    <t>Fleet of Pit Viper 271</t>
  </si>
  <si>
    <t>BHP</t>
  </si>
  <si>
    <t>A fleet of Pit Viper 271 blasthole drill rigs</t>
  </si>
  <si>
    <t>https://www.epirocgroup.com/en/media/corporate-press-releases/2025/20250107-epiroc-wins-large-order-for-autonomous-surface-mining-equipment-in-australia</t>
  </si>
  <si>
    <t>Back to normal leadtimes</t>
  </si>
  <si>
    <t>Q425 into Q126</t>
  </si>
  <si>
    <t>Fleet Pit Viper 351 and Pit Viper 271</t>
  </si>
  <si>
    <t>A fleet of autonomous Pit Viper 351 and Pit Viper 271 rigs</t>
  </si>
  <si>
    <t xml:space="preserve">6-9 months </t>
  </si>
  <si>
    <t>Q125-into H226</t>
  </si>
  <si>
    <t xml:space="preserve">Fleet of BEV loaders, trucks and drilling rigs </t>
  </si>
  <si>
    <t xml:space="preserve">Kazakhstan </t>
  </si>
  <si>
    <t xml:space="preserve">Eurasian Resources Group (ERG) </t>
  </si>
  <si>
    <t xml:space="preserve">Ferrochrome </t>
  </si>
  <si>
    <t>Several of the machines will be operated driverless (tele-remotely), and all of the equipment will be supplied with a collision avoidance system. </t>
  </si>
  <si>
    <t>https://www.epirocgroup.com/en/media/corporate-press-releases/2024/20241008-epiroc-wins-large-underground-mining-equipment-order-in-kazakhstan</t>
  </si>
  <si>
    <t>Q4-H125</t>
  </si>
  <si>
    <t xml:space="preserve">Fleet pf PV231 and SmartROC D65 </t>
  </si>
  <si>
    <t xml:space="preserve">Newmont </t>
  </si>
  <si>
    <t>The rigs, which will be operated tele-remotely, will replace an older fleet of Epiroc equipment.</t>
  </si>
  <si>
    <t>https://www.epirocgroup.com/en/media/corporate-press-releases/2024/20241008-epiroc-wins-large-mining-equipment-order-in-australia</t>
  </si>
  <si>
    <t>Sept 2024-early 2025</t>
  </si>
  <si>
    <t>Feet of 14 Epiroc SmartROC D65 surface drill rigs</t>
  </si>
  <si>
    <t>Pilbara Minerals</t>
  </si>
  <si>
    <t xml:space="preserve">Lithium </t>
  </si>
  <si>
    <t>https://www.epirocgroup.com/en/media/corporate-press-releases/2024/20240909-epiroc-wins-large-equipment-order-for-australian-lithium-mine</t>
  </si>
  <si>
    <t>"950"</t>
  </si>
  <si>
    <t>2024-2025</t>
  </si>
  <si>
    <t>Fleet</t>
  </si>
  <si>
    <t>India</t>
  </si>
  <si>
    <t>UG</t>
  </si>
  <si>
    <t>Zinc</t>
  </si>
  <si>
    <t>"Smart" + RCS</t>
  </si>
  <si>
    <t>Fleet of mine trucks as well as rigs for rock reinforcement, face drilling and production drilling.</t>
  </si>
  <si>
    <t>https://www.epirocgroup.com/en/media/corporate-press-releases/2024/20240604-epiroc-wins-large-mining-equipment-order-in-india</t>
  </si>
  <si>
    <t>"400"</t>
  </si>
  <si>
    <t xml:space="preserve">Mexico </t>
  </si>
  <si>
    <t xml:space="preserve">Dumas Contracting Ltd. </t>
  </si>
  <si>
    <t>Silver</t>
  </si>
  <si>
    <t>Range of Epiroc rigs for face drilling, production drilling and rock reinforcement, as well as loaders and mine trucks for use at a silver mine in northern Mexico.</t>
  </si>
  <si>
    <t>https://www.epirocgroup.com/en/media/corporate-press-releases/2024/20240311-epiroc-wins-large-mining-equipment-order-in-mexico</t>
  </si>
  <si>
    <t xml:space="preserve">9-10 months </t>
  </si>
  <si>
    <t>"1.2 billion"</t>
  </si>
  <si>
    <t xml:space="preserve">Multi year </t>
  </si>
  <si>
    <t xml:space="preserve">Digital </t>
  </si>
  <si>
    <t xml:space="preserve">Codelco </t>
  </si>
  <si>
    <t xml:space="preserve">Multi-year order for digital solutions. The total order value is MSEK 250, whereof MSEK 50 was booked in the quarter. </t>
  </si>
  <si>
    <t>Epiroc wins its largest order ever for digital solutions to strengthen mining safety and productivity in Chile | Epiroc (epirocgroup.com)</t>
  </si>
  <si>
    <t>Shandong Gold Corp</t>
  </si>
  <si>
    <t xml:space="preserve">Ready for. </t>
  </si>
  <si>
    <t xml:space="preserve">Rigs, loaders, trucks and rock reinforcement for expansion. </t>
  </si>
  <si>
    <t xml:space="preserve">Eti Bakir </t>
  </si>
  <si>
    <t>Mixed</t>
  </si>
  <si>
    <t xml:space="preserve">Yes. </t>
  </si>
  <si>
    <t>The fleet will primarily be used at a new copper mine. Smart machines + one BEV</t>
  </si>
  <si>
    <t>https://www.epirocgroup.com/en/media/corporate-press-releases/2023/20231219-epiroc-wins-large-mining-equipment-order-for-new-copper-mine-in-turkiye</t>
  </si>
  <si>
    <t>Last year, in Q3, we had around SEK 1 billion in large orders, so we are more or less on the same level this year as we were last year</t>
  </si>
  <si>
    <t>X</t>
  </si>
  <si>
    <t>Byrnecut</t>
  </si>
  <si>
    <t>Lithium as well as tantalum</t>
  </si>
  <si>
    <t xml:space="preserve">No. </t>
  </si>
  <si>
    <t xml:space="preserve">Certiq </t>
  </si>
  <si>
    <t xml:space="preserve">Fleet of Minetruck MT65 S haulers, the world’s highest payload underground truck in the field. </t>
  </si>
  <si>
    <t>https://www.epirocgroup.com/en/media/corporate-press-releases/2023/20231010-epiroc-wins-large-order-for-minetruck-mt65-s-haulers-for-new-lithium-mine-in-australia</t>
  </si>
  <si>
    <t>2024+</t>
  </si>
  <si>
    <t>Democratic Republic of the Congo</t>
  </si>
  <si>
    <t>Kamoa Copper SA </t>
  </si>
  <si>
    <t xml:space="preserve">Copper </t>
  </si>
  <si>
    <t xml:space="preserve">Telematics </t>
  </si>
  <si>
    <t>The mine is projected to be among the world’s lowest greenhouse gas-emitting copper mines per unit of metal produced.</t>
  </si>
  <si>
    <t>https://www.epirocgroup.com/en/media/corporate-press-releases/2023/20230905-epiroc-and-kamoa-copper-strengthen-partnership-in-democratic-republic-of-the-congo</t>
  </si>
  <si>
    <t xml:space="preserve">“We received 4 large orders in the quarter, and with large, we mean over SEK 100 million. And in total, large order represent around SEK 550 </t>
  </si>
  <si>
    <t xml:space="preserve">Boliden </t>
  </si>
  <si>
    <t xml:space="preserve">Zinc, copper, lead, gold and silver </t>
  </si>
  <si>
    <t xml:space="preserve">Ready for </t>
  </si>
  <si>
    <t xml:space="preserve">Deep Automation, will be used to automate Boliden’s material handling process. </t>
  </si>
  <si>
    <t>https://www.epirocgroup.com/en/media/corporate-press-releases/2023/20230531-epiroc-wins-large-mining-equipment-order-including-battery-and-automation-solutions-from-boliden-in-sweden</t>
  </si>
  <si>
    <t xml:space="preserve">9-12 months </t>
  </si>
  <si>
    <t>“Four orders are what we consider being large ones, which is above SEK100 million, and this totaled SEK900 million for these large orders.”</t>
  </si>
  <si>
    <t xml:space="preserve">Into early 2024.  </t>
  </si>
  <si>
    <t>JCHX Mining and Construction Ltd.</t>
  </si>
  <si>
    <t xml:space="preserve">Zinc, copper, germanium and silver </t>
  </si>
  <si>
    <t>Mine is run with renewable hydro-generated electricity.</t>
  </si>
  <si>
    <t>https://www.epirocgroup.com/en/media/corporate-press-releases/2023/20230323-epiroc-wins-large-order-for-mining-equipment-in-democratic-republic-of-the-congo</t>
  </si>
  <si>
    <t xml:space="preserve">Throughout 2023 </t>
  </si>
  <si>
    <t xml:space="preserve">Roy Hill </t>
  </si>
  <si>
    <t xml:space="preserve">Iron ore </t>
  </si>
  <si>
    <t xml:space="preserve">Yes! </t>
  </si>
  <si>
    <t xml:space="preserve">The world’s largest single autonomous mine. </t>
  </si>
  <si>
    <t>https://www.epirocgroup.com/en/media/corporate-press-releases/2023/20230314-epiroc-wins-its-largest-ever-automation-order-to-work-with-roy-hill-to-create-world-s-largest-single-autonomous-mine</t>
  </si>
  <si>
    <t>Q123 into 2024</t>
  </si>
  <si>
    <t xml:space="preserve">South Africa </t>
  </si>
  <si>
    <t>African Rainbow Minerals </t>
  </si>
  <si>
    <t xml:space="preserve">Platinum </t>
  </si>
  <si>
    <t xml:space="preserve">Low profile, platinum </t>
  </si>
  <si>
    <t>https://www.epirocgroup.com/en/media/corporate-press-releases/2023/20230124-epiroc-wins-large-equipment-order-for-platinum-mine-in-south-africa</t>
  </si>
  <si>
    <t>9-12 months</t>
  </si>
  <si>
    <t>"And in the fourth quarter, we did not receive as many large orders as in the previous quarters. We had around MSEK 400 of large orders in Q4. "</t>
  </si>
  <si>
    <t>"We had a handful of large orders amounting to more than SEK 1 billion"</t>
  </si>
  <si>
    <t>begin in 2023</t>
  </si>
  <si>
    <t>fleet</t>
  </si>
  <si>
    <t>CITIC Pacific Mining</t>
  </si>
  <si>
    <t xml:space="preserve">Autodrill </t>
  </si>
  <si>
    <t xml:space="preserve">PitViper 271x, autodrill </t>
  </si>
  <si>
    <t>https://www.epirocgroup.com/en/media/corporate-press-releases/2022/20221013-epiroc-wins-large-mining-equipment-order-in-australia</t>
  </si>
  <si>
    <t>China</t>
  </si>
  <si>
    <t xml:space="preserve">Luannan Macheng Mining (Shougang Group) </t>
  </si>
  <si>
    <t>New iron ore mine / RCS and some electric</t>
  </si>
  <si>
    <t>https://www.epirocgroup.com/en/media/corporate-press-releases/2022/20221011-epiroc-wins-large-equipment-order-for-new-iron-ore-mine-in-china</t>
  </si>
  <si>
    <t xml:space="preserve">Early 23 </t>
  </si>
  <si>
    <t xml:space="preserve">Gold fields </t>
  </si>
  <si>
    <t xml:space="preserve">Fleet of trucks </t>
  </si>
  <si>
    <t>https://www.epirocgroup.com/en/media/corporate-press-releases/2022/20221005-epiroc-wins-large-order-for-mining-trucks-in-australia</t>
  </si>
  <si>
    <t>We won 5 large orders above "SEK 100 million in the quarter, and the large orders were in total more than SEK 800 million."</t>
  </si>
  <si>
    <t>Mauritania</t>
  </si>
  <si>
    <t>Société Nationale Industrielle et Minière</t>
  </si>
  <si>
    <t xml:space="preserve">Advanced automation </t>
  </si>
  <si>
    <t>https://www.epirocgroup.com/en/media/corporate-press-releases/2022/20220720-epiroc-wins-large-order-for-surface-drill-rigs-in-mauritania</t>
  </si>
  <si>
    <t>Fresnillo plc</t>
  </si>
  <si>
    <t>140 in Q2 and 30 in Q1</t>
  </si>
  <si>
    <t>https://www.epirocgroup.com/en/media/corporate-press-releases/2022/20220708-epiroc-wins-large-mining-equipment-order-in-mexico</t>
  </si>
  <si>
    <t>Glencore </t>
  </si>
  <si>
    <t xml:space="preserve">Nickel &amp; Copper </t>
  </si>
  <si>
    <t>Greenfield / Start 2024</t>
  </si>
  <si>
    <t>https://www.epirocgroup.com/en/media/corporate-press-releases/2022/20220704-epiroc-wins-large-battery-electric-equipment-order-for-new-all-electric-mine-in-canada</t>
  </si>
  <si>
    <t xml:space="preserve">Rio Tinto </t>
  </si>
  <si>
    <t xml:space="preserve">Surface / iron ore </t>
  </si>
  <si>
    <t>https://www.epirocgroup.com/en/media/corporate-press-releases/2022/20220630-epiroc-wins-large-surface-mining-equipment-order-in-australia</t>
  </si>
  <si>
    <t xml:space="preserve">Zinc, copper, lead, gold, silver, tellurium </t>
  </si>
  <si>
    <t>UG- Battery/ BEV</t>
  </si>
  <si>
    <t>https://www.epirocgroup.com/en/media/corporate-press-releases/2022/20220620-epiroc-wins-large-mining-equipment-order-in-sweden-including-battery-and-automation-solutions</t>
  </si>
  <si>
    <t>"six large orders". "In the range of SEK 800 million"</t>
  </si>
  <si>
    <t xml:space="preserve">Congo </t>
  </si>
  <si>
    <t>Kamoa Copper SA</t>
  </si>
  <si>
    <t xml:space="preserve">Minetrucks </t>
  </si>
  <si>
    <t>https://www.epirocgroup.com/en/media/corporate-press-releases/2022/20220420-epiroc-wins-large-mining-equipment-order-in-democratic-republic-of-the-congo</t>
  </si>
  <si>
    <t>Assmang Proprietary Limited </t>
  </si>
  <si>
    <t xml:space="preserve">Manganses </t>
  </si>
  <si>
    <t>Battery electric</t>
  </si>
  <si>
    <t>https://www.epirocgroup.com/en/media/corporate-press-releases/2022/20220419-epiroc-wins-large-order-for-battery-electric-mining-equipment-in-south-africa</t>
  </si>
  <si>
    <t>q1</t>
  </si>
  <si>
    <t>Canadian Malartic Partnership</t>
  </si>
  <si>
    <t>MSEK not mentioned, but that large is defined as MSEK +100</t>
  </si>
  <si>
    <t>https://www.epirocgroup.com/en/media/corporate-press-releases/2022/20220414-epiroc-wins-large-order-including-battery-machines-and-automation-solutions-for-new-mine-in-canada</t>
  </si>
  <si>
    <t>"We had 3 large orders in Q4"</t>
  </si>
  <si>
    <t>"Higher than in Q1 and Q2" "Five above MSEK 100"</t>
  </si>
  <si>
    <t>LKAB</t>
  </si>
  <si>
    <t>Production drilling</t>
  </si>
  <si>
    <t>https://www.epirocgroup.com/en/media/corporate-press-releases/2021/20211019-epiroc-wins-large-mining-equipment-order-in-sweden</t>
  </si>
  <si>
    <t>Production starts H2 2023</t>
  </si>
  <si>
    <t xml:space="preserve">IAMGOLD </t>
  </si>
  <si>
    <t>Greenfield</t>
  </si>
  <si>
    <t>https://www.epirocgroup.com/en/media/corporate-press-releases/2021/20211015-epiroc-wins-large-equipment-order-for-greenfield-mine-in-canada</t>
  </si>
  <si>
    <t xml:space="preserve">xx? </t>
  </si>
  <si>
    <t>https://www.epirocgroup.com/en/media/corporate-press-releases/2021/20211014-epiroc-wins-large-mining-equipment-order-in-turkey</t>
  </si>
  <si>
    <t>2021 and 2022</t>
  </si>
  <si>
    <t>Dazhong Mining Co</t>
  </si>
  <si>
    <t>Expansion</t>
  </si>
  <si>
    <t>https://www.epirocgroup.com/en/media/corporate-press-releases/2021/20210909-epiroc-wins-large-mining-equipment-order-in-china</t>
  </si>
  <si>
    <t>Largely on the same level as in Q1.</t>
  </si>
  <si>
    <t>early in 2022</t>
  </si>
  <si>
    <t xml:space="preserve">Ivanplats /Ivanhoe </t>
  </si>
  <si>
    <t>Battery-electric used for greenfield</t>
  </si>
  <si>
    <t>https://www.epirocgroup.com/en/media/corporate-press-releases/2021/20210714-epiroc-partners-with-ivanhoe-mines-for-significant-order-of-battery-electric-mining-equipment-in-south-africa</t>
  </si>
  <si>
    <t>Majority in Q2 / Rest in Q3</t>
  </si>
  <si>
    <t>CoMinVi</t>
  </si>
  <si>
    <t>Contractor for use in several mines throughout the country</t>
  </si>
  <si>
    <t>https://www.epirocgroup.com/en/media/corporate-press-releases/2021/20210629-epiroc-wins-large-mining-equipment-order-in-mexico</t>
  </si>
  <si>
    <t>Roughly (a little less than) MSEK 500</t>
  </si>
  <si>
    <t xml:space="preserve">xxx? </t>
  </si>
  <si>
    <t xml:space="preserve">RioTinto </t>
  </si>
  <si>
    <t>Pilbara region</t>
  </si>
  <si>
    <t>https://www.epirocgroup.com/en/media/corporate-press-releases/2021/20210427-epiroc-wins-large-mining-equipment-order-in-australia</t>
  </si>
  <si>
    <t>Q4 2020</t>
  </si>
  <si>
    <t>Norilsk Nickel </t>
  </si>
  <si>
    <t>Nickel, palladium, platinum and copper</t>
  </si>
  <si>
    <t>Several mines</t>
  </si>
  <si>
    <t>https://www.epirocgroup.com/en/media/corporate-press-releases/2020/20201021-safety-and-productivity-in-focus-as-epiroc-wins-large-equipment-order-in-russia</t>
  </si>
  <si>
    <t xml:space="preserve">Later 2020 </t>
  </si>
  <si>
    <t>Surface / UG</t>
  </si>
  <si>
    <t xml:space="preserve">Copper / Gold </t>
  </si>
  <si>
    <t>Transforming the copper and gold mine from open-pit into UG</t>
  </si>
  <si>
    <t>https://www.epirocgroup.com/en/media/corporate-press-releases/2020/20200528-epiroc-wins-large-mining-equipment-and-service-order-from-codelco-in-chile</t>
  </si>
  <si>
    <t xml:space="preserve">Other important business / information </t>
  </si>
  <si>
    <t xml:space="preserve">Hard-formation exposure of orders, % </t>
  </si>
  <si>
    <t>Q2 2024</t>
  </si>
  <si>
    <t>Infrastructure</t>
  </si>
  <si>
    <t>Gold</t>
  </si>
  <si>
    <t>Iron</t>
  </si>
  <si>
    <t>Platinum</t>
  </si>
  <si>
    <t>Nickel</t>
  </si>
  <si>
    <t xml:space="preserve">Coal </t>
  </si>
  <si>
    <t>Nickel, lead</t>
  </si>
  <si>
    <t xml:space="preserve">Fleet age </t>
  </si>
  <si>
    <t>Average fleet age in years</t>
  </si>
  <si>
    <t xml:space="preserve">Older than 10 years, % </t>
  </si>
  <si>
    <t xml:space="preserve">Other relevant KPIs </t>
  </si>
  <si>
    <t xml:space="preserve">Underground revenues of equipment, % </t>
  </si>
  <si>
    <t xml:space="preserve">Surface revenues of equipment, % </t>
  </si>
  <si>
    <t xml:space="preserve">Direct sales, of revenues, % </t>
  </si>
  <si>
    <t>Digitalization, Automation and Electrification KPIs</t>
  </si>
  <si>
    <t xml:space="preserve">Telematics, RCS, enabled fleet, units </t>
  </si>
  <si>
    <t>Mixed fleet teleremote</t>
  </si>
  <si>
    <t>H12022</t>
  </si>
  <si>
    <t>Epiroc autonomous drill rigs</t>
  </si>
  <si>
    <t xml:space="preserve">Mixed fleet autonomous load/haul </t>
  </si>
  <si>
    <t xml:space="preserve">No of driverless machines (mixed fleet) </t>
  </si>
  <si>
    <t xml:space="preserve">CAS 9 delivered </t>
  </si>
  <si>
    <t>100+</t>
  </si>
  <si>
    <t xml:space="preserve">CAS 7-8 delivered </t>
  </si>
  <si>
    <t>3000+</t>
  </si>
  <si>
    <t xml:space="preserve">Sites with situational awareness systems </t>
  </si>
  <si>
    <t>45+</t>
  </si>
  <si>
    <t xml:space="preserve">Electrification revenues of Group revenues, % </t>
  </si>
  <si>
    <t xml:space="preserve">Active electric fleet of rigs, loaders and trucks </t>
  </si>
  <si>
    <t>600+</t>
  </si>
  <si>
    <t>Sites with Battery-Electric Vehicles (BEV) in operations</t>
  </si>
  <si>
    <t>Sites that have ordered BEVs, not necessarily yet machines in operations</t>
  </si>
  <si>
    <t>Recurring BEV customers among the sites with BEVs running in operations</t>
  </si>
  <si>
    <t xml:space="preserve">New sales ratio in equipment divisions (share of revenues sold that was launched during the last 5 years, incl. RCT) </t>
  </si>
  <si>
    <t xml:space="preserve">Seasonality </t>
  </si>
  <si>
    <t xml:space="preserve">Historically, Q1 has somewhat lower revenues than Q4. Attachments generally strong in H1. </t>
  </si>
  <si>
    <t xml:space="preserve">Historically, Q2 has somewhat higher revenues than Q1. Attachments generally strong in H1. </t>
  </si>
  <si>
    <t>Historically Q3 has somewhat lower orders and revenues than Q2.</t>
  </si>
  <si>
    <t xml:space="preserve">Historically Q4 has somewhat higher revenues than Q3. </t>
  </si>
  <si>
    <t xml:space="preserve">Large customers </t>
  </si>
  <si>
    <t xml:space="preserve">Top 10 customers of revenues, % </t>
  </si>
  <si>
    <t>Customer mentioned in annual report</t>
  </si>
  <si>
    <t xml:space="preserve">Anglo American </t>
  </si>
  <si>
    <t>Anglo American</t>
  </si>
  <si>
    <t>African Rainbow Minerals</t>
  </si>
  <si>
    <t xml:space="preserve">Barrick Gold Cooperation </t>
  </si>
  <si>
    <t xml:space="preserve"> Assmang Proprietary Limited</t>
  </si>
  <si>
    <t>Barrick Gold Corporation</t>
  </si>
  <si>
    <t xml:space="preserve"> Barrick Gold Corporation</t>
  </si>
  <si>
    <t xml:space="preserve">BHP </t>
  </si>
  <si>
    <t xml:space="preserve"> Boliden</t>
  </si>
  <si>
    <t>Boliden</t>
  </si>
  <si>
    <t>Freeport-McMoran</t>
  </si>
  <si>
    <t xml:space="preserve"> BHP</t>
  </si>
  <si>
    <t>Glencore</t>
  </si>
  <si>
    <t xml:space="preserve"> Dragados</t>
  </si>
  <si>
    <t>Heidelberg Cement</t>
  </si>
  <si>
    <t xml:space="preserve"> Freeport-McMoRan</t>
  </si>
  <si>
    <t>Codelco</t>
  </si>
  <si>
    <t>Hochtief</t>
  </si>
  <si>
    <t xml:space="preserve"> First Quantum Minerals</t>
  </si>
  <si>
    <t xml:space="preserve"> Glencore</t>
  </si>
  <si>
    <t xml:space="preserve">Lundin Mining Corporation </t>
  </si>
  <si>
    <t xml:space="preserve"> Heidelberg Cement</t>
  </si>
  <si>
    <t>JCHX Mining and Construction Ltd</t>
  </si>
  <si>
    <t>Kamoa Copper</t>
  </si>
  <si>
    <t>Rio Tinto</t>
  </si>
  <si>
    <t xml:space="preserve"> Hochtief</t>
  </si>
  <si>
    <t xml:space="preserve">Sibanye-Stillwater </t>
  </si>
  <si>
    <t xml:space="preserve"> LKAB</t>
  </si>
  <si>
    <t>Peñoles</t>
  </si>
  <si>
    <t xml:space="preserve">Vale </t>
  </si>
  <si>
    <t xml:space="preserve"> Lundin Mining Corporation</t>
  </si>
  <si>
    <t xml:space="preserve">Veidekke </t>
  </si>
  <si>
    <t xml:space="preserve"> Newmont Goldcorp</t>
  </si>
  <si>
    <t>Roy Hill</t>
  </si>
  <si>
    <t xml:space="preserve">Votorantim </t>
  </si>
  <si>
    <t xml:space="preserve"> Peñoles</t>
  </si>
  <si>
    <t>Shandong Gold Group Co.</t>
  </si>
  <si>
    <t xml:space="preserve"> Rental Group</t>
  </si>
  <si>
    <t>Sibanye Stillwater</t>
  </si>
  <si>
    <t xml:space="preserve"> Rio Tinto</t>
  </si>
  <si>
    <t xml:space="preserve">Skanska </t>
  </si>
  <si>
    <t xml:space="preserve"> Roy Hill</t>
  </si>
  <si>
    <t>Vale</t>
  </si>
  <si>
    <t xml:space="preserve"> Sibanye-Stillwater</t>
  </si>
  <si>
    <t xml:space="preserve"> Vale</t>
  </si>
  <si>
    <t xml:space="preserve"> Veidekke</t>
  </si>
  <si>
    <t xml:space="preserve"> Votorantim</t>
  </si>
  <si>
    <t xml:space="preserve">Züblin </t>
  </si>
  <si>
    <t xml:space="preserve">Guidance for modelling purposes </t>
  </si>
  <si>
    <t xml:space="preserve">Capex </t>
  </si>
  <si>
    <t>Epiroc has low CapEx needs, roughly between 1% to 2% of revenues per year.</t>
  </si>
  <si>
    <t xml:space="preserve">Tax rate </t>
  </si>
  <si>
    <t xml:space="preserve">Below 25% (until Q322) </t>
  </si>
  <si>
    <t xml:space="preserve">Between 22%-24% (from Q322) </t>
  </si>
  <si>
    <t>Geographical split of significant suppliers (%)</t>
  </si>
  <si>
    <t xml:space="preserve">South America </t>
  </si>
  <si>
    <t xml:space="preserve">Africa/Middle East </t>
  </si>
  <si>
    <t>M&amp;A</t>
  </si>
  <si>
    <t xml:space="preserve">T&amp;A and Stanley Infrastructure </t>
  </si>
  <si>
    <t>Date finalized</t>
  </si>
  <si>
    <t>Acquisitions</t>
  </si>
  <si>
    <t>Divestment</t>
  </si>
  <si>
    <t>Segment</t>
  </si>
  <si>
    <t xml:space="preserve">Revenue Stream </t>
  </si>
  <si>
    <t>Revenues, MSEK*</t>
  </si>
  <si>
    <t>No. of employees</t>
  </si>
  <si>
    <t>M&amp;A impact</t>
  </si>
  <si>
    <t xml:space="preserve">Radlink </t>
  </si>
  <si>
    <t xml:space="preserve">100% (prev. 53%). </t>
  </si>
  <si>
    <t xml:space="preserve">M&amp;A contribution </t>
  </si>
  <si>
    <t>M&amp;A contribution</t>
  </si>
  <si>
    <t>Group</t>
  </si>
  <si>
    <t>ACB+</t>
  </si>
  <si>
    <t>Tools &amp; Attachments </t>
  </si>
  <si>
    <t>T&amp;A</t>
  </si>
  <si>
    <t>Revenue contribution from acquisitions, MSEK,  YTD</t>
  </si>
  <si>
    <t>NA</t>
  </si>
  <si>
    <t>ASI Mining (remaining share)</t>
  </si>
  <si>
    <t xml:space="preserve">Equipment (Underground) </t>
  </si>
  <si>
    <t xml:space="preserve">100% (prev. 44%) </t>
  </si>
  <si>
    <t xml:space="preserve">EBIT contribution from acquisitions, MSEK, YTD </t>
  </si>
  <si>
    <t>EBIT</t>
  </si>
  <si>
    <t>Yieldpoint</t>
  </si>
  <si>
    <t>Revenue contribution from acquisitions, MSEK, Quarter</t>
  </si>
  <si>
    <t xml:space="preserve">Weco Proprietary Limited </t>
  </si>
  <si>
    <t xml:space="preserve">EBIT contribution from acquisitions, MSEK, Quarter </t>
  </si>
  <si>
    <t>Stanley Infrastructure</t>
  </si>
  <si>
    <t xml:space="preserve">Implied margin for the period, % </t>
  </si>
  <si>
    <t> Key assets Schramm Australia</t>
  </si>
  <si>
    <t>Adjusted EBITA</t>
  </si>
  <si>
    <t>AARD Mining Equipment</t>
  </si>
  <si>
    <t xml:space="preserve">Diliution from acquistions, percentage points </t>
  </si>
  <si>
    <t xml:space="preserve">2023 Feb 2 </t>
  </si>
  <si>
    <t>Mernok Elektronik</t>
  </si>
  <si>
    <t>Amortization</t>
  </si>
  <si>
    <t xml:space="preserve">CR </t>
  </si>
  <si>
    <t>2022 Dec 1</t>
  </si>
  <si>
    <t>Remote Control Technologies (RCT)</t>
  </si>
  <si>
    <t>Items Affecting Comparability</t>
  </si>
  <si>
    <t>2022 Nov 4</t>
  </si>
  <si>
    <t>Wain-Roy</t>
  </si>
  <si>
    <t>2022 Nov 1 </t>
  </si>
  <si>
    <t>Radlink</t>
  </si>
  <si>
    <t xml:space="preserve">Balance sheet effect </t>
  </si>
  <si>
    <t>T&amp;A acq.</t>
  </si>
  <si>
    <t>2022 Oct 14</t>
  </si>
  <si>
    <t>Geoscan</t>
  </si>
  <si>
    <t>Cash flow effect, MSEK, YTD</t>
  </si>
  <si>
    <t>2022 Aug 2</t>
  </si>
  <si>
    <t>RNP México</t>
  </si>
  <si>
    <t>Cash flow effect, MSEK, Quarter</t>
  </si>
  <si>
    <t>Revenue Contribution</t>
  </si>
  <si>
    <t>2022 Jun 1</t>
  </si>
  <si>
    <t>JTMEC</t>
  </si>
  <si>
    <t>Equipment &amp; Service </t>
  </si>
  <si>
    <t>Intangible assets, MSEK, YTD</t>
  </si>
  <si>
    <t>2021 Nov 3</t>
  </si>
  <si>
    <t>FVT Research</t>
  </si>
  <si>
    <t>Intangible assets, MSEK, Quarter</t>
  </si>
  <si>
    <t>EBIT Contribution</t>
  </si>
  <si>
    <t>2021 Nov 2</t>
  </si>
  <si>
    <t>Mobilaris MCE AB (remaining share)</t>
  </si>
  <si>
    <t>Goodwill, MSEK, YTD</t>
  </si>
  <si>
    <t>2021 Aug 10</t>
  </si>
  <si>
    <t>DandA Heavy Industries</t>
  </si>
  <si>
    <t xml:space="preserve">Goodwill, MSEK, Quarter </t>
  </si>
  <si>
    <t>2021 July 7</t>
  </si>
  <si>
    <t> Mining Tag S.A</t>
  </si>
  <si>
    <t>2021 July 2</t>
  </si>
  <si>
    <t>Meglab</t>
  </si>
  <si>
    <t xml:space="preserve">M&amp;A growth </t>
  </si>
  <si>
    <t>2021 June 4</t>
  </si>
  <si>
    <t>3D-P </t>
  </si>
  <si>
    <t>2021 June 1</t>
  </si>
  <si>
    <t>Kinetic Logging Services Pty Ltd</t>
  </si>
  <si>
    <t>Tools &amp; Attachements</t>
  </si>
  <si>
    <t>2021 May 4</t>
  </si>
  <si>
    <t>MineRP</t>
  </si>
  <si>
    <t>2020 Aug 26</t>
  </si>
  <si>
    <t>ItalParts</t>
  </si>
  <si>
    <t>2019 Oct 23</t>
  </si>
  <si>
    <t>Consumables manufacturing facility</t>
  </si>
  <si>
    <t>2019 Sep 3</t>
  </si>
  <si>
    <t>Geotechnical consumables</t>
  </si>
  <si>
    <t>2019 Apr 2</t>
  </si>
  <si>
    <t>New Concept Mining </t>
  </si>
  <si>
    <t>2019 Feb 1</t>
  </si>
  <si>
    <t>Noland Drilling Equipment</t>
  </si>
  <si>
    <t>2019 Jan 3</t>
  </si>
  <si>
    <t>Fordia</t>
  </si>
  <si>
    <t>2018 Nov 2</t>
  </si>
  <si>
    <t>Sautec</t>
  </si>
  <si>
    <t>2018 Oct 30</t>
  </si>
  <si>
    <t>ASI Mining (34%)** </t>
  </si>
  <si>
    <t>2018 Feb 1</t>
  </si>
  <si>
    <t>Hy-Performance Fluid Power</t>
  </si>
  <si>
    <t>2018 Jan 3</t>
  </si>
  <si>
    <t>Rock Drill Services Australia</t>
  </si>
  <si>
    <t>Cate Drilling Solutions</t>
  </si>
  <si>
    <t>2018 Jan 2</t>
  </si>
  <si>
    <t>Renegade Drilling Supplies</t>
  </si>
  <si>
    <t>2017 Jul 4</t>
  </si>
  <si>
    <t>Mobilaris MCE AB (34%)**</t>
  </si>
  <si>
    <t>2017 Feb 2</t>
  </si>
  <si>
    <t>Erkat</t>
  </si>
  <si>
    <t>2014 Feb 3</t>
  </si>
  <si>
    <t>Geawelltech</t>
  </si>
  <si>
    <t>2013 Oct 17</t>
  </si>
  <si>
    <t>Archer Underbalanced Services</t>
  </si>
  <si>
    <t>2013 Apr 3</t>
  </si>
  <si>
    <t>MEYCO</t>
  </si>
  <si>
    <t>2013 Mar 5</t>
  </si>
  <si>
    <t>Shandong Rock Drilling Tools Co., Ltd.</t>
  </si>
  <si>
    <t>2012 Oct 26</t>
  </si>
  <si>
    <t>NewTech Drilling Products, LLC.</t>
  </si>
  <si>
    <t>2012 Jan 31</t>
  </si>
  <si>
    <t>Neumatica - Colombian distributor</t>
  </si>
  <si>
    <t>GIA Industri AB</t>
  </si>
  <si>
    <t>2012 Jan 12</t>
  </si>
  <si>
    <t>Perfora S.p.A</t>
  </si>
  <si>
    <t xml:space="preserve">As of 2023-01-01 the exploration-related products and solutions are gathered in a new business line called OreBody Solutions, which reports under the Surface division (equipment). It includes the traditional drilling rigs from the Surface division, the exploration consumables from T&amp;A as well as the spare parts from Service. Figures for 2022 have been restated in sheet "Segments". In this sheet you find reported numbers until 2022-12-31. </t>
  </si>
  <si>
    <t>CAGR 2015-2021</t>
  </si>
  <si>
    <t>Operating profit and profit before tax</t>
  </si>
  <si>
    <t>Common group functions*</t>
  </si>
  <si>
    <t>Items affecting comparability**</t>
  </si>
  <si>
    <t>Adj. margin for items affecting comparability</t>
  </si>
  <si>
    <t xml:space="preserve">Adjusted operating margin, E&amp;S, %* </t>
  </si>
  <si>
    <t xml:space="preserve">Adjusted operating margin, % </t>
  </si>
  <si>
    <t>Split and incentive program costs</t>
  </si>
  <si>
    <t>Revenue split by reporting segment</t>
  </si>
  <si>
    <t xml:space="preserve">% </t>
  </si>
  <si>
    <t xml:space="preserve">Revenue split by business type </t>
  </si>
  <si>
    <t xml:space="preserve">% and MSEK </t>
  </si>
  <si>
    <t>** As reported in income statement</t>
  </si>
  <si>
    <t xml:space="preserve">Epiroc Restated </t>
  </si>
  <si>
    <t>Items affecting comparability in operating profit</t>
  </si>
  <si>
    <t>Operating margin, excl. items affecting comparability</t>
  </si>
  <si>
    <t xml:space="preserve">Epiroc Attachments, implied </t>
  </si>
  <si>
    <t>Share of T&amp;A</t>
  </si>
  <si>
    <t>Atlas Copco Group</t>
  </si>
  <si>
    <t>Mining and Rock Excavation Technique</t>
  </si>
  <si>
    <t>See figures from previous group structure below</t>
  </si>
  <si>
    <t>Atlas Copco Group - Structure prior to Jan 1, 2017</t>
  </si>
  <si>
    <t>Restated IAS 19 + Proforma with the move of the Specialty Rental division from Compressor Technique to Construction Technique</t>
  </si>
  <si>
    <t>Continuing operations</t>
  </si>
  <si>
    <t>Construction Technique</t>
  </si>
  <si>
    <t>Atlas Copco Group - Structure prior to July 1, 2011</t>
  </si>
  <si>
    <t>Note!</t>
  </si>
  <si>
    <t>IFRS</t>
  </si>
  <si>
    <t>of the equipment rental business</t>
  </si>
  <si>
    <t>Construction and Mining Technique</t>
  </si>
  <si>
    <t>Restated</t>
  </si>
  <si>
    <t>FY 2025</t>
  </si>
  <si>
    <t>2025 Q4</t>
  </si>
  <si>
    <t>Investments in associated companies</t>
  </si>
  <si>
    <t>Current tax receivables</t>
  </si>
  <si>
    <r>
      <t>2025</t>
    </r>
    <r>
      <rPr>
        <b/>
        <vertAlign val="superscript"/>
        <sz val="8"/>
        <rFont val="Arial"/>
        <family val="2"/>
      </rPr>
      <t>(1)</t>
    </r>
  </si>
  <si>
    <r>
      <t>2025</t>
    </r>
    <r>
      <rPr>
        <b/>
        <vertAlign val="superscript"/>
        <sz val="8"/>
        <rFont val="Arial"/>
        <family val="2"/>
      </rPr>
      <t>(2)</t>
    </r>
  </si>
  <si>
    <t>2025 Full year</t>
  </si>
  <si>
    <t>CAGR 2015-2025</t>
  </si>
  <si>
    <t xml:space="preserve">Mixed fleet utility vehicles </t>
  </si>
  <si>
    <t xml:space="preserve">Proposal by the Board </t>
  </si>
  <si>
    <t>670. The strong development in North America, which was up 29% was supported by a large order of automated equipment, including battery-electric (BEV) equipment.</t>
  </si>
  <si>
    <t>The strong development in North America, which was up 29% was supported by a large order of automated equipment, including battery-electric (BEV) equipment.</t>
  </si>
  <si>
    <t>Exp. Q3 2026</t>
  </si>
  <si>
    <t>Eventspec </t>
  </si>
  <si>
    <t>Q126</t>
  </si>
  <si>
    <r>
      <t>Reference in Annual and Sustainability Report</t>
    </r>
    <r>
      <rPr>
        <sz val="8"/>
        <rFont val="Arial"/>
        <family val="2"/>
      </rPr>
      <t xml:space="preserve"> 2025</t>
    </r>
  </si>
  <si>
    <t>2026 Target</t>
  </si>
  <si>
    <t>p.104-105</t>
  </si>
  <si>
    <t>p.106</t>
  </si>
  <si>
    <t>p. 105</t>
  </si>
  <si>
    <r>
      <t>Total fossil energy consumption (GWh)</t>
    </r>
    <r>
      <rPr>
        <vertAlign val="superscript"/>
        <sz val="8"/>
        <rFont val="Arial"/>
        <family val="2"/>
      </rPr>
      <t xml:space="preserve"> 1)</t>
    </r>
  </si>
  <si>
    <r>
      <t xml:space="preserve">Consumption from nuclear sources (GWh) </t>
    </r>
    <r>
      <rPr>
        <vertAlign val="superscript"/>
        <sz val="8"/>
        <rFont val="Arial"/>
        <family val="2"/>
      </rPr>
      <t>1)</t>
    </r>
  </si>
  <si>
    <r>
      <t xml:space="preserve">Total renewable energy consumption (GWh) </t>
    </r>
    <r>
      <rPr>
        <vertAlign val="superscript"/>
        <sz val="8"/>
        <rFont val="Arial"/>
        <family val="2"/>
      </rPr>
      <t>1)</t>
    </r>
  </si>
  <si>
    <r>
      <t xml:space="preserve">Total energy consumption (GWh) </t>
    </r>
    <r>
      <rPr>
        <vertAlign val="superscript"/>
        <sz val="8"/>
        <rFont val="Arial"/>
        <family val="2"/>
      </rPr>
      <t>1)</t>
    </r>
  </si>
  <si>
    <r>
      <t xml:space="preserve">Share of renewable sources in total energy consumption (%) - On-site </t>
    </r>
    <r>
      <rPr>
        <vertAlign val="superscript"/>
        <sz val="8"/>
        <rFont val="Arial"/>
        <family val="2"/>
      </rPr>
      <t>1)</t>
    </r>
  </si>
  <si>
    <r>
      <t xml:space="preserve">Share of renewable sources in total energy consumption (%) - Total </t>
    </r>
    <r>
      <rPr>
        <vertAlign val="superscript"/>
        <sz val="8"/>
        <rFont val="Arial"/>
        <family val="2"/>
      </rPr>
      <t>1)</t>
    </r>
  </si>
  <si>
    <r>
      <t xml:space="preserve">Share of renewable sources incl. renewable of mix in total energy consumption (%) - Total </t>
    </r>
    <r>
      <rPr>
        <vertAlign val="superscript"/>
        <sz val="8"/>
        <rFont val="Arial"/>
        <family val="2"/>
      </rPr>
      <t>1)</t>
    </r>
  </si>
  <si>
    <r>
      <t xml:space="preserve">Total energy consumption per net revenue (MWh/MSEK) </t>
    </r>
    <r>
      <rPr>
        <vertAlign val="superscript"/>
        <sz val="8"/>
        <rFont val="Arial"/>
        <family val="2"/>
      </rPr>
      <t>1)</t>
    </r>
  </si>
  <si>
    <t>p.118</t>
  </si>
  <si>
    <t>p.118-119</t>
  </si>
  <si>
    <t>2026 
Target</t>
  </si>
  <si>
    <t>p.127</t>
  </si>
  <si>
    <t>New hires (FTE)</t>
  </si>
  <si>
    <t>p.130-131</t>
  </si>
  <si>
    <t>p.128</t>
  </si>
  <si>
    <t>&gt;21,1</t>
  </si>
  <si>
    <t>&gt;25,8</t>
  </si>
  <si>
    <t>p.132</t>
  </si>
  <si>
    <t>&lt;3,4</t>
  </si>
  <si>
    <t>&lt;2,5</t>
  </si>
  <si>
    <t>p.138</t>
  </si>
  <si>
    <t>p.138-139</t>
  </si>
  <si>
    <t>p.152</t>
  </si>
  <si>
    <t>p.59-60, 62-65, 172-173</t>
  </si>
  <si>
    <t>4/3/2</t>
  </si>
  <si>
    <r>
      <t>Scope 1 Ghg emissions ((tCO2e) - On-site</t>
    </r>
    <r>
      <rPr>
        <vertAlign val="superscript"/>
        <sz val="8"/>
        <rFont val="Arial"/>
        <family val="2"/>
      </rPr>
      <t xml:space="preserve"> 1)</t>
    </r>
  </si>
  <si>
    <r>
      <t xml:space="preserve">Scope 1 Ghg emissions (ktCO2e) - Company vehicles </t>
    </r>
    <r>
      <rPr>
        <vertAlign val="superscript"/>
        <sz val="8"/>
        <rFont val="Arial"/>
        <family val="2"/>
      </rPr>
      <t>1)</t>
    </r>
  </si>
  <si>
    <t>Scope 1 Ghg emissions (ktCO2e) - Total</t>
  </si>
  <si>
    <r>
      <t xml:space="preserve">Scope 2 Ghg emissions (ktCO2e) - On-site </t>
    </r>
    <r>
      <rPr>
        <vertAlign val="superscript"/>
        <sz val="8"/>
        <rFont val="Arial"/>
        <family val="2"/>
      </rPr>
      <t>1)</t>
    </r>
  </si>
  <si>
    <t>Scope 2 Ghg emissions (ktCO2e) - Total (market-based)</t>
  </si>
  <si>
    <t>Scope 2 Ghg emissions (ktCO2e) - Total (location-based)</t>
  </si>
  <si>
    <t>Scope 1 &amp; 2 Ghg emissions (ktCO2e) - (market-based)</t>
  </si>
  <si>
    <r>
      <t xml:space="preserve">Scope 3 Ghg emissions - Purchased goods and services </t>
    </r>
    <r>
      <rPr>
        <vertAlign val="superscript"/>
        <sz val="8"/>
        <rFont val="Arial"/>
        <family val="2"/>
      </rPr>
      <t>1)</t>
    </r>
  </si>
  <si>
    <r>
      <t xml:space="preserve">Scope 2 Ghg emissions (ktCO2e) - Company vehicles </t>
    </r>
    <r>
      <rPr>
        <vertAlign val="superscript"/>
        <sz val="8"/>
        <rFont val="Arial"/>
        <family val="2"/>
      </rPr>
      <t>1)</t>
    </r>
  </si>
  <si>
    <r>
      <t xml:space="preserve">Scope 3 Ghg - Upstream and downstream transportation and distribution </t>
    </r>
    <r>
      <rPr>
        <vertAlign val="superscript"/>
        <sz val="8"/>
        <rFont val="Arial"/>
        <family val="2"/>
      </rPr>
      <t>1)</t>
    </r>
  </si>
  <si>
    <t>Scope 3 Ghg emissions - Use of sold products</t>
  </si>
  <si>
    <r>
      <t>1) Estimations for CO</t>
    </r>
    <r>
      <rPr>
        <vertAlign val="subscript"/>
        <sz val="8"/>
        <rFont val="Arial"/>
        <family val="2"/>
      </rPr>
      <t>2</t>
    </r>
    <r>
      <rPr>
        <sz val="8"/>
        <rFont val="Arial"/>
        <family val="2"/>
      </rPr>
      <t>e emissions and energy consumption have been added to 2024 and 2025 result to achieve full reporting scope and the 2025 &amp; 2026 targets have been restated to align with the full scope. 2025 target for purchased goods and services is limited to direct sourcing only. See more information on estimations in "GHG accounting methodology" p.107</t>
    </r>
  </si>
  <si>
    <t>Vedanta</t>
  </si>
  <si>
    <t>Hancock Iron Ore</t>
  </si>
  <si>
    <t>Hudbay Minerals</t>
  </si>
  <si>
    <t>Hindustan Zinc</t>
  </si>
  <si>
    <t>Fortescue</t>
  </si>
  <si>
    <t xml:space="preserve">Pucobre </t>
  </si>
  <si>
    <t>Asante Gold</t>
  </si>
  <si>
    <t>Assmang Black Rock</t>
  </si>
  <si>
    <t>2026 Q1</t>
  </si>
  <si>
    <t>Now until yearend 2026</t>
  </si>
  <si>
    <t>Fleet of Epiroc’s Minetruck haulers and Scooptram loaders.</t>
  </si>
  <si>
    <t>Mopani Copper Mines Plc</t>
  </si>
  <si>
    <t>https://www.epirocgroup.com/en/media/corporate-press-releases/2026/20260410-epiroc-wins-large-order-for-underground-mining-equipment-in-zambia</t>
  </si>
  <si>
    <t>Long term customer within drilling, now also load and haul</t>
  </si>
  <si>
    <t>Now until yearend 2027</t>
  </si>
  <si>
    <t>Pit Viper 275 E blasthole drill rigs</t>
  </si>
  <si>
    <t xml:space="preserve">Africa </t>
  </si>
  <si>
    <t>The machines are cable electric and will be operated fully autonomously, boosting safety and productivity while having zero exhaust emissions. </t>
  </si>
  <si>
    <t>https://www.epirocgroup.com/en/media/corporate-press-releases/2026/20260320-epiroc-wins-large-order-for-autonomous-and-electric-mining-equipment-in-africa</t>
  </si>
  <si>
    <t xml:space="preserve">Please note, as of Q1 2026 large orders are orders above MSEK 150 (previously MSEK 100) </t>
  </si>
  <si>
    <t>Total emissions in operations, incl company vehicles, '000 tonnes, 12 months</t>
  </si>
  <si>
    <t>Emissions from transport, '000 tonnes, 12 months</t>
  </si>
  <si>
    <t>CO2e emissions from transport, tonnes, 12 months  (until 2025)</t>
  </si>
  <si>
    <t>Transport CO2, tonnes/COS, MSEK, 12 months (until 2025)</t>
  </si>
  <si>
    <t xml:space="preserve">The organic increase was 23%, driven by strong demand from mining customers, and was supported by several large mining equipment orders. The large orders amounted to 1.28 billion, to compare with 280 in previous year. </t>
  </si>
  <si>
    <t>Orders above MSEK 150.</t>
  </si>
  <si>
    <t>Q226</t>
  </si>
  <si>
    <t>2026 Q2</t>
  </si>
  <si>
    <t>End of 2026 and H1 2027</t>
  </si>
  <si>
    <t>Pit Viper 351 drill rig</t>
  </si>
  <si>
    <t>Automation ready</t>
  </si>
  <si>
    <t>https://www.epirocgroup.com/en/media/corporate-press-releases/2026/20260715-epiroc-wins-large-order-for-mining-equipment-in-peru</t>
  </si>
  <si>
    <t>A consortium comprising leading Chinese investment companies and a globally recognized mining company headquartered in Australia</t>
  </si>
  <si>
    <t>Q2 2026 - July 17, 2026</t>
  </si>
  <si>
    <t xml:space="preserve">Through 2026-07-17 </t>
  </si>
  <si>
    <t>Q1 2026</t>
  </si>
  <si>
    <t>Epiroc exploration orders, rolling 12m</t>
  </si>
  <si>
    <t>Service agreement ratio,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</si>
</sst>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1" formatCode="_-* #,##0_-;\-* #,##0_-;_-* &quot;-&quot;_-;_-@_-"/>
    <numFmt numFmtId="44" formatCode="_-* #,##0.00\ &quot;kr&quot;_-;\-* #,##0.00\ &quot;kr&quot;_-;_-* &quot;-&quot;??\ &quot;kr&quot;_-;_-@_-"/>
    <numFmt numFmtId="43" formatCode="_-* #,##0.00_-;\-* #,##0.00_-;_-* &quot;-&quot;??_-;_-@_-"/>
    <numFmt numFmtId="164" formatCode="_(* #,##0.00_);_(* \(#,##0.00\);_(* &quot;-&quot;??_);_(@_)"/>
    <numFmt numFmtId="165" formatCode="0.0"/>
    <numFmt numFmtId="166" formatCode="0.0%"/>
    <numFmt numFmtId="167" formatCode="#,##0.0"/>
    <numFmt numFmtId="168" formatCode="_-* #,##0.0\ &quot;kr&quot;_-;\-* #,##0.0\ &quot;kr&quot;_-;_-* &quot;-&quot;??\ &quot;kr&quot;_-;_-@_-"/>
    <numFmt numFmtId="169" formatCode="0.000000000000000%"/>
    <numFmt numFmtId="170" formatCode="_-* #,##0\ _k_r_-;\-* #,##0\ _k_r_-;_-* &quot;-&quot;??\ _k_r_-;_-@_-"/>
    <numFmt numFmtId="171" formatCode="0.00000000000000%"/>
    <numFmt numFmtId="172" formatCode="_-* #,##0.00\ _k_r_-;\-* #,##0.00\ _k_r_-;_-* &quot;-&quot;??\ _k_r_-;_-@_-"/>
    <numFmt numFmtId="173" formatCode="\+#,##0;\-#,##0"/>
    <numFmt numFmtId="174" formatCode="#,##0_ ;\-#,##0\ "/>
    <numFmt numFmtId="175" formatCode="\+#,##0.0;\-#,##0.0"/>
    <numFmt numFmtId="176" formatCode="#,##0.0_ ;\-#,##0.0\ "/>
    <numFmt numFmtId="177" formatCode="#,##0.00_ ;\-#,##0.00\ "/>
    <numFmt numFmtId="178" formatCode="\+0;\-0;0"/>
    <numFmt numFmtId="179" formatCode="_-* #,##0.0\ _k_r_-;\-* #,##0.0\ _k_r_-;_-* &quot;-&quot;??\ _k_r_-;_-@_-"/>
    <numFmt numFmtId="180" formatCode="#,##0%_j;\-#,##0%_j;;@_j"/>
    <numFmt numFmtId="181" formatCode="#,##0.0_j;\-#,##0.0_j;_j;@_j"/>
    <numFmt numFmtId="182" formatCode="#,##0.00_j;\-#,##0.00_j;_j;@_j"/>
    <numFmt numFmtId="183" formatCode="#,##0_j;\-#,##0_j;\-_j;@_j"/>
    <numFmt numFmtId="184" formatCode="&quot;SFr.&quot;#,##0.00;&quot;SFr.&quot;\-#,##0.00"/>
    <numFmt numFmtId="185" formatCode="_-* #,##0\ _k_r_-;\-* #,##0\ _k_r_-;_-* &quot;-&quot;\ _k_r_-;_-@_-"/>
    <numFmt numFmtId="186" formatCode="#,##0.00;[Red]#,##0.00"/>
    <numFmt numFmtId="187" formatCode="#,##0.000000\ _k_r"/>
    <numFmt numFmtId="188" formatCode="_ * #,##0.00_ ;_ * \-#,##0.00_ ;_ * &quot;-&quot;??_ ;_ @_ "/>
    <numFmt numFmtId="189" formatCode="_-* #,##0.00\ _€_-;\-* #,##0.00\ _€_-;_-* &quot;-&quot;??\ _€_-;_-@_-"/>
    <numFmt numFmtId="190" formatCode="_-* #,##0.00_ _k_r_-;\-* #,##0.00_ _k_r_-;_-* &quot;-&quot;??_ _k_r_-;_-@_-"/>
    <numFmt numFmtId="191" formatCode="&quot;$&quot;#,##0\ ;\(&quot;$&quot;#,##0\)"/>
    <numFmt numFmtId="192" formatCode="mmmm\ d\,\ yyyy"/>
    <numFmt numFmtId="193" formatCode="_ * #,##0_ ;_ * \-#,##0_ ;_ * &quot;-&quot;_ ;_ @_ "/>
    <numFmt numFmtId="194" formatCode="#,##0.00\ [$€];[Red]\-#,##0.00\ [$€]"/>
    <numFmt numFmtId="195" formatCode="#,##0;\-#,##0;&quot;&quot;"/>
    <numFmt numFmtId="196" formatCode="#,##0%"/>
    <numFmt numFmtId="197" formatCode="#,##0.0%"/>
    <numFmt numFmtId="198" formatCode="#,##0.0_);\(#,##0.0\)"/>
    <numFmt numFmtId="199" formatCode="_ * #,##0_)_F_ ;_ * \(#,##0\)_F_ ;_ * &quot;-&quot;_)_F_ ;_ @_ "/>
    <numFmt numFmtId="200" formatCode="_ * #,##0.00_)_F_ ;_ * \(#,##0.00\)_F_ ;_ * &quot;-&quot;??_)_F_ ;_ @_ "/>
    <numFmt numFmtId="201" formatCode="_ * #,##0_)&quot;F&quot;_ ;_ * \(#,##0\)&quot;F&quot;_ ;_ * &quot;-&quot;_)&quot;F&quot;_ ;_ @_ "/>
    <numFmt numFmtId="202" formatCode="_ * #,##0.00_)&quot;F&quot;_ ;_ * \(#,##0.00\)&quot;F&quot;_ ;_ * &quot;-&quot;??_)&quot;F&quot;_ ;_ @_ "/>
    <numFmt numFmtId="203" formatCode="mmmmyy"/>
    <numFmt numFmtId="204" formatCode="#,##0.0000_);\(#,##0.0000\)"/>
  </numFmts>
  <fonts count="175">
    <font>
      <sz val="10"/>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2"/>
      <name val="Arial"/>
      <family val="2"/>
      <scheme val="minor"/>
    </font>
    <font>
      <sz val="9"/>
      <name val="Arial"/>
      <family val="2"/>
      <scheme val="minor"/>
    </font>
    <font>
      <sz val="11"/>
      <name val="Arial"/>
      <family val="2"/>
      <scheme val="minor"/>
    </font>
    <font>
      <b/>
      <sz val="14"/>
      <name val="Arial"/>
      <family val="2"/>
      <scheme val="minor"/>
    </font>
    <font>
      <b/>
      <sz val="9"/>
      <name val="Arial"/>
      <family val="2"/>
      <scheme val="minor"/>
    </font>
    <font>
      <u/>
      <sz val="9"/>
      <name val="Arial"/>
      <family val="2"/>
      <scheme val="minor"/>
    </font>
    <font>
      <u/>
      <sz val="9"/>
      <color theme="10"/>
      <name val="Arial"/>
      <family val="2"/>
      <scheme val="minor"/>
    </font>
    <font>
      <i/>
      <sz val="9"/>
      <name val="Arial"/>
      <family val="2"/>
      <scheme val="minor"/>
    </font>
    <font>
      <u/>
      <sz val="9"/>
      <color theme="0" tint="-0.499984740745262"/>
      <name val="Arial"/>
      <family val="2"/>
      <scheme val="minor"/>
    </font>
    <font>
      <sz val="9"/>
      <color theme="0" tint="-0.499984740745262"/>
      <name val="Arial"/>
      <family val="2"/>
      <scheme val="minor"/>
    </font>
    <font>
      <i/>
      <sz val="8"/>
      <name val="Arial"/>
      <family val="2"/>
      <scheme val="minor"/>
    </font>
    <font>
      <b/>
      <sz val="12"/>
      <color rgb="FF000000"/>
      <name val="Arial"/>
      <family val="2"/>
      <scheme val="minor"/>
    </font>
    <font>
      <b/>
      <sz val="8"/>
      <color rgb="FF000000"/>
      <name val="Arial"/>
      <family val="2"/>
    </font>
    <font>
      <sz val="8"/>
      <color rgb="FF000000"/>
      <name val="Arial"/>
      <family val="2"/>
    </font>
    <font>
      <u/>
      <sz val="8"/>
      <color rgb="FFFFCD00"/>
      <name val="Arial"/>
      <family val="2"/>
      <scheme val="minor"/>
    </font>
    <font>
      <sz val="9"/>
      <color rgb="FF000000"/>
      <name val="Arial"/>
      <family val="2"/>
      <scheme val="minor"/>
    </font>
    <font>
      <b/>
      <sz val="9"/>
      <color rgb="FF000000"/>
      <name val="Arial"/>
      <family val="2"/>
      <scheme val="minor"/>
    </font>
    <font>
      <vertAlign val="superscript"/>
      <sz val="9"/>
      <color rgb="FF000000"/>
      <name val="Arial"/>
      <family val="2"/>
      <scheme val="minor"/>
    </font>
    <font>
      <u/>
      <sz val="9"/>
      <color rgb="FF000000"/>
      <name val="Arial"/>
      <family val="2"/>
      <scheme val="minor"/>
    </font>
    <font>
      <sz val="11"/>
      <color rgb="FF000000"/>
      <name val="Arial"/>
      <family val="2"/>
      <scheme val="minor"/>
    </font>
    <font>
      <b/>
      <sz val="8"/>
      <name val="Arial"/>
      <family val="2"/>
    </font>
    <font>
      <sz val="8"/>
      <name val="Arial"/>
      <family val="2"/>
    </font>
    <font>
      <b/>
      <vertAlign val="superscript"/>
      <sz val="8"/>
      <name val="Arial"/>
      <family val="2"/>
    </font>
    <font>
      <vertAlign val="superscript"/>
      <sz val="8"/>
      <name val="Arial"/>
      <family val="2"/>
    </font>
    <font>
      <b/>
      <sz val="9"/>
      <name val="Arial"/>
      <family val="2"/>
    </font>
    <font>
      <sz val="9"/>
      <name val="Arial"/>
      <family val="2"/>
    </font>
    <font>
      <sz val="8"/>
      <name val="Arial"/>
      <family val="2"/>
      <scheme val="minor"/>
    </font>
    <font>
      <i/>
      <sz val="8"/>
      <name val="Arial"/>
      <family val="2"/>
    </font>
    <font>
      <b/>
      <i/>
      <sz val="8"/>
      <name val="Arial"/>
      <family val="2"/>
    </font>
    <font>
      <i/>
      <sz val="7"/>
      <name val="Arial"/>
      <family val="2"/>
    </font>
    <font>
      <b/>
      <sz val="8"/>
      <name val="Arial"/>
      <family val="2"/>
      <scheme val="minor"/>
    </font>
    <font>
      <sz val="8"/>
      <color rgb="FF0070C0"/>
      <name val="Arial"/>
      <family val="2"/>
      <scheme val="minor"/>
    </font>
    <font>
      <i/>
      <sz val="8"/>
      <color rgb="FF0070C0"/>
      <name val="Arial"/>
      <family val="2"/>
      <scheme val="minor"/>
    </font>
    <font>
      <sz val="8"/>
      <color theme="1"/>
      <name val="Arial"/>
      <family val="2"/>
      <scheme val="minor"/>
    </font>
    <font>
      <b/>
      <sz val="8"/>
      <color rgb="FF0070C0"/>
      <name val="Arial"/>
      <family val="2"/>
      <scheme val="minor"/>
    </font>
    <font>
      <i/>
      <sz val="8"/>
      <color rgb="FF0070C0"/>
      <name val="Arial"/>
      <family val="2"/>
    </font>
    <font>
      <i/>
      <sz val="8"/>
      <color rgb="FFFF0000"/>
      <name val="Arial"/>
      <family val="2"/>
    </font>
    <font>
      <b/>
      <sz val="8"/>
      <color rgb="FF0070C0"/>
      <name val="Arial"/>
      <family val="2"/>
    </font>
    <font>
      <sz val="8"/>
      <color rgb="FF0070C0"/>
      <name val="Arial"/>
      <family val="2"/>
    </font>
    <font>
      <b/>
      <sz val="8"/>
      <color rgb="FFFF0000"/>
      <name val="Arial"/>
      <family val="2"/>
    </font>
    <font>
      <b/>
      <sz val="9"/>
      <color rgb="FF000000"/>
      <name val="Arial"/>
      <family val="2"/>
    </font>
    <font>
      <sz val="9"/>
      <color rgb="FF000000"/>
      <name val="Arial"/>
      <family val="2"/>
    </font>
    <font>
      <b/>
      <sz val="8"/>
      <color rgb="FF000000"/>
      <name val="Arial"/>
      <family val="2"/>
      <scheme val="minor"/>
    </font>
    <font>
      <i/>
      <sz val="8"/>
      <color rgb="FF000000"/>
      <name val="Arial"/>
      <family val="2"/>
    </font>
    <font>
      <b/>
      <i/>
      <sz val="8"/>
      <color rgb="FF000000"/>
      <name val="Arial"/>
      <family val="2"/>
    </font>
    <font>
      <sz val="8"/>
      <color rgb="FF000000"/>
      <name val="Arial"/>
      <family val="2"/>
      <scheme val="minor"/>
    </font>
    <font>
      <sz val="8"/>
      <color rgb="FFFF0000"/>
      <name val="Arial"/>
      <family val="2"/>
    </font>
    <font>
      <b/>
      <i/>
      <sz val="8"/>
      <color theme="0" tint="-0.499984740745262"/>
      <name val="Arial"/>
      <family val="2"/>
    </font>
    <font>
      <i/>
      <sz val="8"/>
      <color theme="0" tint="-0.499984740745262"/>
      <name val="Arial"/>
      <family val="2"/>
    </font>
    <font>
      <b/>
      <sz val="8"/>
      <color theme="0" tint="-0.499984740745262"/>
      <name val="Arial"/>
      <family val="2"/>
    </font>
    <font>
      <sz val="8"/>
      <color theme="0" tint="-0.499984740745262"/>
      <name val="Arial"/>
      <family val="2"/>
    </font>
    <font>
      <sz val="8"/>
      <color rgb="FFFF0000"/>
      <name val="Arial"/>
      <family val="2"/>
      <scheme val="minor"/>
    </font>
    <font>
      <sz val="8"/>
      <color theme="9" tint="-0.249977111117893"/>
      <name val="Arial"/>
      <family val="2"/>
      <scheme val="minor"/>
    </font>
    <font>
      <sz val="8"/>
      <color theme="1"/>
      <name val="Arial"/>
      <family val="2"/>
    </font>
    <font>
      <i/>
      <sz val="8"/>
      <color theme="1"/>
      <name val="Arial"/>
      <family val="2"/>
    </font>
    <font>
      <sz val="8"/>
      <color theme="0" tint="-0.499984740745262"/>
      <name val="Arial"/>
      <family val="2"/>
      <scheme val="minor"/>
    </font>
    <font>
      <b/>
      <sz val="8"/>
      <color theme="1"/>
      <name val="Arial"/>
      <family val="2"/>
      <scheme val="minor"/>
    </font>
    <font>
      <i/>
      <sz val="8"/>
      <color theme="0" tint="-0.499984740745262"/>
      <name val="Arial"/>
      <family val="2"/>
      <scheme val="minor"/>
    </font>
    <font>
      <b/>
      <sz val="8"/>
      <color rgb="FF00B050"/>
      <name val="Arial"/>
      <family val="2"/>
      <scheme val="minor"/>
    </font>
    <font>
      <sz val="8"/>
      <color rgb="FF00B050"/>
      <name val="Arial"/>
      <family val="2"/>
      <scheme val="minor"/>
    </font>
    <font>
      <u/>
      <sz val="8"/>
      <name val="Arial"/>
      <family val="2"/>
      <scheme val="minor"/>
    </font>
    <font>
      <sz val="8"/>
      <color theme="9"/>
      <name val="Arial"/>
      <family val="2"/>
      <scheme val="minor"/>
    </font>
    <font>
      <i/>
      <sz val="8"/>
      <color rgb="FF00B050"/>
      <name val="Arial"/>
      <family val="2"/>
      <scheme val="minor"/>
    </font>
    <font>
      <b/>
      <sz val="8"/>
      <color theme="0" tint="-0.499984740745262"/>
      <name val="Arial"/>
      <family val="2"/>
      <scheme val="minor"/>
    </font>
    <font>
      <sz val="8"/>
      <name val="Arial Narrow"/>
      <family val="2"/>
    </font>
    <font>
      <sz val="9"/>
      <color theme="0" tint="-0.499984740745262"/>
      <name val="Arial"/>
      <family val="2"/>
    </font>
    <font>
      <sz val="9"/>
      <color rgb="FFFF0000"/>
      <name val="Arial"/>
      <family val="2"/>
    </font>
    <font>
      <sz val="11"/>
      <color theme="0" tint="-0.499984740745262"/>
      <name val="Arial"/>
      <family val="2"/>
      <scheme val="minor"/>
    </font>
    <font>
      <i/>
      <sz val="8"/>
      <color rgb="FF000000"/>
      <name val="Arial"/>
      <family val="2"/>
      <scheme val="minor"/>
    </font>
    <font>
      <u/>
      <sz val="8"/>
      <color rgb="FF000000"/>
      <name val="Arial"/>
      <family val="2"/>
    </font>
    <font>
      <b/>
      <sz val="8"/>
      <color theme="0"/>
      <name val="Arial"/>
      <family val="2"/>
    </font>
    <font>
      <b/>
      <sz val="8"/>
      <color indexed="81"/>
      <name val="Tahoma"/>
      <family val="2"/>
    </font>
    <font>
      <sz val="8"/>
      <color indexed="81"/>
      <name val="Tahoma"/>
      <family val="2"/>
    </font>
    <font>
      <u/>
      <sz val="11"/>
      <color theme="1"/>
      <name val="Arial"/>
      <family val="2"/>
      <scheme val="minor"/>
    </font>
    <font>
      <sz val="10"/>
      <name val="Geneva"/>
      <family val="2"/>
    </font>
    <font>
      <sz val="12"/>
      <name val="Times New Roman"/>
      <family val="1"/>
    </font>
    <font>
      <b/>
      <sz val="22"/>
      <color indexed="18"/>
      <name val="Arial"/>
      <family val="2"/>
    </font>
    <font>
      <b/>
      <sz val="10"/>
      <color indexed="18"/>
      <name val="Arial"/>
      <family val="2"/>
    </font>
    <font>
      <b/>
      <u val="singleAccounting"/>
      <sz val="10"/>
      <color indexed="18"/>
      <name val="Arial"/>
      <family val="2"/>
    </font>
    <font>
      <sz val="11"/>
      <color indexed="8"/>
      <name val="Calibri"/>
      <family val="2"/>
    </font>
    <font>
      <sz val="10"/>
      <color indexed="8"/>
      <name val="Arial"/>
      <family val="2"/>
    </font>
    <font>
      <sz val="11"/>
      <color indexed="63"/>
      <name val="Calibri"/>
      <family val="2"/>
    </font>
    <font>
      <sz val="11"/>
      <color indexed="63"/>
      <name val="Arial"/>
      <family val="2"/>
    </font>
    <font>
      <sz val="11"/>
      <color indexed="9"/>
      <name val="Calibri"/>
      <family val="2"/>
    </font>
    <font>
      <sz val="10"/>
      <color indexed="9"/>
      <name val="Arial"/>
      <family val="2"/>
    </font>
    <font>
      <sz val="10"/>
      <name val="Arial"/>
      <family val="2"/>
    </font>
    <font>
      <sz val="11"/>
      <color indexed="10"/>
      <name val="Calibri"/>
      <family val="2"/>
    </font>
    <font>
      <sz val="11"/>
      <color indexed="20"/>
      <name val="Calibri"/>
      <family val="2"/>
    </font>
    <font>
      <sz val="10"/>
      <color indexed="20"/>
      <name val="Arial"/>
      <family val="2"/>
    </font>
    <font>
      <sz val="11"/>
      <color indexed="16"/>
      <name val="Calibri"/>
      <family val="2"/>
    </font>
    <font>
      <b/>
      <sz val="11"/>
      <name val="Arial"/>
      <family val="2"/>
    </font>
    <font>
      <b/>
      <sz val="12"/>
      <name val="Helv"/>
    </font>
    <font>
      <sz val="10"/>
      <name val="Courier"/>
      <family val="3"/>
    </font>
    <font>
      <b/>
      <sz val="11"/>
      <color indexed="52"/>
      <name val="Calibri"/>
      <family val="2"/>
    </font>
    <font>
      <b/>
      <sz val="10"/>
      <color indexed="52"/>
      <name val="Arial"/>
      <family val="2"/>
    </font>
    <font>
      <b/>
      <sz val="11"/>
      <color indexed="53"/>
      <name val="Calibri"/>
      <family val="2"/>
    </font>
    <font>
      <b/>
      <sz val="11"/>
      <color indexed="10"/>
      <name val="Calibri"/>
      <family val="2"/>
    </font>
    <font>
      <sz val="11"/>
      <color indexed="52"/>
      <name val="Calibri"/>
      <family val="2"/>
    </font>
    <font>
      <b/>
      <sz val="11"/>
      <color indexed="9"/>
      <name val="Calibri"/>
      <family val="2"/>
    </font>
    <font>
      <b/>
      <sz val="10"/>
      <color indexed="9"/>
      <name val="Arial"/>
      <family val="2"/>
    </font>
    <font>
      <b/>
      <sz val="10"/>
      <name val="Arial"/>
      <family val="2"/>
    </font>
    <font>
      <sz val="10"/>
      <color indexed="12"/>
      <name val="Arial"/>
      <family val="2"/>
    </font>
    <font>
      <sz val="12"/>
      <name val="Arial"/>
      <family val="2"/>
    </font>
    <font>
      <sz val="11"/>
      <color indexed="12"/>
      <name val="Calibri"/>
      <family val="2"/>
    </font>
    <font>
      <sz val="10"/>
      <color indexed="63"/>
      <name val="Arial"/>
      <family val="2"/>
    </font>
    <font>
      <sz val="10"/>
      <name val="Verdana"/>
      <family val="2"/>
    </font>
    <font>
      <sz val="12"/>
      <color indexed="24"/>
      <name val="Arial"/>
      <family val="2"/>
    </font>
    <font>
      <sz val="10"/>
      <name val="MS Serif"/>
      <family val="1"/>
    </font>
    <font>
      <sz val="12"/>
      <name val="Tms Rmn"/>
    </font>
    <font>
      <sz val="10"/>
      <name val="Times New Roman"/>
      <family val="1"/>
    </font>
    <font>
      <b/>
      <sz val="11"/>
      <color indexed="8"/>
      <name val="Calibri"/>
      <family val="2"/>
    </font>
    <font>
      <sz val="10"/>
      <color indexed="16"/>
      <name val="MS Serif"/>
      <family val="1"/>
    </font>
    <font>
      <sz val="11"/>
      <color indexed="62"/>
      <name val="Calibri"/>
      <family val="2"/>
    </font>
    <font>
      <i/>
      <sz val="11"/>
      <color indexed="23"/>
      <name val="Calibri"/>
      <family val="2"/>
    </font>
    <font>
      <i/>
      <sz val="10"/>
      <color indexed="23"/>
      <name val="Arial"/>
      <family val="2"/>
    </font>
    <font>
      <sz val="9"/>
      <name val="Tms Rmn"/>
    </font>
    <font>
      <i/>
      <sz val="9"/>
      <name val="Helv"/>
    </font>
    <font>
      <sz val="14"/>
      <name val="Tms Rmn"/>
    </font>
    <font>
      <b/>
      <u/>
      <sz val="16"/>
      <name val="Helv"/>
    </font>
    <font>
      <sz val="10"/>
      <name val="Helv"/>
    </font>
    <font>
      <sz val="11"/>
      <color indexed="17"/>
      <name val="Calibri"/>
      <family val="2"/>
    </font>
    <font>
      <sz val="10"/>
      <color indexed="17"/>
      <name val="Arial"/>
      <family val="2"/>
    </font>
    <font>
      <sz val="9"/>
      <name val="Futura UBS Bk"/>
      <family val="2"/>
    </font>
    <font>
      <b/>
      <sz val="12"/>
      <name val="Arial"/>
      <family val="2"/>
    </font>
    <font>
      <b/>
      <sz val="15"/>
      <color indexed="56"/>
      <name val="Arial"/>
      <family val="2"/>
    </font>
    <font>
      <b/>
      <sz val="15"/>
      <color indexed="62"/>
      <name val="Calibri"/>
      <family val="2"/>
    </font>
    <font>
      <b/>
      <sz val="15"/>
      <color indexed="56"/>
      <name val="Calibri"/>
      <family val="2"/>
    </font>
    <font>
      <b/>
      <sz val="13"/>
      <color indexed="56"/>
      <name val="Arial"/>
      <family val="2"/>
    </font>
    <font>
      <b/>
      <sz val="13"/>
      <color indexed="62"/>
      <name val="Calibri"/>
      <family val="2"/>
    </font>
    <font>
      <b/>
      <sz val="13"/>
      <color indexed="56"/>
      <name val="Calibri"/>
      <family val="2"/>
    </font>
    <font>
      <b/>
      <sz val="11"/>
      <color indexed="56"/>
      <name val="Arial"/>
      <family val="2"/>
    </font>
    <font>
      <b/>
      <sz val="11"/>
      <color indexed="62"/>
      <name val="Calibri"/>
      <family val="2"/>
    </font>
    <font>
      <b/>
      <sz val="11"/>
      <color indexed="56"/>
      <name val="Calibri"/>
      <family val="2"/>
    </font>
    <font>
      <b/>
      <sz val="18"/>
      <color indexed="24"/>
      <name val="Arial"/>
      <family val="2"/>
    </font>
    <font>
      <b/>
      <sz val="12"/>
      <color indexed="24"/>
      <name val="Arial"/>
      <family val="2"/>
    </font>
    <font>
      <b/>
      <sz val="14"/>
      <name val="Times New Roman"/>
      <family val="1"/>
    </font>
    <font>
      <u/>
      <sz val="11"/>
      <color indexed="40"/>
      <name val="Arial"/>
      <family val="2"/>
    </font>
    <font>
      <u/>
      <sz val="10"/>
      <color indexed="40"/>
      <name val="Arial"/>
      <family val="2"/>
    </font>
    <font>
      <u/>
      <sz val="10"/>
      <color indexed="23"/>
      <name val="Arial"/>
      <family val="2"/>
    </font>
    <font>
      <sz val="11"/>
      <color indexed="62"/>
      <name val="Arial"/>
      <family val="2"/>
    </font>
    <font>
      <sz val="11"/>
      <name val="Helv"/>
    </font>
    <font>
      <sz val="10"/>
      <color indexed="62"/>
      <name val="Arial"/>
      <family val="2"/>
    </font>
    <font>
      <sz val="11"/>
      <color indexed="48"/>
      <name val="Calibri"/>
      <family val="2"/>
    </font>
    <font>
      <sz val="12"/>
      <color indexed="10"/>
      <name val="Times New Roman"/>
      <family val="1"/>
    </font>
    <font>
      <b/>
      <sz val="9"/>
      <name val="Helv"/>
    </font>
    <font>
      <sz val="10"/>
      <name val="MS Sans Serif"/>
      <family val="2"/>
    </font>
    <font>
      <sz val="10"/>
      <name val="Tms Rmn"/>
    </font>
    <font>
      <sz val="9"/>
      <name val="Helv"/>
    </font>
    <font>
      <sz val="10"/>
      <color indexed="52"/>
      <name val="Arial"/>
      <family val="2"/>
    </font>
    <font>
      <sz val="11"/>
      <color indexed="53"/>
      <name val="Calibri"/>
      <family val="2"/>
    </font>
    <font>
      <sz val="26"/>
      <name val="Arial"/>
      <family val="2"/>
    </font>
    <font>
      <sz val="30"/>
      <name val="Arial"/>
      <family val="2"/>
    </font>
    <font>
      <sz val="48"/>
      <name val="Arial"/>
      <family val="2"/>
    </font>
    <font>
      <b/>
      <sz val="100"/>
      <name val="Arial"/>
      <family val="2"/>
    </font>
    <font>
      <sz val="12"/>
      <name val="FuturaA Bk BT"/>
    </font>
    <font>
      <sz val="11"/>
      <color indexed="60"/>
      <name val="Calibri"/>
      <family val="2"/>
    </font>
    <font>
      <sz val="10"/>
      <color indexed="60"/>
      <name val="Arial"/>
      <family val="2"/>
    </font>
    <font>
      <sz val="11"/>
      <color indexed="19"/>
      <name val="Calibri"/>
      <family val="2"/>
    </font>
    <font>
      <i/>
      <u/>
      <sz val="12"/>
      <name val="Helv"/>
      <family val="2"/>
    </font>
    <font>
      <sz val="11"/>
      <color indexed="8"/>
      <name val="Arial"/>
      <family val="2"/>
    </font>
    <font>
      <i/>
      <sz val="9"/>
      <color rgb="FFFF0000"/>
      <name val="Arial"/>
      <family val="2"/>
    </font>
    <font>
      <i/>
      <sz val="8"/>
      <color theme="1"/>
      <name val="Arial"/>
      <family val="2"/>
      <scheme val="minor"/>
    </font>
    <font>
      <u/>
      <sz val="11"/>
      <color theme="10"/>
      <name val="Arial"/>
      <family val="2"/>
      <scheme val="minor"/>
    </font>
    <font>
      <u/>
      <sz val="8"/>
      <color rgb="FFFFC72C"/>
      <name val="Arial"/>
      <family val="2"/>
      <scheme val="minor"/>
    </font>
    <font>
      <b/>
      <i/>
      <sz val="8"/>
      <color rgb="FFFF0000"/>
      <name val="Arial"/>
      <family val="2"/>
    </font>
    <font>
      <b/>
      <i/>
      <sz val="8"/>
      <color theme="1"/>
      <name val="Arial"/>
      <family val="2"/>
      <scheme val="minor"/>
    </font>
    <font>
      <vertAlign val="subscript"/>
      <sz val="8"/>
      <name val="Arial"/>
      <family val="2"/>
    </font>
    <font>
      <b/>
      <sz val="8"/>
      <color rgb="FFFF0000"/>
      <name val="Arial"/>
      <family val="2"/>
      <scheme val="minor"/>
    </font>
    <font>
      <sz val="10"/>
      <color rgb="FFFF0000"/>
      <name val="Arial"/>
      <family val="2"/>
      <scheme val="minor"/>
    </font>
    <font>
      <i/>
      <sz val="10"/>
      <color theme="0" tint="-0.499984740745262"/>
      <name val="Arial"/>
      <family val="2"/>
      <scheme val="minor"/>
    </font>
    <font>
      <i/>
      <u/>
      <sz val="8"/>
      <color rgb="FF000000"/>
      <name val="Arial"/>
      <family val="2"/>
    </font>
  </fonts>
  <fills count="76">
    <fill>
      <patternFill patternType="none"/>
    </fill>
    <fill>
      <patternFill patternType="gray125"/>
    </fill>
    <fill>
      <patternFill patternType="solid">
        <fgColor rgb="FFA5A5A5"/>
      </patternFill>
    </fill>
    <fill>
      <gradientFill degree="270">
        <stop position="0">
          <color theme="0"/>
        </stop>
        <stop position="1">
          <color rgb="FFFFCD00"/>
        </stop>
      </gradientFill>
    </fill>
    <fill>
      <patternFill patternType="solid">
        <fgColor theme="0"/>
        <bgColor indexed="64"/>
      </patternFill>
    </fill>
    <fill>
      <patternFill patternType="solid">
        <fgColor rgb="FFFFF4CC"/>
        <bgColor indexed="64"/>
      </patternFill>
    </fill>
    <fill>
      <patternFill patternType="solid">
        <fgColor theme="0" tint="-0.499984740745262"/>
        <bgColor indexed="64"/>
      </patternFill>
    </fill>
    <fill>
      <patternFill patternType="solid">
        <fgColor theme="0"/>
        <bgColor auto="1"/>
      </patternFill>
    </fill>
    <fill>
      <patternFill patternType="solid">
        <fgColor theme="2"/>
        <bgColor indexed="64"/>
      </patternFill>
    </fill>
    <fill>
      <patternFill patternType="solid">
        <fgColor rgb="FFF0EBE6"/>
        <bgColor indexed="64"/>
      </patternFill>
    </fill>
    <fill>
      <patternFill patternType="solid">
        <fgColor theme="1" tint="0.7999816888943144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CD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rgb="FFFFFF00"/>
        <bgColor indexed="64"/>
      </patternFill>
    </fill>
    <fill>
      <patternFill patternType="solid">
        <fgColor rgb="FF0099CC"/>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33"/>
      </patternFill>
    </fill>
    <fill>
      <patternFill patternType="solid">
        <fgColor indexed="44"/>
      </patternFill>
    </fill>
    <fill>
      <patternFill patternType="solid">
        <fgColor indexed="35"/>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7"/>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56"/>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4"/>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3"/>
        <bgColor indexed="64"/>
      </patternFill>
    </fill>
    <fill>
      <patternFill patternType="solid">
        <fgColor rgb="FF808080"/>
        <bgColor indexed="64"/>
      </patternFill>
    </fill>
    <fill>
      <patternFill patternType="solid">
        <fgColor rgb="FFECEBE4"/>
        <bgColor indexed="64"/>
      </patternFill>
    </fill>
  </fills>
  <borders count="51">
    <border>
      <left/>
      <right/>
      <top/>
      <bottom/>
      <diagonal/>
    </border>
    <border>
      <left style="double">
        <color rgb="FF3F3F3F"/>
      </left>
      <right style="double">
        <color rgb="FF3F3F3F"/>
      </right>
      <top style="double">
        <color rgb="FF3F3F3F"/>
      </top>
      <bottom style="double">
        <color rgb="FF3F3F3F"/>
      </bottom>
      <diagonal/>
    </border>
    <border>
      <left/>
      <right/>
      <top/>
      <bottom style="thin">
        <color rgb="FFFFC000"/>
      </bottom>
      <diagonal/>
    </border>
    <border>
      <left/>
      <right style="thin">
        <color indexed="64"/>
      </right>
      <top/>
      <bottom/>
      <diagonal/>
    </border>
    <border>
      <left/>
      <right/>
      <top/>
      <bottom style="thin">
        <color theme="4"/>
      </bottom>
      <diagonal/>
    </border>
    <border>
      <left/>
      <right style="thin">
        <color indexed="64"/>
      </right>
      <top/>
      <bottom style="thin">
        <color theme="4"/>
      </bottom>
      <diagonal/>
    </border>
    <border>
      <left style="thin">
        <color rgb="FFF0EBE6"/>
      </left>
      <right style="thin">
        <color indexed="64"/>
      </right>
      <top/>
      <bottom/>
      <diagonal/>
    </border>
    <border>
      <left/>
      <right style="thin">
        <color indexed="64"/>
      </right>
      <top style="thin">
        <color theme="4"/>
      </top>
      <bottom/>
      <diagonal/>
    </border>
    <border>
      <left/>
      <right/>
      <top style="thin">
        <color theme="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thin">
        <color rgb="FFFFCD00"/>
      </bottom>
      <diagonal/>
    </border>
    <border>
      <left/>
      <right style="thin">
        <color indexed="64"/>
      </right>
      <top/>
      <bottom style="thin">
        <color rgb="FFFFCD00"/>
      </bottom>
      <diagonal/>
    </border>
    <border>
      <left style="thin">
        <color indexed="64"/>
      </left>
      <right/>
      <top/>
      <bottom style="thin">
        <color indexed="64"/>
      </bottom>
      <diagonal/>
    </border>
    <border>
      <left/>
      <right/>
      <top/>
      <bottom style="thin">
        <color theme="7"/>
      </bottom>
      <diagonal/>
    </border>
    <border>
      <left/>
      <right style="thin">
        <color indexed="64"/>
      </right>
      <top/>
      <bottom style="thin">
        <color theme="7"/>
      </bottom>
      <diagonal/>
    </border>
    <border>
      <left style="thin">
        <color indexed="64"/>
      </left>
      <right/>
      <top/>
      <bottom style="thin">
        <color theme="7"/>
      </bottom>
      <diagonal/>
    </border>
    <border>
      <left/>
      <right/>
      <top/>
      <bottom style="medium">
        <color rgb="FFFFCD00"/>
      </bottom>
      <diagonal/>
    </border>
    <border>
      <left/>
      <right style="thin">
        <color indexed="64"/>
      </right>
      <top/>
      <bottom style="medium">
        <color rgb="FFFFCD00"/>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rgb="FFFFCD00"/>
      </bottom>
      <diagonal/>
    </border>
    <border>
      <left/>
      <right style="thin">
        <color indexed="64"/>
      </right>
      <top style="thin">
        <color indexed="64"/>
      </top>
      <bottom style="thin">
        <color rgb="FFFFCD00"/>
      </bottom>
      <diagonal/>
    </border>
    <border>
      <left/>
      <right/>
      <top/>
      <bottom style="medium">
        <color indexed="18"/>
      </bottom>
      <diagonal/>
    </border>
    <border>
      <left/>
      <right/>
      <top style="dashed">
        <color indexed="64"/>
      </top>
      <bottom style="dashed">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thick">
        <color indexed="62"/>
      </bottom>
      <diagonal/>
    </border>
    <border>
      <left/>
      <right/>
      <top/>
      <bottom style="thick">
        <color indexed="49"/>
      </bottom>
      <diagonal/>
    </border>
    <border>
      <left/>
      <right/>
      <top/>
      <bottom style="thick">
        <color indexed="26"/>
      </bottom>
      <diagonal/>
    </border>
    <border>
      <left/>
      <right/>
      <top/>
      <bottom style="thick">
        <color indexed="48"/>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49"/>
      </bottom>
      <diagonal/>
    </border>
    <border>
      <left/>
      <right/>
      <top/>
      <bottom style="medium">
        <color indexed="30"/>
      </bottom>
      <diagonal/>
    </border>
    <border>
      <left/>
      <right/>
      <top/>
      <bottom style="medium">
        <color indexed="27"/>
      </bottom>
      <diagonal/>
    </border>
    <border>
      <left/>
      <right/>
      <top/>
      <bottom style="medium">
        <color indexed="24"/>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bottom style="double">
        <color indexed="53"/>
      </bottom>
      <diagonal/>
    </border>
    <border>
      <left/>
      <right/>
      <top/>
      <bottom style="double">
        <color indexed="10"/>
      </bottom>
      <diagonal/>
    </border>
    <border>
      <left style="thin">
        <color rgb="FF000000"/>
      </left>
      <right/>
      <top/>
      <bottom/>
      <diagonal/>
    </border>
    <border>
      <left style="thin">
        <color indexed="64"/>
      </left>
      <right/>
      <top/>
      <bottom style="medium">
        <color rgb="FFFFCD00"/>
      </bottom>
      <diagonal/>
    </border>
  </borders>
  <cellStyleXfs count="6797">
    <xf numFmtId="0" fontId="0" fillId="0" borderId="0"/>
    <xf numFmtId="180" fontId="25" fillId="0" borderId="0" applyFont="0" applyFill="0" applyBorder="0" applyAlignment="0" applyProtection="0">
      <alignment horizontal="right"/>
    </xf>
    <xf numFmtId="0" fontId="78" fillId="0" borderId="0"/>
    <xf numFmtId="0" fontId="79" fillId="0" borderId="0"/>
    <xf numFmtId="0" fontId="78" fillId="0" borderId="0"/>
    <xf numFmtId="0" fontId="78" fillId="0" borderId="0"/>
    <xf numFmtId="0" fontId="80" fillId="0" borderId="0" applyNumberFormat="0" applyFill="0" applyBorder="0" applyAlignment="0" applyProtection="0"/>
    <xf numFmtId="0" fontId="79" fillId="0" borderId="0"/>
    <xf numFmtId="0" fontId="79" fillId="0" borderId="0"/>
    <xf numFmtId="0" fontId="79" fillId="0" borderId="0"/>
    <xf numFmtId="0" fontId="79" fillId="0" borderId="0"/>
    <xf numFmtId="0" fontId="78" fillId="0" borderId="0"/>
    <xf numFmtId="0" fontId="79" fillId="0" borderId="0"/>
    <xf numFmtId="0" fontId="78" fillId="0" borderId="0"/>
    <xf numFmtId="0" fontId="78" fillId="0" borderId="0"/>
    <xf numFmtId="0" fontId="79" fillId="0" borderId="0"/>
    <xf numFmtId="0" fontId="78" fillId="0" borderId="0"/>
    <xf numFmtId="0" fontId="79" fillId="0" borderId="0"/>
    <xf numFmtId="0" fontId="81" fillId="0" borderId="24" applyNumberFormat="0" applyFill="0" applyProtection="0">
      <alignment horizontal="center"/>
    </xf>
    <xf numFmtId="0" fontId="81" fillId="0" borderId="24" applyNumberFormat="0" applyFill="0" applyProtection="0">
      <alignment horizontal="center"/>
    </xf>
    <xf numFmtId="0" fontId="82" fillId="0" borderId="0" applyNumberFormat="0" applyFill="0" applyBorder="0" applyProtection="0">
      <alignment horizontal="centerContinuous"/>
    </xf>
    <xf numFmtId="0" fontId="79" fillId="0" borderId="0"/>
    <xf numFmtId="0" fontId="79" fillId="0" borderId="0"/>
    <xf numFmtId="0" fontId="79" fillId="0" borderId="0"/>
    <xf numFmtId="181" fontId="25" fillId="20" borderId="0" applyFont="0" applyFill="0" applyBorder="0" applyAlignment="0" applyProtection="0">
      <alignment horizontal="right"/>
    </xf>
    <xf numFmtId="182" fontId="25" fillId="20" borderId="0" applyFont="0" applyFill="0" applyBorder="0" applyAlignment="0" applyProtection="0">
      <alignment horizontal="right"/>
    </xf>
    <xf numFmtId="183" fontId="25" fillId="20" borderId="0" applyFont="0" applyFill="0" applyBorder="0" applyAlignment="0" applyProtection="0">
      <alignment horizontal="right"/>
    </xf>
    <xf numFmtId="0" fontId="83" fillId="21" borderId="0" applyNumberFormat="0" applyBorder="0" applyAlignment="0" applyProtection="0"/>
    <xf numFmtId="0" fontId="83" fillId="22" borderId="0" applyNumberFormat="0" applyBorder="0" applyAlignment="0" applyProtection="0"/>
    <xf numFmtId="0" fontId="83" fillId="23" borderId="0" applyNumberFormat="0" applyBorder="0" applyAlignment="0" applyProtection="0"/>
    <xf numFmtId="0" fontId="83" fillId="24" borderId="0" applyNumberFormat="0" applyBorder="0" applyAlignment="0" applyProtection="0"/>
    <xf numFmtId="0" fontId="83" fillId="25" borderId="0" applyNumberFormat="0" applyBorder="0" applyAlignment="0" applyProtection="0"/>
    <xf numFmtId="0" fontId="83" fillId="26" borderId="0" applyNumberFormat="0" applyBorder="0" applyAlignment="0" applyProtection="0"/>
    <xf numFmtId="0" fontId="84" fillId="21"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1"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1"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1" borderId="0" applyNumberFormat="0" applyBorder="0" applyAlignment="0" applyProtection="0"/>
    <xf numFmtId="0" fontId="83" fillId="25" borderId="0" applyNumberFormat="0" applyBorder="0" applyAlignment="0" applyProtection="0"/>
    <xf numFmtId="0" fontId="83"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9"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1" borderId="0" applyNumberFormat="0" applyBorder="0" applyAlignment="0" applyProtection="0"/>
    <xf numFmtId="0" fontId="84" fillId="21" borderId="0" applyNumberFormat="0" applyBorder="0" applyAlignment="0" applyProtection="0"/>
    <xf numFmtId="0" fontId="84" fillId="22"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2"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2"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2" borderId="0" applyNumberFormat="0" applyBorder="0" applyAlignment="0" applyProtection="0"/>
    <xf numFmtId="0" fontId="83" fillId="30" borderId="0" applyNumberFormat="0" applyBorder="0" applyAlignment="0" applyProtection="0"/>
    <xf numFmtId="0" fontId="83"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1"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2" borderId="0" applyNumberFormat="0" applyBorder="0" applyAlignment="0" applyProtection="0"/>
    <xf numFmtId="0" fontId="84" fillId="22" borderId="0" applyNumberFormat="0" applyBorder="0" applyAlignment="0" applyProtection="0"/>
    <xf numFmtId="0" fontId="84" fillId="23"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4" fillId="23"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23"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23" borderId="0" applyNumberFormat="0" applyBorder="0" applyAlignment="0" applyProtection="0"/>
    <xf numFmtId="0" fontId="83" fillId="30" borderId="0" applyNumberFormat="0" applyBorder="0" applyAlignment="0" applyProtection="0"/>
    <xf numFmtId="0" fontId="83"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3"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6"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5" fillId="32" borderId="0" applyNumberFormat="0" applyBorder="0" applyAlignment="0" applyProtection="0"/>
    <xf numFmtId="0" fontId="84" fillId="23" borderId="0" applyNumberFormat="0" applyBorder="0" applyAlignment="0" applyProtection="0"/>
    <xf numFmtId="0" fontId="84" fillId="23" borderId="0" applyNumberFormat="0" applyBorder="0" applyAlignment="0" applyProtection="0"/>
    <xf numFmtId="0" fontId="84" fillId="24" borderId="0" applyNumberFormat="0" applyBorder="0" applyAlignment="0" applyProtection="0"/>
    <xf numFmtId="0" fontId="83" fillId="27" borderId="0" applyNumberFormat="0" applyBorder="0" applyAlignment="0" applyProtection="0"/>
    <xf numFmtId="0" fontId="83" fillId="27"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3" fillId="26"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5" fillId="27"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4"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3"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5" fillId="25" borderId="0" applyNumberFormat="0" applyBorder="0" applyAlignment="0" applyProtection="0"/>
    <xf numFmtId="0" fontId="85"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5"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4" fillId="26" borderId="0" applyNumberFormat="0" applyBorder="0" applyAlignment="0" applyProtection="0"/>
    <xf numFmtId="0" fontId="83" fillId="29" borderId="0" applyNumberFormat="0" applyBorder="0" applyAlignment="0" applyProtection="0"/>
    <xf numFmtId="0" fontId="83" fillId="31" borderId="0" applyNumberFormat="0" applyBorder="0" applyAlignment="0" applyProtection="0"/>
    <xf numFmtId="0" fontId="83" fillId="33" borderId="0" applyNumberFormat="0" applyBorder="0" applyAlignment="0" applyProtection="0"/>
    <xf numFmtId="0" fontId="83" fillId="24" borderId="0" applyNumberFormat="0" applyBorder="0" applyAlignment="0" applyProtection="0"/>
    <xf numFmtId="0" fontId="83" fillId="29" borderId="0" applyNumberFormat="0" applyBorder="0" applyAlignment="0" applyProtection="0"/>
    <xf numFmtId="0" fontId="83" fillId="34" borderId="0" applyNumberFormat="0" applyBorder="0" applyAlignment="0" applyProtection="0"/>
    <xf numFmtId="0" fontId="84" fillId="29"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4" fillId="31"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3"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1" borderId="0" applyNumberFormat="0" applyBorder="0" applyAlignment="0" applyProtection="0"/>
    <xf numFmtId="0" fontId="84" fillId="33"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4" fillId="33"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3"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3" borderId="0" applyNumberFormat="0" applyBorder="0" applyAlignment="0" applyProtection="0"/>
    <xf numFmtId="0" fontId="83" fillId="30" borderId="0" applyNumberFormat="0" applyBorder="0" applyAlignment="0" applyProtection="0"/>
    <xf numFmtId="0" fontId="83"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3" fillId="30"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3"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6"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5" fillId="36" borderId="0" applyNumberFormat="0" applyBorder="0" applyAlignment="0" applyProtection="0"/>
    <xf numFmtId="0" fontId="84" fillId="33" borderId="0" applyNumberFormat="0" applyBorder="0" applyAlignment="0" applyProtection="0"/>
    <xf numFmtId="0" fontId="84" fillId="33" borderId="0" applyNumberFormat="0" applyBorder="0" applyAlignment="0" applyProtection="0"/>
    <xf numFmtId="0" fontId="84" fillId="24" borderId="0" applyNumberFormat="0" applyBorder="0" applyAlignment="0" applyProtection="0"/>
    <xf numFmtId="0" fontId="83" fillId="35" borderId="0" applyNumberFormat="0" applyBorder="0" applyAlignment="0" applyProtection="0"/>
    <xf numFmtId="0" fontId="83" fillId="35" borderId="0" applyNumberFormat="0" applyBorder="0" applyAlignment="0" applyProtection="0"/>
    <xf numFmtId="0" fontId="84" fillId="24"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4"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4" borderId="0" applyNumberFormat="0" applyBorder="0" applyAlignment="0" applyProtection="0"/>
    <xf numFmtId="0" fontId="83" fillId="28" borderId="0" applyNumberFormat="0" applyBorder="0" applyAlignment="0" applyProtection="0"/>
    <xf numFmtId="0" fontId="83"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3" fillId="28"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3" fillId="22"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6" fillId="28"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5" fillId="35" borderId="0" applyNumberFormat="0" applyBorder="0" applyAlignment="0" applyProtection="0"/>
    <xf numFmtId="0" fontId="84" fillId="24" borderId="0" applyNumberFormat="0" applyBorder="0" applyAlignment="0" applyProtection="0"/>
    <xf numFmtId="0" fontId="84" fillId="24" borderId="0" applyNumberFormat="0" applyBorder="0" applyAlignment="0" applyProtection="0"/>
    <xf numFmtId="0" fontId="84"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4"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9" borderId="0" applyNumberFormat="0" applyBorder="0" applyAlignment="0" applyProtection="0"/>
    <xf numFmtId="0" fontId="83"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3" fillId="25"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29"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4" fillId="34"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34"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4"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3"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3" fillId="32"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6"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5" fillId="26" borderId="0" applyNumberFormat="0" applyBorder="0" applyAlignment="0" applyProtection="0"/>
    <xf numFmtId="0" fontId="84" fillId="34" borderId="0" applyNumberFormat="0" applyBorder="0" applyAlignment="0" applyProtection="0"/>
    <xf numFmtId="0" fontId="84" fillId="34" borderId="0" applyNumberFormat="0" applyBorder="0" applyAlignment="0" applyProtection="0"/>
    <xf numFmtId="0" fontId="87" fillId="37" borderId="0" applyNumberFormat="0" applyBorder="0" applyAlignment="0" applyProtection="0"/>
    <xf numFmtId="0" fontId="87" fillId="31" borderId="0" applyNumberFormat="0" applyBorder="0" applyAlignment="0" applyProtection="0"/>
    <xf numFmtId="0" fontId="87" fillId="33" borderId="0" applyNumberFormat="0" applyBorder="0" applyAlignment="0" applyProtection="0"/>
    <xf numFmtId="0" fontId="87" fillId="38" borderId="0" applyNumberFormat="0" applyBorder="0" applyAlignment="0" applyProtection="0"/>
    <xf numFmtId="0" fontId="87" fillId="39" borderId="0" applyNumberFormat="0" applyBorder="0" applyAlignment="0" applyProtection="0"/>
    <xf numFmtId="0" fontId="87" fillId="40" borderId="0" applyNumberFormat="0" applyBorder="0" applyAlignment="0" applyProtection="0"/>
    <xf numFmtId="0" fontId="88"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7"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7" borderId="0" applyNumberFormat="0" applyBorder="0" applyAlignment="0" applyProtection="0"/>
    <xf numFmtId="0" fontId="88"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8"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1"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4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1" borderId="0" applyNumberFormat="0" applyBorder="0" applyAlignment="0" applyProtection="0"/>
    <xf numFmtId="0" fontId="88"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8" fillId="33"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3"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6"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0" borderId="0" applyNumberFormat="0" applyBorder="0" applyAlignment="0" applyProtection="0"/>
    <xf numFmtId="0" fontId="87" fillId="34"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3"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8"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8"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35" borderId="0" applyNumberFormat="0" applyBorder="0" applyAlignment="0" applyProtection="0"/>
    <xf numFmtId="0" fontId="87" fillId="22"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8"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8"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40"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31"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6" borderId="0" applyNumberFormat="0" applyBorder="0" applyAlignment="0" applyProtection="0"/>
    <xf numFmtId="0" fontId="88" fillId="43"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43" borderId="0" applyNumberFormat="0" applyBorder="0" applyAlignment="0" applyProtection="0"/>
    <xf numFmtId="0" fontId="87" fillId="47"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3" borderId="0" applyNumberFormat="0" applyBorder="0" applyAlignment="0" applyProtection="0"/>
    <xf numFmtId="0" fontId="87" fillId="39"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32"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8"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7" fillId="47" borderId="0" applyNumberFormat="0" applyBorder="0" applyAlignment="0" applyProtection="0"/>
    <xf numFmtId="0" fontId="88" fillId="43" borderId="0" applyNumberFormat="0" applyBorder="0" applyAlignment="0" applyProtection="0"/>
    <xf numFmtId="0" fontId="88" fillId="43"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51" borderId="0" applyNumberFormat="0" applyBorder="0" applyAlignment="0" applyProtection="0"/>
    <xf numFmtId="0" fontId="88"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41"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7" fillId="53" borderId="0" applyNumberFormat="0" applyBorder="0" applyAlignment="0" applyProtection="0"/>
    <xf numFmtId="0" fontId="88" fillId="52" borderId="0" applyNumberFormat="0" applyBorder="0" applyAlignment="0" applyProtection="0"/>
    <xf numFmtId="0" fontId="88" fillId="52"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7" fillId="57" borderId="0" applyNumberFormat="0" applyBorder="0" applyAlignment="0" applyProtection="0"/>
    <xf numFmtId="0" fontId="88"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34"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7" fillId="51" borderId="0" applyNumberFormat="0" applyBorder="0" applyAlignment="0" applyProtection="0"/>
    <xf numFmtId="0" fontId="88" fillId="42" borderId="0" applyNumberFormat="0" applyBorder="0" applyAlignment="0" applyProtection="0"/>
    <xf numFmtId="0" fontId="88" fillId="42"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7" fillId="57" borderId="0" applyNumberFormat="0" applyBorder="0" applyAlignment="0" applyProtection="0"/>
    <xf numFmtId="0" fontId="88"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7" fillId="59" borderId="0" applyNumberFormat="0" applyBorder="0" applyAlignment="0" applyProtection="0"/>
    <xf numFmtId="0" fontId="88" fillId="38" borderId="0" applyNumberFormat="0" applyBorder="0" applyAlignment="0" applyProtection="0"/>
    <xf numFmtId="0" fontId="88" fillId="38"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7" fillId="45" borderId="0" applyNumberFormat="0" applyBorder="0" applyAlignment="0" applyProtection="0"/>
    <xf numFmtId="0" fontId="88"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7" fillId="60" borderId="0" applyNumberFormat="0" applyBorder="0" applyAlignment="0" applyProtection="0"/>
    <xf numFmtId="0" fontId="88" fillId="39" borderId="0" applyNumberFormat="0" applyBorder="0" applyAlignment="0" applyProtection="0"/>
    <xf numFmtId="0" fontId="88" fillId="39"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6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7" fillId="62" borderId="0" applyNumberFormat="0" applyBorder="0" applyAlignment="0" applyProtection="0"/>
    <xf numFmtId="0" fontId="88"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38"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52"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7" fillId="63" borderId="0" applyNumberFormat="0" applyBorder="0" applyAlignment="0" applyProtection="0"/>
    <xf numFmtId="0" fontId="88" fillId="41" borderId="0" applyNumberFormat="0" applyBorder="0" applyAlignment="0" applyProtection="0"/>
    <xf numFmtId="0" fontId="88" fillId="41" borderId="0" applyNumberFormat="0" applyBorder="0" applyAlignment="0" applyProtection="0"/>
    <xf numFmtId="0" fontId="90" fillId="0" borderId="0" applyNumberFormat="0" applyFill="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2"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3" fillId="50"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2" borderId="0" applyNumberFormat="0" applyBorder="0" applyAlignment="0" applyProtection="0"/>
    <xf numFmtId="0" fontId="91" fillId="24"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92" fillId="22" borderId="0" applyNumberFormat="0" applyBorder="0" applyAlignment="0" applyProtection="0"/>
    <xf numFmtId="0" fontId="89" fillId="0" borderId="25"/>
    <xf numFmtId="0" fontId="94" fillId="0" borderId="0" applyNumberFormat="0" applyFill="0" applyBorder="0">
      <alignment horizontal="left"/>
    </xf>
    <xf numFmtId="0" fontId="94" fillId="0" borderId="0" applyNumberFormat="0" applyFill="0" applyBorder="0">
      <alignment horizontal="left"/>
    </xf>
    <xf numFmtId="0" fontId="95" fillId="0" borderId="0" applyNumberFormat="0" applyFill="0" applyBorder="0">
      <alignment horizontal="left"/>
    </xf>
    <xf numFmtId="0" fontId="89" fillId="0" borderId="26"/>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184" fontId="96" fillId="0" borderId="0" applyFill="0" applyBorder="0" applyAlignment="0"/>
    <xf numFmtId="0" fontId="97" fillId="35"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8"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9" fillId="64" borderId="27" applyNumberFormat="0" applyAlignment="0" applyProtection="0"/>
    <xf numFmtId="0" fontId="97" fillId="35" borderId="27" applyNumberFormat="0" applyAlignment="0" applyProtection="0"/>
    <xf numFmtId="0" fontId="97" fillId="35"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9" fillId="64"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97" fillId="27" borderId="27" applyNumberFormat="0" applyAlignment="0" applyProtection="0"/>
    <xf numFmtId="0" fontId="100" fillId="27"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98" fillId="35" borderId="27" applyNumberFormat="0" applyAlignment="0" applyProtection="0"/>
    <xf numFmtId="0" fontId="101" fillId="0" borderId="28" applyNumberFormat="0" applyFill="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1"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2"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3" fillId="54" borderId="29" applyNumberFormat="0" applyAlignment="0" applyProtection="0"/>
    <xf numFmtId="0" fontId="104" fillId="0" borderId="30">
      <alignment horizontal="left" wrapText="1"/>
    </xf>
    <xf numFmtId="0" fontId="104" fillId="0" borderId="30">
      <alignment horizontal="left" wrapText="1"/>
    </xf>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41" fontId="89" fillId="0" borderId="0" applyFont="0" applyFill="0" applyBorder="0" applyAlignment="0" applyProtection="0"/>
    <xf numFmtId="185"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0"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186" fontId="89" fillId="0" borderId="0" applyFont="0" applyFill="0" applyBorder="0" applyProtection="0"/>
    <xf numFmtId="43" fontId="106"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172" fontId="106" fillId="0" borderId="0" applyFont="0" applyFill="0" applyBorder="0" applyAlignment="0" applyProtection="0"/>
    <xf numFmtId="187"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88" fontId="89" fillId="0" borderId="0" applyFont="0" applyFill="0" applyBorder="0" applyAlignment="0" applyProtection="0">
      <alignment vertical="center"/>
    </xf>
    <xf numFmtId="187" fontId="89" fillId="0" borderId="0" applyFont="0" applyFill="0" applyBorder="0" applyAlignment="0" applyProtection="0"/>
    <xf numFmtId="189"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87" fontId="89" fillId="0" borderId="0" applyFont="0" applyFill="0" applyBorder="0" applyAlignment="0" applyProtection="0"/>
    <xf numFmtId="172" fontId="89" fillId="0" borderId="0" applyFont="0" applyFill="0" applyBorder="0" applyAlignment="0" applyProtection="0"/>
    <xf numFmtId="187" fontId="89" fillId="0" borderId="0" applyFont="0" applyFill="0" applyBorder="0" applyAlignment="0" applyProtection="0"/>
    <xf numFmtId="172" fontId="83" fillId="0" borderId="0" applyFont="0" applyFill="0" applyBorder="0" applyAlignment="0" applyProtection="0"/>
    <xf numFmtId="172" fontId="106" fillId="0" borderId="0" applyFont="0" applyFill="0" applyBorder="0" applyAlignment="0" applyProtection="0"/>
    <xf numFmtId="43" fontId="106" fillId="0" borderId="0" applyFont="0" applyFill="0" applyBorder="0" applyAlignment="0" applyProtection="0"/>
    <xf numFmtId="43" fontId="89" fillId="0" borderId="0" applyFont="0" applyFill="0" applyBorder="0" applyAlignment="0" applyProtection="0"/>
    <xf numFmtId="172" fontId="106"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64" fontId="83"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8"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90" fontId="109"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172"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105" fillId="0" borderId="0" applyFont="0" applyFill="0" applyBorder="0" applyAlignment="0" applyProtection="0"/>
    <xf numFmtId="172" fontId="89" fillId="0" borderId="0" applyFont="0" applyFill="0" applyBorder="0" applyAlignment="0" applyProtection="0"/>
    <xf numFmtId="190" fontId="109" fillId="0" borderId="0" applyFont="0" applyFill="0" applyBorder="0" applyAlignment="0" applyProtection="0"/>
    <xf numFmtId="190" fontId="109"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86"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172" fontId="107" fillId="0" borderId="0" applyFont="0" applyFill="0" applyBorder="0" applyAlignment="0" applyProtection="0"/>
    <xf numFmtId="43"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190" fontId="10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0"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3" fillId="0" borderId="0" applyFont="0" applyFill="0" applyBorder="0" applyAlignment="0" applyProtection="0"/>
    <xf numFmtId="172" fontId="83"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172" fontId="89" fillId="0" borderId="0" applyFont="0" applyFill="0" applyBorder="0" applyAlignment="0" applyProtection="0"/>
    <xf numFmtId="43" fontId="83" fillId="0" borderId="0" applyFont="0" applyFill="0" applyBorder="0" applyAlignment="0" applyProtection="0"/>
    <xf numFmtId="3" fontId="110" fillId="0" borderId="0" applyFont="0" applyFill="0" applyBorder="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89" fillId="32" borderId="31" applyNumberFormat="0" applyFont="0" applyAlignment="0" applyProtection="0"/>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0" fontId="111" fillId="0" borderId="0" applyNumberFormat="0" applyAlignment="0">
      <alignment horizontal="left"/>
    </xf>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44" fontId="89" fillId="0" borderId="0" applyFont="0" applyFill="0" applyBorder="0" applyAlignment="0" applyProtection="0"/>
    <xf numFmtId="191" fontId="110" fillId="0" borderId="0" applyFont="0" applyFill="0" applyBorder="0" applyAlignment="0" applyProtection="0"/>
    <xf numFmtId="1" fontId="29" fillId="0" borderId="0" applyNumberFormat="0" applyFill="0" applyBorder="0" applyAlignment="0"/>
    <xf numFmtId="0" fontId="110" fillId="0" borderId="0" applyFont="0" applyFill="0" applyBorder="0" applyAlignment="0" applyProtection="0"/>
    <xf numFmtId="14" fontId="25" fillId="0" borderId="0" applyFill="0" applyBorder="0">
      <alignment horizontal="left"/>
    </xf>
    <xf numFmtId="14" fontId="25" fillId="0" borderId="0" applyFill="0" applyBorder="0">
      <alignment horizontal="left"/>
    </xf>
    <xf numFmtId="14" fontId="112" fillId="0" borderId="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4" fontId="25" fillId="0" borderId="0" applyFill="0" applyBorder="0">
      <alignment horizontal="left"/>
    </xf>
    <xf numFmtId="192" fontId="113" fillId="0" borderId="0"/>
    <xf numFmtId="193" fontId="89" fillId="0" borderId="0" applyFont="0" applyFill="0" applyBorder="0" applyAlignment="0" applyProtection="0"/>
    <xf numFmtId="188" fontId="89" fillId="0" borderId="0" applyFont="0" applyFill="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5"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6"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4" fillId="67" borderId="0" applyNumberFormat="0" applyBorder="0" applyAlignment="0" applyProtection="0"/>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5" fillId="0" borderId="0" applyNumberFormat="0" applyAlignment="0">
      <alignment horizontal="left"/>
    </xf>
    <xf numFmtId="0" fontId="116" fillId="26" borderId="27" applyNumberFormat="0" applyAlignment="0" applyProtection="0"/>
    <xf numFmtId="0" fontId="89" fillId="0" borderId="0"/>
    <xf numFmtId="194" fontId="89" fillId="0" borderId="0" applyFon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183" fontId="25" fillId="20" borderId="0" applyNumberFormat="0" applyFont="0" applyBorder="0" applyAlignment="0" applyProtection="0">
      <alignment horizontal="right"/>
    </xf>
    <xf numFmtId="195" fontId="119" fillId="0" borderId="0">
      <alignment horizontal="left" vertical="top" wrapText="1"/>
    </xf>
    <xf numFmtId="195" fontId="120" fillId="0" borderId="0">
      <alignment horizontal="left"/>
    </xf>
    <xf numFmtId="2" fontId="110" fillId="0" borderId="0" applyFont="0" applyFill="0" applyBorder="0" applyAlignment="0" applyProtection="0"/>
    <xf numFmtId="17" fontId="121" fillId="0" borderId="0" applyFont="0" applyFill="0" applyBorder="0" applyAlignment="0" applyProtection="0"/>
    <xf numFmtId="22" fontId="122" fillId="0" borderId="0" applyFont="0" applyFill="0" applyBorder="0" applyAlignment="0" applyProtection="0"/>
    <xf numFmtId="14" fontId="121" fillId="0" borderId="0" applyFont="0" applyFill="0" applyBorder="0" applyAlignment="0" applyProtection="0"/>
    <xf numFmtId="196" fontId="121" fillId="0" borderId="0" applyFont="0" applyFill="0" applyBorder="0" applyAlignment="0" applyProtection="0"/>
    <xf numFmtId="197" fontId="121" fillId="0" borderId="0" applyFont="0" applyFill="0" applyBorder="0" applyAlignment="0" applyProtection="0"/>
    <xf numFmtId="3" fontId="123" fillId="0" borderId="0" applyFont="0" applyFill="0" applyBorder="0" applyAlignment="0" applyProtection="0"/>
    <xf numFmtId="4" fontId="123" fillId="0" borderId="0" applyFont="0" applyFill="0" applyBorder="0" applyAlignment="0" applyProtection="0"/>
    <xf numFmtId="20" fontId="121" fillId="0" borderId="0" applyFont="0" applyFill="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5"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68"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3" borderId="0" applyNumberFormat="0" applyBorder="0" applyAlignment="0" applyProtection="0"/>
    <xf numFmtId="0" fontId="124" fillId="25"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0" fontId="125" fillId="23" borderId="0" applyNumberFormat="0" applyBorder="0" applyAlignment="0" applyProtection="0"/>
    <xf numFmtId="38" fontId="25" fillId="20" borderId="0" applyNumberForma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66" fontId="89" fillId="69" borderId="30" applyNumberFormat="0" applyFont="0" applyBorder="0" applyAlignment="0" applyProtection="0"/>
    <xf numFmtId="198" fontId="126" fillId="69" borderId="0" applyNumberFormat="0" applyFont="0" applyAlignment="0"/>
    <xf numFmtId="0" fontId="127" fillId="0" borderId="32" applyNumberFormat="0" applyAlignment="0" applyProtection="0">
      <alignment horizontal="left" vertical="center"/>
    </xf>
    <xf numFmtId="0" fontId="127" fillId="0" borderId="20">
      <alignment horizontal="left" vertical="center"/>
    </xf>
    <xf numFmtId="0" fontId="127" fillId="0" borderId="20">
      <alignment horizontal="left" vertical="center"/>
    </xf>
    <xf numFmtId="0" fontId="128"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30" fillId="0" borderId="33" applyNumberFormat="0" applyFill="0" applyAlignment="0" applyProtection="0"/>
    <xf numFmtId="0" fontId="129" fillId="0" borderId="36"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5" applyNumberFormat="0" applyFill="0" applyAlignment="0" applyProtection="0"/>
    <xf numFmtId="0" fontId="129" fillId="0" borderId="34"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6" applyNumberFormat="0" applyFill="0" applyAlignment="0" applyProtection="0"/>
    <xf numFmtId="0" fontId="130" fillId="0" borderId="33" applyNumberFormat="0" applyFill="0" applyAlignment="0" applyProtection="0"/>
    <xf numFmtId="0" fontId="129" fillId="0" borderId="34"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6"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5" applyNumberFormat="0" applyFill="0" applyAlignment="0" applyProtection="0"/>
    <xf numFmtId="0" fontId="129" fillId="0" borderId="37"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28" fillId="0" borderId="33" applyNumberFormat="0" applyFill="0" applyAlignment="0" applyProtection="0"/>
    <xf numFmtId="0" fontId="131"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8" applyNumberFormat="0" applyFill="0" applyAlignment="0" applyProtection="0"/>
    <xf numFmtId="0" fontId="133"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2" fillId="0" borderId="39"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1" fillId="0" borderId="38" applyNumberFormat="0" applyFill="0" applyAlignment="0" applyProtection="0"/>
    <xf numFmtId="0" fontId="134"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4" fillId="0" borderId="41"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6" fillId="0" borderId="41" applyNumberFormat="0" applyFill="0" applyAlignment="0" applyProtection="0"/>
    <xf numFmtId="0" fontId="135" fillId="0" borderId="43"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2" applyNumberFormat="0" applyFill="0" applyAlignment="0" applyProtection="0"/>
    <xf numFmtId="0" fontId="135" fillId="0" borderId="40"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3" applyNumberFormat="0" applyFill="0" applyAlignment="0" applyProtection="0"/>
    <xf numFmtId="0" fontId="136" fillId="0" borderId="41" applyNumberFormat="0" applyFill="0" applyAlignment="0" applyProtection="0"/>
    <xf numFmtId="0" fontId="135" fillId="0" borderId="40"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3"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5" fillId="0" borderId="42"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41" applyNumberFormat="0" applyFill="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0" borderId="0"/>
    <xf numFmtId="0" fontId="121" fillId="0" borderId="14" applyNumberFormat="0" applyFill="0" applyBorder="0" applyAlignment="0">
      <protection locked="0"/>
    </xf>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142" fillId="0" borderId="0" applyNumberFormat="0" applyFill="0" applyBorder="0" applyAlignment="0" applyProtection="0">
      <alignment vertical="top"/>
      <protection locked="0"/>
    </xf>
    <xf numFmtId="0" fontId="143" fillId="26" borderId="27" applyNumberFormat="0" applyAlignment="0" applyProtection="0"/>
    <xf numFmtId="195" fontId="112" fillId="0" borderId="30" applyFill="0" applyBorder="0">
      <protection locked="0"/>
    </xf>
    <xf numFmtId="195" fontId="112" fillId="0" borderId="30" applyFill="0" applyBorder="0">
      <protection locked="0"/>
    </xf>
    <xf numFmtId="0" fontId="79" fillId="0" borderId="0" applyNumberFormat="0" applyFill="0" applyBorder="0" applyAlignment="0" applyProtection="0">
      <alignment horizontal="left"/>
    </xf>
    <xf numFmtId="195" fontId="112" fillId="0" borderId="14" applyNumberFormat="0" applyFill="0" applyBorder="0">
      <alignment horizontal="right"/>
      <protection locked="0"/>
    </xf>
    <xf numFmtId="0" fontId="144" fillId="0" borderId="44" applyNumberFormat="0" applyFill="0" applyBorder="0">
      <alignment horizontal="left"/>
      <protection locked="0"/>
    </xf>
    <xf numFmtId="195" fontId="112" fillId="0" borderId="0" applyProtection="0">
      <alignment horizontal="right"/>
    </xf>
    <xf numFmtId="0" fontId="143" fillId="26" borderId="27" applyNumberFormat="0" applyAlignment="0" applyProtection="0"/>
    <xf numFmtId="10" fontId="25" fillId="70" borderId="30" applyNumberFormat="0" applyBorder="0" applyAlignment="0" applyProtection="0"/>
    <xf numFmtId="10" fontId="25" fillId="70" borderId="30" applyNumberFormat="0" applyBorder="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46" fillId="62"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26" borderId="27" applyNumberFormat="0" applyAlignment="0" applyProtection="0"/>
    <xf numFmtId="0" fontId="116" fillId="3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145" fillId="26" borderId="27" applyNumberFormat="0" applyAlignment="0" applyProtection="0"/>
    <xf numFmtId="0" fontId="96" fillId="71" borderId="45"/>
    <xf numFmtId="0" fontId="96" fillId="72" borderId="46"/>
    <xf numFmtId="10" fontId="147" fillId="73" borderId="0" applyNumberFormat="0" applyBorder="0"/>
    <xf numFmtId="0" fontId="91" fillId="22" borderId="0" applyNumberFormat="0" applyBorder="0" applyAlignment="0" applyProtection="0"/>
    <xf numFmtId="0" fontId="120" fillId="0" borderId="0" applyBorder="0">
      <alignment horizontal="right"/>
      <protection locked="0"/>
    </xf>
    <xf numFmtId="0" fontId="120" fillId="0" borderId="0">
      <alignment horizontal="right"/>
    </xf>
    <xf numFmtId="0" fontId="24" fillId="0" borderId="0" applyNumberFormat="0" applyFill="0" applyBorder="0">
      <alignment horizontal="center"/>
    </xf>
    <xf numFmtId="0" fontId="24" fillId="0" borderId="0" applyNumberFormat="0" applyFill="0" applyBorder="0">
      <alignment horizontal="center"/>
    </xf>
    <xf numFmtId="0" fontId="148" fillId="0" borderId="30" applyNumberFormat="0" applyFill="0" applyBorder="0">
      <alignment horizontal="center"/>
    </xf>
    <xf numFmtId="0" fontId="148" fillId="0" borderId="30" applyNumberFormat="0" applyFill="0" applyBorder="0">
      <alignment horizontal="center"/>
    </xf>
    <xf numFmtId="38" fontId="149" fillId="0" borderId="0" applyFont="0" applyFill="0" applyBorder="0" applyAlignment="0" applyProtection="0"/>
    <xf numFmtId="3" fontId="150" fillId="0" borderId="9" applyFill="0" applyBorder="0" applyAlignment="0">
      <protection locked="0"/>
    </xf>
    <xf numFmtId="0" fontId="25" fillId="0" borderId="0" applyNumberFormat="0" applyFill="0" applyBorder="0">
      <alignment horizontal="left"/>
    </xf>
    <xf numFmtId="0" fontId="25" fillId="0" borderId="0" applyNumberFormat="0" applyFill="0" applyBorder="0">
      <alignment horizontal="left"/>
    </xf>
    <xf numFmtId="0" fontId="151" fillId="0" borderId="30" applyNumberFormat="0" applyFill="0" applyBorder="0">
      <alignment horizontal="left"/>
    </xf>
    <xf numFmtId="0" fontId="151" fillId="0" borderId="3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25" fillId="0" borderId="0" applyNumberFormat="0" applyFill="0" applyBorder="0">
      <alignment horizontal="left"/>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2"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53" fillId="0" borderId="47"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101" fillId="0" borderId="28" applyNumberFormat="0" applyFill="0" applyAlignment="0" applyProtection="0"/>
    <xf numFmtId="0" fontId="90" fillId="0" borderId="4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2" fillId="0" borderId="28" applyNumberFormat="0" applyFill="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99" fontId="158" fillId="0" borderId="0" applyFont="0" applyFill="0" applyBorder="0" applyAlignment="0" applyProtection="0"/>
    <xf numFmtId="200" fontId="158" fillId="0" borderId="0" applyFont="0" applyFill="0" applyBorder="0" applyAlignment="0" applyProtection="0"/>
    <xf numFmtId="201" fontId="158" fillId="0" borderId="0" applyFont="0" applyFill="0" applyBorder="0" applyAlignment="0" applyProtection="0"/>
    <xf numFmtId="202" fontId="158" fillId="0" borderId="0" applyFont="0" applyFill="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62"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59" fillId="36" borderId="0" applyNumberFormat="0" applyBorder="0" applyAlignment="0" applyProtection="0"/>
    <xf numFmtId="0" fontId="161"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59" fillId="36" borderId="0" applyNumberFormat="0" applyBorder="0" applyAlignment="0" applyProtection="0"/>
    <xf numFmtId="203" fontId="89" fillId="0" borderId="0" applyFont="0" applyFill="0" applyBorder="0" applyAlignment="0" applyProtection="0"/>
    <xf numFmtId="0" fontId="162" fillId="0" borderId="0"/>
    <xf numFmtId="204" fontId="96" fillId="0" borderId="0"/>
    <xf numFmtId="204" fontId="96" fillId="0" borderId="0"/>
    <xf numFmtId="204" fontId="96" fillId="0" borderId="0"/>
    <xf numFmtId="0" fontId="162" fillId="0" borderId="0"/>
    <xf numFmtId="0" fontId="163" fillId="0" borderId="0"/>
    <xf numFmtId="0" fontId="89" fillId="0" borderId="0"/>
    <xf numFmtId="0" fontId="83"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6" fillId="0" borderId="0"/>
    <xf numFmtId="0" fontId="86" fillId="0" borderId="0"/>
    <xf numFmtId="0" fontId="85" fillId="0" borderId="0"/>
    <xf numFmtId="0" fontId="86" fillId="0" borderId="0"/>
    <xf numFmtId="0" fontId="89" fillId="0" borderId="0"/>
    <xf numFmtId="0" fontId="86" fillId="0" borderId="0"/>
    <xf numFmtId="0" fontId="89" fillId="0" borderId="0"/>
    <xf numFmtId="0" fontId="86" fillId="0" borderId="0"/>
    <xf numFmtId="0" fontId="108" fillId="0" borderId="0"/>
    <xf numFmtId="0" fontId="89" fillId="0" borderId="0"/>
    <xf numFmtId="0" fontId="86" fillId="0" borderId="0"/>
    <xf numFmtId="0" fontId="86" fillId="0" borderId="0"/>
    <xf numFmtId="0" fontId="86" fillId="0" borderId="0"/>
    <xf numFmtId="0" fontId="89" fillId="0" borderId="0"/>
    <xf numFmtId="0" fontId="86" fillId="0" borderId="0"/>
    <xf numFmtId="0" fontId="86" fillId="0" borderId="0"/>
    <xf numFmtId="0" fontId="86" fillId="0" borderId="0"/>
    <xf numFmtId="0" fontId="89" fillId="0" borderId="0"/>
    <xf numFmtId="0" fontId="89" fillId="0" borderId="0"/>
    <xf numFmtId="0" fontId="86" fillId="0" borderId="0"/>
    <xf numFmtId="0" fontId="89" fillId="0" borderId="0"/>
    <xf numFmtId="0" fontId="89" fillId="0" borderId="0"/>
    <xf numFmtId="0" fontId="83" fillId="0" borderId="0"/>
    <xf numFmtId="0" fontId="83" fillId="0" borderId="0"/>
    <xf numFmtId="0" fontId="83" fillId="0" borderId="0"/>
    <xf numFmtId="0" fontId="83" fillId="0" borderId="0"/>
    <xf numFmtId="0" fontId="89" fillId="0" borderId="0"/>
    <xf numFmtId="0" fontId="86" fillId="0" borderId="0"/>
    <xf numFmtId="0" fontId="86"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6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3" fillId="0" borderId="0"/>
    <xf numFmtId="0" fontId="1" fillId="0" borderId="0"/>
    <xf numFmtId="0" fontId="166" fillId="0" borderId="0" applyNumberForma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cellStyleXfs>
  <cellXfs count="1160">
    <xf numFmtId="0" fontId="0" fillId="0" borderId="0" xfId="0"/>
    <xf numFmtId="0" fontId="4" fillId="3" borderId="0" xfId="0" applyFont="1" applyFill="1"/>
    <xf numFmtId="0" fontId="5" fillId="3" borderId="0" xfId="0" applyFont="1" applyFill="1"/>
    <xf numFmtId="0" fontId="6" fillId="4" borderId="0" xfId="0" applyFont="1" applyFill="1"/>
    <xf numFmtId="0" fontId="6" fillId="5" borderId="0" xfId="0" applyFont="1" applyFill="1"/>
    <xf numFmtId="0" fontId="7" fillId="5" borderId="0" xfId="0" applyFont="1" applyFill="1"/>
    <xf numFmtId="0" fontId="8" fillId="5" borderId="0" xfId="0" applyFont="1" applyFill="1"/>
    <xf numFmtId="0" fontId="5" fillId="5" borderId="0" xfId="0" applyFont="1" applyFill="1"/>
    <xf numFmtId="0" fontId="5" fillId="4" borderId="0" xfId="0" applyFont="1" applyFill="1"/>
    <xf numFmtId="0" fontId="9" fillId="5" borderId="0" xfId="0" applyFont="1" applyFill="1"/>
    <xf numFmtId="0" fontId="10" fillId="5" borderId="0" xfId="0" applyFont="1" applyFill="1" applyAlignment="1">
      <alignment horizontal="center"/>
    </xf>
    <xf numFmtId="14" fontId="11" fillId="5" borderId="0" xfId="0" applyNumberFormat="1" applyFont="1" applyFill="1"/>
    <xf numFmtId="0" fontId="12" fillId="5" borderId="0" xfId="0" applyFont="1" applyFill="1"/>
    <xf numFmtId="0" fontId="13" fillId="5" borderId="0" xfId="0" applyFont="1" applyFill="1"/>
    <xf numFmtId="0" fontId="14" fillId="5" borderId="0" xfId="0" applyFont="1" applyFill="1" applyAlignment="1">
      <alignment vertical="center" wrapText="1"/>
    </xf>
    <xf numFmtId="0" fontId="15" fillId="3" borderId="0" xfId="0" applyFont="1" applyFill="1"/>
    <xf numFmtId="0" fontId="16" fillId="3" borderId="0" xfId="0" applyFont="1" applyFill="1"/>
    <xf numFmtId="0" fontId="17" fillId="3" borderId="0" xfId="0" applyFont="1" applyFill="1"/>
    <xf numFmtId="0" fontId="18" fillId="6" borderId="1" xfId="0" applyFont="1" applyFill="1" applyBorder="1"/>
    <xf numFmtId="0" fontId="19" fillId="4" borderId="0" xfId="0" applyFont="1" applyFill="1"/>
    <xf numFmtId="0" fontId="20" fillId="4" borderId="2" xfId="0" applyFont="1" applyFill="1" applyBorder="1"/>
    <xf numFmtId="0" fontId="19" fillId="0" borderId="0" xfId="0" applyFont="1" applyAlignment="1">
      <alignment horizontal="left" vertical="top" wrapText="1"/>
    </xf>
    <xf numFmtId="0" fontId="22" fillId="4" borderId="0" xfId="0" applyFont="1" applyFill="1" applyAlignment="1">
      <alignment vertical="center"/>
    </xf>
    <xf numFmtId="0" fontId="19" fillId="0" borderId="0" xfId="0" applyFont="1"/>
    <xf numFmtId="0" fontId="23" fillId="0" borderId="0" xfId="0" applyFont="1"/>
    <xf numFmtId="0" fontId="24" fillId="3" borderId="0" xfId="0" applyFont="1" applyFill="1"/>
    <xf numFmtId="0" fontId="25" fillId="3" borderId="0" xfId="0" applyFont="1" applyFill="1"/>
    <xf numFmtId="0" fontId="25" fillId="3" borderId="0" xfId="0" applyFont="1" applyFill="1" applyAlignment="1">
      <alignment horizontal="right"/>
    </xf>
    <xf numFmtId="0" fontId="25" fillId="7" borderId="0" xfId="0" applyFont="1" applyFill="1"/>
    <xf numFmtId="0" fontId="25" fillId="3" borderId="3" xfId="0" applyFont="1" applyFill="1" applyBorder="1"/>
    <xf numFmtId="0" fontId="24" fillId="4" borderId="0" xfId="0" applyFont="1" applyFill="1"/>
    <xf numFmtId="0" fontId="25" fillId="4" borderId="0" xfId="0" applyFont="1" applyFill="1"/>
    <xf numFmtId="0" fontId="25" fillId="4" borderId="0" xfId="0" applyFont="1" applyFill="1" applyAlignment="1">
      <alignment horizontal="right"/>
    </xf>
    <xf numFmtId="0" fontId="25" fillId="4" borderId="3" xfId="0" applyFont="1" applyFill="1" applyBorder="1"/>
    <xf numFmtId="0" fontId="24" fillId="4" borderId="0" xfId="0" applyFont="1" applyFill="1" applyAlignment="1">
      <alignment vertical="center"/>
    </xf>
    <xf numFmtId="0" fontId="24" fillId="4" borderId="0" xfId="0" applyFont="1" applyFill="1" applyAlignment="1">
      <alignment horizontal="right" vertical="center"/>
    </xf>
    <xf numFmtId="0" fontId="24" fillId="4" borderId="3" xfId="0" applyFont="1" applyFill="1" applyBorder="1" applyAlignment="1">
      <alignment horizontal="right" vertical="center"/>
    </xf>
    <xf numFmtId="0" fontId="25" fillId="4" borderId="0" xfId="0" applyFont="1" applyFill="1" applyAlignment="1">
      <alignment vertical="center" wrapText="1"/>
    </xf>
    <xf numFmtId="3" fontId="25" fillId="4" borderId="0" xfId="0" applyNumberFormat="1" applyFont="1" applyFill="1" applyAlignment="1">
      <alignment horizontal="right" vertical="center" wrapText="1"/>
    </xf>
    <xf numFmtId="3" fontId="25" fillId="4" borderId="3" xfId="0" applyNumberFormat="1" applyFont="1" applyFill="1" applyBorder="1" applyAlignment="1">
      <alignment horizontal="right" vertical="center" wrapText="1"/>
    </xf>
    <xf numFmtId="0" fontId="24" fillId="8" borderId="0" xfId="0" applyFont="1" applyFill="1" applyAlignment="1">
      <alignment vertical="center" wrapText="1"/>
    </xf>
    <xf numFmtId="0" fontId="24" fillId="8" borderId="0" xfId="0" applyFont="1" applyFill="1" applyAlignment="1">
      <alignment horizontal="right" vertical="center" wrapText="1"/>
    </xf>
    <xf numFmtId="1" fontId="24" fillId="8" borderId="0" xfId="0" applyNumberFormat="1" applyFont="1" applyFill="1" applyAlignment="1">
      <alignment horizontal="right" vertical="center" wrapText="1"/>
    </xf>
    <xf numFmtId="1" fontId="24" fillId="4" borderId="0" xfId="0" applyNumberFormat="1" applyFont="1" applyFill="1" applyAlignment="1">
      <alignment horizontal="right" vertical="center" wrapText="1"/>
    </xf>
    <xf numFmtId="1" fontId="24" fillId="8" borderId="3" xfId="0" applyNumberFormat="1" applyFont="1" applyFill="1" applyBorder="1" applyAlignment="1">
      <alignment horizontal="right" vertical="center" wrapText="1"/>
    </xf>
    <xf numFmtId="0" fontId="25" fillId="4" borderId="0" xfId="0" applyFont="1" applyFill="1" applyAlignment="1">
      <alignment horizontal="justify" vertical="center"/>
    </xf>
    <xf numFmtId="0" fontId="24" fillId="4" borderId="2" xfId="0" applyFont="1" applyFill="1" applyBorder="1" applyAlignment="1">
      <alignment vertical="center" wrapText="1"/>
    </xf>
    <xf numFmtId="0" fontId="24" fillId="4" borderId="2" xfId="0" applyFont="1" applyFill="1" applyBorder="1" applyAlignment="1">
      <alignment horizontal="right" vertical="center" wrapText="1"/>
    </xf>
    <xf numFmtId="0" fontId="24" fillId="4" borderId="0" xfId="0" applyFont="1" applyFill="1" applyAlignment="1">
      <alignment horizontal="right" vertical="center" wrapText="1"/>
    </xf>
    <xf numFmtId="0" fontId="24" fillId="4" borderId="4" xfId="0" applyFont="1" applyFill="1" applyBorder="1" applyAlignment="1">
      <alignment horizontal="right" vertical="center"/>
    </xf>
    <xf numFmtId="0" fontId="24" fillId="4" borderId="5" xfId="0" applyFont="1" applyFill="1" applyBorder="1" applyAlignment="1">
      <alignment horizontal="right" vertical="center"/>
    </xf>
    <xf numFmtId="3" fontId="25" fillId="4" borderId="3" xfId="0" applyNumberFormat="1" applyFont="1" applyFill="1" applyBorder="1" applyAlignment="1">
      <alignment vertical="center" wrapText="1"/>
    </xf>
    <xf numFmtId="3" fontId="24" fillId="8" borderId="0" xfId="0" applyNumberFormat="1" applyFont="1" applyFill="1" applyAlignment="1">
      <alignment horizontal="right" vertical="center" wrapText="1"/>
    </xf>
    <xf numFmtId="3" fontId="24" fillId="4" borderId="0" xfId="0" applyNumberFormat="1" applyFont="1" applyFill="1" applyAlignment="1">
      <alignment horizontal="right" vertical="center" wrapText="1"/>
    </xf>
    <xf numFmtId="3" fontId="24" fillId="8" borderId="3" xfId="0" applyNumberFormat="1" applyFont="1" applyFill="1" applyBorder="1" applyAlignment="1">
      <alignment horizontal="right" vertical="center" wrapText="1"/>
    </xf>
    <xf numFmtId="165" fontId="24" fillId="8" borderId="0" xfId="0" applyNumberFormat="1" applyFont="1" applyFill="1" applyAlignment="1">
      <alignment horizontal="right" vertical="center" wrapText="1"/>
    </xf>
    <xf numFmtId="165" fontId="24" fillId="4" borderId="0" xfId="0" applyNumberFormat="1" applyFont="1" applyFill="1" applyAlignment="1">
      <alignment horizontal="right" vertical="center" wrapText="1"/>
    </xf>
    <xf numFmtId="165" fontId="24" fillId="8" borderId="3" xfId="0" applyNumberFormat="1" applyFont="1" applyFill="1" applyBorder="1" applyAlignment="1">
      <alignment horizontal="right" vertical="center" wrapText="1"/>
    </xf>
    <xf numFmtId="3" fontId="25" fillId="4" borderId="0" xfId="0" applyNumberFormat="1" applyFont="1" applyFill="1" applyAlignment="1">
      <alignment vertical="center" wrapText="1"/>
    </xf>
    <xf numFmtId="0" fontId="25" fillId="4" borderId="0" xfId="0" applyFont="1" applyFill="1" applyAlignment="1">
      <alignment vertical="top" wrapText="1"/>
    </xf>
    <xf numFmtId="0" fontId="25" fillId="4" borderId="0" xfId="0" applyFont="1" applyFill="1" applyAlignment="1">
      <alignment horizontal="right" vertical="center" wrapText="1"/>
    </xf>
    <xf numFmtId="0" fontId="25" fillId="4" borderId="0" xfId="0" applyFont="1" applyFill="1" applyAlignment="1">
      <alignment horizontal="right" wrapText="1"/>
    </xf>
    <xf numFmtId="0" fontId="25" fillId="4" borderId="0" xfId="0" applyFont="1" applyFill="1" applyAlignment="1">
      <alignment vertical="center"/>
    </xf>
    <xf numFmtId="0" fontId="25" fillId="4" borderId="3" xfId="0" applyFont="1" applyFill="1" applyBorder="1" applyAlignment="1">
      <alignment vertical="center" wrapText="1"/>
    </xf>
    <xf numFmtId="0" fontId="24" fillId="4" borderId="0" xfId="0" applyFont="1" applyFill="1" applyAlignment="1">
      <alignment vertical="top" wrapText="1"/>
    </xf>
    <xf numFmtId="3" fontId="24" fillId="4" borderId="0" xfId="0" applyNumberFormat="1" applyFont="1" applyFill="1" applyAlignment="1">
      <alignment vertical="center" wrapText="1"/>
    </xf>
    <xf numFmtId="3" fontId="24" fillId="4" borderId="0" xfId="0" applyNumberFormat="1" applyFont="1" applyFill="1" applyAlignment="1">
      <alignment horizontal="right" vertical="center"/>
    </xf>
    <xf numFmtId="3" fontId="24" fillId="4" borderId="3" xfId="0" applyNumberFormat="1" applyFont="1" applyFill="1" applyBorder="1" applyAlignment="1">
      <alignment vertical="center"/>
    </xf>
    <xf numFmtId="3" fontId="24" fillId="4" borderId="3" xfId="0" applyNumberFormat="1" applyFont="1" applyFill="1" applyBorder="1" applyAlignment="1">
      <alignment horizontal="right" vertical="center"/>
    </xf>
    <xf numFmtId="3" fontId="24" fillId="4" borderId="6" xfId="0" applyNumberFormat="1" applyFont="1" applyFill="1" applyBorder="1" applyAlignment="1">
      <alignment horizontal="right" vertical="center"/>
    </xf>
    <xf numFmtId="3" fontId="25" fillId="4" borderId="0" xfId="0" applyNumberFormat="1" applyFont="1" applyFill="1" applyAlignment="1">
      <alignment horizontal="right" vertical="center"/>
    </xf>
    <xf numFmtId="3" fontId="25" fillId="4" borderId="3" xfId="0" applyNumberFormat="1" applyFont="1" applyFill="1" applyBorder="1" applyAlignment="1">
      <alignment vertical="center"/>
    </xf>
    <xf numFmtId="3" fontId="25" fillId="4" borderId="3" xfId="0" applyNumberFormat="1" applyFont="1" applyFill="1" applyBorder="1" applyAlignment="1">
      <alignment horizontal="right" vertical="center"/>
    </xf>
    <xf numFmtId="3" fontId="25" fillId="4" borderId="6" xfId="0" applyNumberFormat="1" applyFont="1" applyFill="1" applyBorder="1" applyAlignment="1">
      <alignment horizontal="right" vertical="center"/>
    </xf>
    <xf numFmtId="0" fontId="24" fillId="4" borderId="0" xfId="0" applyFont="1" applyFill="1" applyAlignment="1">
      <alignment vertical="center" wrapText="1"/>
    </xf>
    <xf numFmtId="165" fontId="24" fillId="4" borderId="3" xfId="0" applyNumberFormat="1" applyFont="1" applyFill="1" applyBorder="1" applyAlignment="1">
      <alignment horizontal="right" vertical="center" wrapText="1"/>
    </xf>
    <xf numFmtId="166" fontId="24" fillId="4" borderId="0" xfId="0" applyNumberFormat="1" applyFont="1" applyFill="1" applyAlignment="1">
      <alignment vertical="center" wrapText="1"/>
    </xf>
    <xf numFmtId="0" fontId="24" fillId="4" borderId="3" xfId="0" applyFont="1" applyFill="1" applyBorder="1" applyAlignment="1">
      <alignment vertical="center" wrapText="1"/>
    </xf>
    <xf numFmtId="3" fontId="24" fillId="8" borderId="0" xfId="0" applyNumberFormat="1" applyFont="1" applyFill="1" applyAlignment="1">
      <alignment vertical="center" wrapText="1"/>
    </xf>
    <xf numFmtId="3" fontId="24" fillId="8" borderId="3" xfId="0" applyNumberFormat="1" applyFont="1" applyFill="1" applyBorder="1" applyAlignment="1">
      <alignment vertical="center" wrapText="1"/>
    </xf>
    <xf numFmtId="167" fontId="24" fillId="4" borderId="0" xfId="0" applyNumberFormat="1" applyFont="1" applyFill="1" applyAlignment="1">
      <alignment vertical="center" wrapText="1"/>
    </xf>
    <xf numFmtId="167" fontId="24" fillId="4" borderId="0" xfId="0" applyNumberFormat="1" applyFont="1" applyFill="1" applyAlignment="1">
      <alignment horizontal="right" vertical="center" wrapText="1"/>
    </xf>
    <xf numFmtId="167" fontId="24" fillId="4" borderId="3" xfId="0" applyNumberFormat="1" applyFont="1" applyFill="1" applyBorder="1" applyAlignment="1">
      <alignment vertical="center" wrapText="1"/>
    </xf>
    <xf numFmtId="2" fontId="24" fillId="8" borderId="0" xfId="0" applyNumberFormat="1" applyFont="1" applyFill="1" applyAlignment="1">
      <alignment horizontal="right" vertical="center" wrapText="1"/>
    </xf>
    <xf numFmtId="2" fontId="24" fillId="4" borderId="0" xfId="0" applyNumberFormat="1" applyFont="1" applyFill="1" applyAlignment="1">
      <alignment horizontal="right" vertical="center" wrapText="1"/>
    </xf>
    <xf numFmtId="2" fontId="24" fillId="8" borderId="3" xfId="0" applyNumberFormat="1" applyFont="1" applyFill="1" applyBorder="1" applyAlignment="1">
      <alignment horizontal="right" vertical="center" wrapText="1"/>
    </xf>
    <xf numFmtId="0" fontId="25" fillId="4" borderId="3" xfId="0" applyFont="1" applyFill="1" applyBorder="1" applyAlignment="1">
      <alignment horizontal="right" vertical="center" wrapText="1"/>
    </xf>
    <xf numFmtId="0" fontId="28" fillId="3" borderId="0" xfId="0" applyFont="1" applyFill="1"/>
    <xf numFmtId="0" fontId="29" fillId="3" borderId="0" xfId="0" applyFont="1" applyFill="1"/>
    <xf numFmtId="0" fontId="30" fillId="0" borderId="0" xfId="0" applyFont="1"/>
    <xf numFmtId="0" fontId="29" fillId="3" borderId="3" xfId="0" applyFont="1" applyFill="1" applyBorder="1"/>
    <xf numFmtId="0" fontId="4" fillId="3" borderId="3" xfId="0" applyFont="1" applyFill="1" applyBorder="1"/>
    <xf numFmtId="0" fontId="30" fillId="0" borderId="3" xfId="0" applyFont="1" applyBorder="1"/>
    <xf numFmtId="0" fontId="24" fillId="0" borderId="0" xfId="0" applyFont="1" applyAlignment="1">
      <alignment vertical="center"/>
    </xf>
    <xf numFmtId="3" fontId="25" fillId="0" borderId="0" xfId="0" applyNumberFormat="1" applyFont="1" applyAlignment="1">
      <alignment vertical="center"/>
    </xf>
    <xf numFmtId="3" fontId="25" fillId="0" borderId="3" xfId="0" applyNumberFormat="1" applyFont="1" applyBorder="1" applyAlignment="1">
      <alignment vertical="center"/>
    </xf>
    <xf numFmtId="0" fontId="25" fillId="0" borderId="0" xfId="0" applyFont="1" applyAlignment="1">
      <alignment vertical="center"/>
    </xf>
    <xf numFmtId="0" fontId="24" fillId="9" borderId="0" xfId="0" applyFont="1" applyFill="1" applyAlignment="1">
      <alignment vertical="center"/>
    </xf>
    <xf numFmtId="3" fontId="24" fillId="9" borderId="0" xfId="0" applyNumberFormat="1" applyFont="1" applyFill="1" applyAlignment="1">
      <alignment vertical="center"/>
    </xf>
    <xf numFmtId="3" fontId="24" fillId="9" borderId="3" xfId="0" applyNumberFormat="1" applyFont="1" applyFill="1" applyBorder="1" applyAlignment="1">
      <alignment vertical="center"/>
    </xf>
    <xf numFmtId="0" fontId="31" fillId="0" borderId="0" xfId="0" applyFont="1" applyAlignment="1">
      <alignment vertical="center"/>
    </xf>
    <xf numFmtId="166" fontId="31" fillId="0" borderId="0" xfId="0" applyNumberFormat="1" applyFont="1" applyAlignment="1">
      <alignment vertical="center"/>
    </xf>
    <xf numFmtId="0" fontId="14" fillId="0" borderId="0" xfId="0" applyFont="1"/>
    <xf numFmtId="166" fontId="31" fillId="0" borderId="3" xfId="0" applyNumberFormat="1" applyFont="1" applyBorder="1" applyAlignment="1">
      <alignment vertical="center"/>
    </xf>
    <xf numFmtId="166" fontId="31" fillId="0" borderId="0" xfId="0" applyNumberFormat="1" applyFont="1" applyAlignment="1">
      <alignment horizontal="right" vertical="center"/>
    </xf>
    <xf numFmtId="3" fontId="25" fillId="4" borderId="0" xfId="0" applyNumberFormat="1" applyFont="1" applyFill="1" applyAlignment="1">
      <alignment vertical="center"/>
    </xf>
    <xf numFmtId="3" fontId="24" fillId="9" borderId="0" xfId="0" applyNumberFormat="1" applyFont="1" applyFill="1" applyAlignment="1">
      <alignment horizontal="right" vertical="center"/>
    </xf>
    <xf numFmtId="3" fontId="24" fillId="9" borderId="3" xfId="0" applyNumberFormat="1" applyFont="1" applyFill="1" applyBorder="1" applyAlignment="1">
      <alignment horizontal="right" vertical="center"/>
    </xf>
    <xf numFmtId="3" fontId="32" fillId="0" borderId="0" xfId="0" applyNumberFormat="1" applyFont="1" applyAlignment="1">
      <alignment vertical="center"/>
    </xf>
    <xf numFmtId="3" fontId="31" fillId="0" borderId="0" xfId="0" applyNumberFormat="1" applyFont="1" applyAlignment="1">
      <alignment vertical="center"/>
    </xf>
    <xf numFmtId="3" fontId="31" fillId="0" borderId="3" xfId="0" applyNumberFormat="1" applyFont="1" applyBorder="1" applyAlignment="1">
      <alignment vertical="center"/>
    </xf>
    <xf numFmtId="3" fontId="25" fillId="0" borderId="0" xfId="0" applyNumberFormat="1" applyFont="1" applyAlignment="1">
      <alignment horizontal="right" vertical="center"/>
    </xf>
    <xf numFmtId="3" fontId="25" fillId="0" borderId="3" xfId="0" applyNumberFormat="1" applyFont="1" applyBorder="1" applyAlignment="1">
      <alignment horizontal="right" vertical="center"/>
    </xf>
    <xf numFmtId="3" fontId="31" fillId="0" borderId="0" xfId="0" applyNumberFormat="1" applyFont="1" applyAlignment="1">
      <alignment horizontal="right" vertical="center"/>
    </xf>
    <xf numFmtId="166" fontId="31" fillId="0" borderId="3" xfId="0" applyNumberFormat="1" applyFont="1" applyBorder="1" applyAlignment="1">
      <alignment horizontal="right" vertical="center"/>
    </xf>
    <xf numFmtId="0" fontId="33" fillId="0" borderId="0" xfId="0" applyFont="1" applyAlignment="1">
      <alignment vertical="center" wrapText="1"/>
    </xf>
    <xf numFmtId="3" fontId="30" fillId="0" borderId="0" xfId="0" applyNumberFormat="1" applyFont="1"/>
    <xf numFmtId="0" fontId="34" fillId="3" borderId="0" xfId="0" applyFont="1" applyFill="1"/>
    <xf numFmtId="0" fontId="30" fillId="3" borderId="0" xfId="0" applyFont="1" applyFill="1"/>
    <xf numFmtId="0" fontId="35" fillId="3" borderId="0" xfId="0" applyFont="1" applyFill="1"/>
    <xf numFmtId="0" fontId="30" fillId="3" borderId="3" xfId="0" applyFont="1" applyFill="1" applyBorder="1"/>
    <xf numFmtId="0" fontId="36" fillId="7" borderId="0" xfId="0" applyFont="1" applyFill="1"/>
    <xf numFmtId="0" fontId="14" fillId="10" borderId="0" xfId="0" applyFont="1" applyFill="1"/>
    <xf numFmtId="0" fontId="34" fillId="0" borderId="0" xfId="0" applyFont="1" applyAlignment="1">
      <alignment vertical="center"/>
    </xf>
    <xf numFmtId="0" fontId="34" fillId="0" borderId="0" xfId="0" applyFont="1" applyAlignment="1">
      <alignment horizontal="right" vertical="center"/>
    </xf>
    <xf numFmtId="0" fontId="34" fillId="0" borderId="3"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vertical="center"/>
    </xf>
    <xf numFmtId="3" fontId="35" fillId="0" borderId="0" xfId="0" applyNumberFormat="1" applyFont="1" applyAlignment="1">
      <alignment vertical="center"/>
    </xf>
    <xf numFmtId="3" fontId="30" fillId="0" borderId="3" xfId="0" applyNumberFormat="1" applyFont="1" applyBorder="1" applyAlignment="1">
      <alignment vertical="center"/>
    </xf>
    <xf numFmtId="3" fontId="35" fillId="0" borderId="3" xfId="0" applyNumberFormat="1" applyFont="1" applyBorder="1" applyAlignment="1">
      <alignment vertical="center"/>
    </xf>
    <xf numFmtId="0" fontId="14" fillId="0" borderId="0" xfId="0" applyFont="1" applyAlignment="1">
      <alignment vertical="center"/>
    </xf>
    <xf numFmtId="3" fontId="14" fillId="0" borderId="0" xfId="0" applyNumberFormat="1" applyFont="1" applyAlignment="1">
      <alignment horizontal="right" vertical="center"/>
    </xf>
    <xf numFmtId="3" fontId="36" fillId="0" borderId="0" xfId="0" applyNumberFormat="1" applyFont="1" applyAlignment="1">
      <alignment horizontal="right" vertical="center"/>
    </xf>
    <xf numFmtId="3" fontId="14" fillId="10" borderId="0" xfId="0" applyNumberFormat="1" applyFont="1" applyFill="1" applyAlignment="1">
      <alignment horizontal="right" vertical="center"/>
    </xf>
    <xf numFmtId="3" fontId="14" fillId="0" borderId="3" xfId="0" applyNumberFormat="1" applyFont="1" applyBorder="1" applyAlignment="1">
      <alignment horizontal="right" vertical="center"/>
    </xf>
    <xf numFmtId="3" fontId="36" fillId="0" borderId="3" xfId="0" applyNumberFormat="1" applyFont="1" applyBorder="1" applyAlignment="1">
      <alignment horizontal="right" vertical="center"/>
    </xf>
    <xf numFmtId="3" fontId="14" fillId="10" borderId="3" xfId="0" applyNumberFormat="1" applyFont="1" applyFill="1" applyBorder="1" applyAlignment="1">
      <alignment horizontal="right" vertical="center"/>
    </xf>
    <xf numFmtId="3" fontId="14" fillId="4" borderId="3" xfId="0" applyNumberFormat="1" applyFont="1" applyFill="1" applyBorder="1" applyAlignment="1">
      <alignment horizontal="right" vertical="center"/>
    </xf>
    <xf numFmtId="3" fontId="14" fillId="0" borderId="0" xfId="0" quotePrefix="1" applyNumberFormat="1" applyFont="1" applyAlignment="1">
      <alignment horizontal="right" vertical="center"/>
    </xf>
    <xf numFmtId="3" fontId="36" fillId="0" borderId="0" xfId="0" quotePrefix="1" applyNumberFormat="1" applyFont="1" applyAlignment="1">
      <alignment horizontal="right" vertical="center"/>
    </xf>
    <xf numFmtId="3" fontId="14" fillId="10" borderId="0" xfId="0" quotePrefix="1" applyNumberFormat="1" applyFont="1" applyFill="1" applyAlignment="1">
      <alignment horizontal="right" vertical="center"/>
    </xf>
    <xf numFmtId="3" fontId="14" fillId="0" borderId="3" xfId="0" quotePrefix="1" applyNumberFormat="1" applyFont="1" applyBorder="1" applyAlignment="1">
      <alignment horizontal="right" vertical="center"/>
    </xf>
    <xf numFmtId="3" fontId="36" fillId="0" borderId="3" xfId="0" quotePrefix="1" applyNumberFormat="1" applyFont="1" applyBorder="1" applyAlignment="1">
      <alignment horizontal="right" vertical="center"/>
    </xf>
    <xf numFmtId="3" fontId="14" fillId="10" borderId="3" xfId="0" quotePrefix="1" applyNumberFormat="1" applyFont="1" applyFill="1" applyBorder="1" applyAlignment="1">
      <alignment horizontal="right" vertical="center"/>
    </xf>
    <xf numFmtId="3" fontId="14" fillId="4" borderId="3" xfId="0" quotePrefix="1" applyNumberFormat="1" applyFont="1" applyFill="1" applyBorder="1" applyAlignment="1">
      <alignment horizontal="right" vertical="center"/>
    </xf>
    <xf numFmtId="3" fontId="37" fillId="0" borderId="0" xfId="0" applyNumberFormat="1" applyFont="1" applyAlignment="1">
      <alignment vertical="center"/>
    </xf>
    <xf numFmtId="0" fontId="34" fillId="9" borderId="0" xfId="0" applyFont="1" applyFill="1" applyAlignment="1">
      <alignment vertical="center"/>
    </xf>
    <xf numFmtId="3" fontId="34" fillId="9" borderId="0" xfId="0" applyNumberFormat="1" applyFont="1" applyFill="1" applyAlignment="1">
      <alignment vertical="center"/>
    </xf>
    <xf numFmtId="9" fontId="30" fillId="0" borderId="0" xfId="0" applyNumberFormat="1" applyFont="1"/>
    <xf numFmtId="3" fontId="34" fillId="9" borderId="3" xfId="0" applyNumberFormat="1" applyFont="1" applyFill="1" applyBorder="1" applyAlignment="1">
      <alignment vertical="center"/>
    </xf>
    <xf numFmtId="3" fontId="38" fillId="9" borderId="0" xfId="0" applyNumberFormat="1" applyFont="1" applyFill="1" applyAlignment="1">
      <alignment vertical="center"/>
    </xf>
    <xf numFmtId="3" fontId="38" fillId="9" borderId="3" xfId="0" applyNumberFormat="1" applyFont="1" applyFill="1" applyBorder="1" applyAlignment="1">
      <alignment vertical="center"/>
    </xf>
    <xf numFmtId="3" fontId="34" fillId="0" borderId="0" xfId="0" applyNumberFormat="1" applyFont="1" applyAlignment="1">
      <alignment vertical="center"/>
    </xf>
    <xf numFmtId="3" fontId="34" fillId="0" borderId="3" xfId="0" applyNumberFormat="1" applyFont="1" applyBorder="1" applyAlignment="1">
      <alignment vertical="center"/>
    </xf>
    <xf numFmtId="168" fontId="34" fillId="0" borderId="3" xfId="0" applyNumberFormat="1" applyFont="1" applyBorder="1" applyAlignment="1">
      <alignment vertical="center"/>
    </xf>
    <xf numFmtId="168" fontId="34" fillId="0" borderId="0" xfId="0" applyNumberFormat="1" applyFont="1" applyAlignment="1">
      <alignmen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34" fillId="0" borderId="5" xfId="0" applyFont="1" applyBorder="1" applyAlignment="1">
      <alignment horizontal="right" vertical="center"/>
    </xf>
    <xf numFmtId="167" fontId="30" fillId="0" borderId="0" xfId="0" applyNumberFormat="1" applyFont="1" applyAlignment="1">
      <alignment vertical="center"/>
    </xf>
    <xf numFmtId="167" fontId="30" fillId="0" borderId="3" xfId="0" applyNumberFormat="1" applyFont="1" applyBorder="1" applyAlignment="1">
      <alignment vertical="center"/>
    </xf>
    <xf numFmtId="3" fontId="30" fillId="4" borderId="0" xfId="0" applyNumberFormat="1" applyFont="1" applyFill="1" applyAlignment="1">
      <alignment vertical="center"/>
    </xf>
    <xf numFmtId="169" fontId="30" fillId="0" borderId="0" xfId="0" applyNumberFormat="1" applyFont="1"/>
    <xf numFmtId="170" fontId="30" fillId="0" borderId="0" xfId="0" applyNumberFormat="1" applyFont="1"/>
    <xf numFmtId="9" fontId="14" fillId="0" borderId="0" xfId="0" applyNumberFormat="1" applyFont="1" applyAlignment="1">
      <alignment vertical="center"/>
    </xf>
    <xf numFmtId="9" fontId="14" fillId="4" borderId="0" xfId="0" applyNumberFormat="1" applyFont="1" applyFill="1" applyAlignment="1">
      <alignment vertical="center"/>
    </xf>
    <xf numFmtId="9" fontId="34" fillId="0" borderId="0" xfId="0" applyNumberFormat="1" applyFont="1" applyAlignment="1">
      <alignment vertical="center"/>
    </xf>
    <xf numFmtId="0" fontId="30" fillId="4" borderId="0" xfId="0" applyFont="1" applyFill="1" applyAlignment="1">
      <alignment vertical="center"/>
    </xf>
    <xf numFmtId="3" fontId="35" fillId="4" borderId="0" xfId="0" applyNumberFormat="1" applyFont="1" applyFill="1" applyAlignment="1">
      <alignment vertical="center"/>
    </xf>
    <xf numFmtId="3" fontId="30" fillId="4" borderId="3" xfId="0" applyNumberFormat="1" applyFont="1" applyFill="1" applyBorder="1" applyAlignment="1">
      <alignment vertical="center"/>
    </xf>
    <xf numFmtId="3" fontId="35" fillId="4" borderId="7" xfId="0" applyNumberFormat="1" applyFont="1" applyFill="1" applyBorder="1" applyAlignment="1">
      <alignment vertical="center"/>
    </xf>
    <xf numFmtId="3" fontId="35" fillId="4" borderId="3" xfId="0" applyNumberFormat="1" applyFont="1" applyFill="1" applyBorder="1" applyAlignment="1">
      <alignment vertical="center"/>
    </xf>
    <xf numFmtId="166" fontId="30" fillId="9" borderId="0" xfId="0" applyNumberFormat="1" applyFont="1" applyFill="1" applyAlignment="1">
      <alignment vertical="center"/>
    </xf>
    <xf numFmtId="166" fontId="30" fillId="9" borderId="3" xfId="0" applyNumberFormat="1" applyFont="1" applyFill="1" applyBorder="1" applyAlignment="1">
      <alignment vertical="center"/>
    </xf>
    <xf numFmtId="166" fontId="30" fillId="0" borderId="0" xfId="0" applyNumberFormat="1" applyFont="1" applyAlignment="1">
      <alignment horizontal="right" vertical="center"/>
    </xf>
    <xf numFmtId="166" fontId="30" fillId="0" borderId="3" xfId="0" applyNumberFormat="1" applyFont="1" applyBorder="1" applyAlignment="1">
      <alignment horizontal="right" vertical="center"/>
    </xf>
    <xf numFmtId="0" fontId="30" fillId="0" borderId="0" xfId="0" applyFont="1" applyAlignment="1">
      <alignment horizontal="right" vertical="center"/>
    </xf>
    <xf numFmtId="3" fontId="30" fillId="0" borderId="0" xfId="0" applyNumberFormat="1" applyFont="1" applyAlignment="1">
      <alignment horizontal="right" vertical="center"/>
    </xf>
    <xf numFmtId="0" fontId="30" fillId="0" borderId="3" xfId="0" applyFont="1" applyBorder="1" applyAlignment="1">
      <alignment horizontal="right" vertical="center"/>
    </xf>
    <xf numFmtId="0" fontId="30" fillId="0" borderId="0" xfId="0" applyFont="1" applyAlignment="1">
      <alignment vertical="top" wrapText="1"/>
    </xf>
    <xf numFmtId="166" fontId="30" fillId="4" borderId="0" xfId="0" applyNumberFormat="1" applyFont="1" applyFill="1" applyAlignment="1">
      <alignment horizontal="right" vertical="center"/>
    </xf>
    <xf numFmtId="166" fontId="30" fillId="4" borderId="3" xfId="0" applyNumberFormat="1" applyFont="1" applyFill="1" applyBorder="1" applyAlignment="1">
      <alignment horizontal="right" vertical="center"/>
    </xf>
    <xf numFmtId="166" fontId="35" fillId="4" borderId="0" xfId="0" applyNumberFormat="1" applyFont="1" applyFill="1" applyAlignment="1">
      <alignment horizontal="right" vertical="center"/>
    </xf>
    <xf numFmtId="166" fontId="35" fillId="4" borderId="7" xfId="0" applyNumberFormat="1" applyFont="1" applyFill="1" applyBorder="1" applyAlignment="1">
      <alignment horizontal="right" vertical="center"/>
    </xf>
    <xf numFmtId="166" fontId="35" fillId="4" borderId="3" xfId="0" applyNumberFormat="1" applyFont="1" applyFill="1" applyBorder="1" applyAlignment="1">
      <alignment horizontal="right" vertical="center"/>
    </xf>
    <xf numFmtId="166" fontId="30" fillId="4" borderId="3" xfId="0" quotePrefix="1" applyNumberFormat="1" applyFont="1" applyFill="1" applyBorder="1" applyAlignment="1">
      <alignment horizontal="right" vertical="center"/>
    </xf>
    <xf numFmtId="166" fontId="34" fillId="9" borderId="0" xfId="0" applyNumberFormat="1" applyFont="1" applyFill="1" applyAlignment="1">
      <alignment vertical="center"/>
    </xf>
    <xf numFmtId="166" fontId="30" fillId="0" borderId="0" xfId="0" applyNumberFormat="1" applyFont="1"/>
    <xf numFmtId="166" fontId="34" fillId="9" borderId="3" xfId="0" applyNumberFormat="1" applyFont="1" applyFill="1" applyBorder="1" applyAlignment="1">
      <alignment vertical="center"/>
    </xf>
    <xf numFmtId="166" fontId="34" fillId="9" borderId="0" xfId="0" applyNumberFormat="1" applyFont="1" applyFill="1" applyAlignment="1">
      <alignment horizontal="right" vertical="center"/>
    </xf>
    <xf numFmtId="0" fontId="34" fillId="4" borderId="0" xfId="0" applyFont="1" applyFill="1" applyAlignment="1">
      <alignment vertical="center"/>
    </xf>
    <xf numFmtId="166" fontId="30" fillId="4" borderId="0" xfId="0" applyNumberFormat="1" applyFont="1" applyFill="1" applyAlignment="1">
      <alignment vertical="center"/>
    </xf>
    <xf numFmtId="166" fontId="34" fillId="4" borderId="0" xfId="0" applyNumberFormat="1" applyFont="1" applyFill="1" applyAlignment="1">
      <alignment vertical="center"/>
    </xf>
    <xf numFmtId="166" fontId="30" fillId="4" borderId="0" xfId="0" applyNumberFormat="1" applyFont="1" applyFill="1"/>
    <xf numFmtId="166" fontId="30" fillId="4" borderId="3" xfId="0" applyNumberFormat="1" applyFont="1" applyFill="1" applyBorder="1" applyAlignment="1">
      <alignment vertical="center"/>
    </xf>
    <xf numFmtId="166" fontId="34" fillId="4" borderId="3" xfId="0" applyNumberFormat="1" applyFont="1" applyFill="1" applyBorder="1" applyAlignment="1">
      <alignment vertical="center"/>
    </xf>
    <xf numFmtId="3" fontId="34" fillId="0" borderId="0" xfId="0" applyNumberFormat="1" applyFont="1" applyAlignment="1">
      <alignment horizontal="right" vertical="center"/>
    </xf>
    <xf numFmtId="3" fontId="34" fillId="0" borderId="3" xfId="0" applyNumberFormat="1" applyFont="1" applyBorder="1" applyAlignment="1">
      <alignment horizontal="right" vertical="center"/>
    </xf>
    <xf numFmtId="166" fontId="34" fillId="0" borderId="0" xfId="0" applyNumberFormat="1" applyFont="1" applyAlignment="1">
      <alignment horizontal="right" vertical="center"/>
    </xf>
    <xf numFmtId="166" fontId="35" fillId="0" borderId="0" xfId="0" applyNumberFormat="1" applyFont="1" applyAlignment="1">
      <alignment horizontal="right" vertical="center"/>
    </xf>
    <xf numFmtId="166" fontId="35" fillId="0" borderId="7" xfId="0" applyNumberFormat="1" applyFont="1" applyBorder="1" applyAlignment="1">
      <alignment horizontal="right" vertical="center"/>
    </xf>
    <xf numFmtId="166" fontId="30" fillId="0" borderId="0" xfId="0" quotePrefix="1" applyNumberFormat="1" applyFont="1" applyAlignment="1">
      <alignment horizontal="right" vertical="center"/>
    </xf>
    <xf numFmtId="166" fontId="35" fillId="0" borderId="0" xfId="0" quotePrefix="1" applyNumberFormat="1" applyFont="1" applyAlignment="1">
      <alignment horizontal="right" vertical="center"/>
    </xf>
    <xf numFmtId="166" fontId="30" fillId="0" borderId="3" xfId="0" quotePrefix="1" applyNumberFormat="1" applyFont="1" applyBorder="1" applyAlignment="1">
      <alignment horizontal="right" vertical="center"/>
    </xf>
    <xf numFmtId="166" fontId="35" fillId="0" borderId="3" xfId="0" quotePrefix="1" applyNumberFormat="1" applyFont="1" applyBorder="1" applyAlignment="1">
      <alignment horizontal="right" vertical="center"/>
    </xf>
    <xf numFmtId="166" fontId="34" fillId="0" borderId="0" xfId="0" applyNumberFormat="1" applyFont="1" applyAlignment="1">
      <alignment vertical="center"/>
    </xf>
    <xf numFmtId="166" fontId="34" fillId="0" borderId="3" xfId="0" applyNumberFormat="1" applyFont="1" applyBorder="1" applyAlignment="1">
      <alignment vertical="center"/>
    </xf>
    <xf numFmtId="0" fontId="30" fillId="4" borderId="0" xfId="0" applyFont="1" applyFill="1" applyAlignment="1">
      <alignment horizontal="right" vertical="center"/>
    </xf>
    <xf numFmtId="0" fontId="30" fillId="0" borderId="0" xfId="0" quotePrefix="1" applyFont="1" applyAlignment="1">
      <alignment horizontal="right" vertical="center"/>
    </xf>
    <xf numFmtId="3" fontId="30" fillId="0" borderId="0" xfId="0" applyNumberFormat="1" applyFont="1" applyAlignment="1">
      <alignment wrapText="1"/>
    </xf>
    <xf numFmtId="3" fontId="34" fillId="9" borderId="0" xfId="0" applyNumberFormat="1" applyFont="1" applyFill="1" applyAlignment="1">
      <alignment horizontal="right" vertical="center"/>
    </xf>
    <xf numFmtId="0" fontId="30" fillId="0" borderId="0" xfId="0" applyFont="1" applyAlignment="1">
      <alignment horizontal="right"/>
    </xf>
    <xf numFmtId="166" fontId="30" fillId="0" borderId="0" xfId="0" applyNumberFormat="1" applyFont="1" applyAlignment="1">
      <alignment horizontal="right"/>
    </xf>
    <xf numFmtId="170" fontId="34" fillId="0" borderId="0" xfId="0" applyNumberFormat="1" applyFont="1" applyAlignment="1">
      <alignment vertical="center"/>
    </xf>
    <xf numFmtId="9" fontId="30" fillId="0" borderId="0" xfId="0" applyNumberFormat="1" applyFont="1" applyAlignment="1">
      <alignment horizontal="right" vertical="center"/>
    </xf>
    <xf numFmtId="166" fontId="35" fillId="0" borderId="3" xfId="0" applyNumberFormat="1" applyFont="1" applyBorder="1" applyAlignment="1">
      <alignment horizontal="right" vertical="center"/>
    </xf>
    <xf numFmtId="166" fontId="34" fillId="0" borderId="0" xfId="0" applyNumberFormat="1" applyFont="1"/>
    <xf numFmtId="9" fontId="34" fillId="9" borderId="0" xfId="0" applyNumberFormat="1" applyFont="1" applyFill="1" applyAlignment="1">
      <alignment horizontal="right" vertical="center"/>
    </xf>
    <xf numFmtId="0" fontId="30" fillId="0" borderId="0" xfId="0" applyFont="1" applyAlignment="1">
      <alignment horizontal="right" vertical="center" wrapText="1"/>
    </xf>
    <xf numFmtId="0" fontId="30" fillId="0" borderId="0" xfId="0" applyFont="1" applyAlignment="1">
      <alignment vertical="center" wrapText="1"/>
    </xf>
    <xf numFmtId="0" fontId="30" fillId="0" borderId="0" xfId="0" applyFont="1" applyAlignment="1">
      <alignment wrapText="1"/>
    </xf>
    <xf numFmtId="0" fontId="30" fillId="0" borderId="3" xfId="0" applyFont="1" applyBorder="1" applyAlignment="1">
      <alignment vertical="center" wrapText="1"/>
    </xf>
    <xf numFmtId="1" fontId="30" fillId="0" borderId="0" xfId="0" applyNumberFormat="1" applyFont="1" applyAlignment="1">
      <alignment vertical="center" wrapText="1"/>
    </xf>
    <xf numFmtId="1" fontId="30" fillId="0" borderId="0" xfId="0" applyNumberFormat="1" applyFont="1" applyAlignment="1">
      <alignment horizontal="right" vertical="center"/>
    </xf>
    <xf numFmtId="9" fontId="30" fillId="4" borderId="0" xfId="0" applyNumberFormat="1" applyFont="1" applyFill="1" applyAlignment="1">
      <alignment vertical="center"/>
    </xf>
    <xf numFmtId="9" fontId="30" fillId="0" borderId="0" xfId="0" applyNumberFormat="1" applyFont="1" applyAlignment="1">
      <alignment vertical="center"/>
    </xf>
    <xf numFmtId="9" fontId="35" fillId="0" borderId="0" xfId="0" applyNumberFormat="1" applyFont="1" applyAlignment="1">
      <alignment vertical="center"/>
    </xf>
    <xf numFmtId="9" fontId="30" fillId="0" borderId="3" xfId="0" applyNumberFormat="1" applyFont="1" applyBorder="1" applyAlignment="1">
      <alignment vertical="center"/>
    </xf>
    <xf numFmtId="9" fontId="35" fillId="0" borderId="7" xfId="0" applyNumberFormat="1" applyFont="1" applyBorder="1" applyAlignment="1">
      <alignment vertical="center"/>
    </xf>
    <xf numFmtId="9" fontId="30" fillId="0" borderId="7" xfId="0" applyNumberFormat="1" applyFont="1" applyBorder="1" applyAlignment="1">
      <alignment vertical="center"/>
    </xf>
    <xf numFmtId="9" fontId="35" fillId="0" borderId="3" xfId="0" applyNumberFormat="1" applyFont="1" applyBorder="1" applyAlignment="1">
      <alignment vertical="center"/>
    </xf>
    <xf numFmtId="9" fontId="30" fillId="4" borderId="3" xfId="0" quotePrefix="1" applyNumberFormat="1" applyFont="1" applyFill="1" applyBorder="1" applyAlignment="1">
      <alignment horizontal="right" vertical="center"/>
    </xf>
    <xf numFmtId="9" fontId="30" fillId="10" borderId="0" xfId="0" applyNumberFormat="1" applyFont="1" applyFill="1" applyAlignment="1">
      <alignment vertical="center"/>
    </xf>
    <xf numFmtId="9" fontId="30" fillId="10" borderId="3" xfId="0" applyNumberFormat="1" applyFont="1" applyFill="1" applyBorder="1" applyAlignment="1">
      <alignment vertical="center"/>
    </xf>
    <xf numFmtId="9" fontId="30" fillId="0" borderId="8" xfId="0" applyNumberFormat="1" applyFont="1" applyBorder="1" applyAlignment="1">
      <alignment vertical="center"/>
    </xf>
    <xf numFmtId="9" fontId="30" fillId="4" borderId="3" xfId="0" applyNumberFormat="1" applyFont="1" applyFill="1" applyBorder="1" applyAlignment="1">
      <alignment vertical="center"/>
    </xf>
    <xf numFmtId="3" fontId="30" fillId="10" borderId="0" xfId="0" applyNumberFormat="1" applyFont="1" applyFill="1" applyAlignment="1">
      <alignment vertical="center"/>
    </xf>
    <xf numFmtId="3" fontId="30" fillId="10" borderId="3" xfId="0" applyNumberFormat="1" applyFont="1" applyFill="1" applyBorder="1" applyAlignment="1">
      <alignment vertical="center"/>
    </xf>
    <xf numFmtId="3" fontId="30" fillId="4" borderId="0" xfId="0" applyNumberFormat="1" applyFont="1" applyFill="1"/>
    <xf numFmtId="3" fontId="35" fillId="0" borderId="0" xfId="0" applyNumberFormat="1" applyFont="1"/>
    <xf numFmtId="3" fontId="30" fillId="10" borderId="0" xfId="0" applyNumberFormat="1" applyFont="1" applyFill="1"/>
    <xf numFmtId="3" fontId="30" fillId="0" borderId="3" xfId="0" applyNumberFormat="1" applyFont="1" applyBorder="1"/>
    <xf numFmtId="3" fontId="35" fillId="0" borderId="3" xfId="0" applyNumberFormat="1" applyFont="1" applyBorder="1"/>
    <xf numFmtId="3" fontId="30" fillId="10" borderId="3" xfId="0" applyNumberFormat="1" applyFont="1" applyFill="1" applyBorder="1"/>
    <xf numFmtId="3" fontId="30" fillId="4" borderId="3" xfId="0" applyNumberFormat="1" applyFont="1" applyFill="1" applyBorder="1"/>
    <xf numFmtId="10" fontId="30" fillId="0" borderId="0" xfId="0" applyNumberFormat="1" applyFont="1"/>
    <xf numFmtId="171" fontId="30" fillId="0" borderId="0" xfId="0" applyNumberFormat="1" applyFont="1"/>
    <xf numFmtId="9" fontId="30" fillId="0" borderId="3" xfId="0" applyNumberFormat="1" applyFont="1" applyBorder="1"/>
    <xf numFmtId="9" fontId="30" fillId="10" borderId="0" xfId="0" applyNumberFormat="1" applyFont="1" applyFill="1"/>
    <xf numFmtId="9" fontId="30" fillId="0" borderId="7" xfId="0" applyNumberFormat="1" applyFont="1" applyBorder="1"/>
    <xf numFmtId="3" fontId="35" fillId="0" borderId="7" xfId="0" applyNumberFormat="1" applyFont="1" applyBorder="1" applyAlignment="1">
      <alignment vertical="center"/>
    </xf>
    <xf numFmtId="3" fontId="30" fillId="9" borderId="0" xfId="0" applyNumberFormat="1" applyFont="1" applyFill="1" applyAlignment="1">
      <alignment vertical="center"/>
    </xf>
    <xf numFmtId="3" fontId="30" fillId="9" borderId="3" xfId="0" applyNumberFormat="1" applyFont="1" applyFill="1" applyBorder="1" applyAlignment="1">
      <alignment vertical="center"/>
    </xf>
    <xf numFmtId="1" fontId="30" fillId="0" borderId="0" xfId="0" applyNumberFormat="1" applyFont="1"/>
    <xf numFmtId="1" fontId="30" fillId="0" borderId="3" xfId="0" applyNumberFormat="1" applyFont="1" applyBorder="1"/>
    <xf numFmtId="0" fontId="30" fillId="4" borderId="0" xfId="0" applyFont="1" applyFill="1"/>
    <xf numFmtId="167" fontId="30" fillId="4" borderId="0" xfId="0" applyNumberFormat="1" applyFont="1" applyFill="1" applyAlignment="1">
      <alignment vertical="center"/>
    </xf>
    <xf numFmtId="167" fontId="30" fillId="4" borderId="3" xfId="0" applyNumberFormat="1" applyFont="1" applyFill="1" applyBorder="1" applyAlignment="1">
      <alignment vertical="center"/>
    </xf>
    <xf numFmtId="167" fontId="30" fillId="4" borderId="8" xfId="0" applyNumberFormat="1" applyFont="1" applyFill="1" applyBorder="1" applyAlignment="1">
      <alignment vertical="center"/>
    </xf>
    <xf numFmtId="167" fontId="30" fillId="9" borderId="0" xfId="0" applyNumberFormat="1" applyFont="1" applyFill="1" applyAlignment="1">
      <alignment vertical="center"/>
    </xf>
    <xf numFmtId="167" fontId="30" fillId="9" borderId="3" xfId="0" applyNumberFormat="1" applyFont="1" applyFill="1" applyBorder="1" applyAlignment="1">
      <alignment vertical="center"/>
    </xf>
    <xf numFmtId="0" fontId="30" fillId="0" borderId="0" xfId="0" quotePrefix="1" applyFont="1"/>
    <xf numFmtId="172" fontId="30" fillId="0" borderId="0" xfId="0" applyNumberFormat="1" applyFont="1"/>
    <xf numFmtId="172" fontId="30" fillId="0" borderId="3" xfId="0" applyNumberFormat="1" applyFont="1" applyBorder="1"/>
    <xf numFmtId="0" fontId="25" fillId="0" borderId="0" xfId="0" applyFont="1"/>
    <xf numFmtId="0" fontId="39" fillId="0" borderId="0" xfId="0" applyFont="1"/>
    <xf numFmtId="0" fontId="25" fillId="0" borderId="3" xfId="0" applyFont="1" applyBorder="1"/>
    <xf numFmtId="0" fontId="28" fillId="0" borderId="0" xfId="0" applyFont="1"/>
    <xf numFmtId="0" fontId="24" fillId="0" borderId="0" xfId="0" applyFont="1" applyAlignment="1">
      <alignment horizontal="center"/>
    </xf>
    <xf numFmtId="0" fontId="24" fillId="0" borderId="0" xfId="0" applyFont="1" applyAlignment="1">
      <alignment horizontal="right"/>
    </xf>
    <xf numFmtId="0" fontId="24" fillId="0" borderId="3" xfId="0" applyFont="1" applyBorder="1" applyAlignment="1">
      <alignment horizontal="right"/>
    </xf>
    <xf numFmtId="0" fontId="40" fillId="0" borderId="0" xfId="0" applyFont="1" applyAlignment="1">
      <alignment horizontal="left" vertical="top"/>
    </xf>
    <xf numFmtId="0" fontId="28" fillId="9" borderId="0" xfId="0" applyFont="1" applyFill="1"/>
    <xf numFmtId="3" fontId="24" fillId="9" borderId="0" xfId="0" applyNumberFormat="1" applyFont="1" applyFill="1"/>
    <xf numFmtId="3" fontId="24" fillId="0" borderId="0" xfId="0" applyNumberFormat="1" applyFont="1"/>
    <xf numFmtId="3" fontId="24" fillId="9" borderId="3" xfId="0" applyNumberFormat="1" applyFont="1" applyFill="1" applyBorder="1"/>
    <xf numFmtId="3" fontId="25" fillId="0" borderId="0" xfId="0" applyNumberFormat="1" applyFont="1"/>
    <xf numFmtId="3" fontId="25" fillId="0" borderId="3" xfId="0" applyNumberFormat="1" applyFont="1" applyBorder="1"/>
    <xf numFmtId="3" fontId="41" fillId="9" borderId="0" xfId="0" applyNumberFormat="1" applyFont="1" applyFill="1"/>
    <xf numFmtId="3" fontId="41" fillId="9" borderId="3" xfId="0" applyNumberFormat="1" applyFont="1" applyFill="1" applyBorder="1"/>
    <xf numFmtId="3" fontId="42" fillId="0" borderId="0" xfId="0" applyNumberFormat="1" applyFont="1"/>
    <xf numFmtId="3" fontId="42" fillId="0" borderId="3" xfId="0" applyNumberFormat="1" applyFont="1" applyBorder="1"/>
    <xf numFmtId="0" fontId="25" fillId="0" borderId="4" xfId="0" applyFont="1" applyBorder="1"/>
    <xf numFmtId="0" fontId="28" fillId="0" borderId="4" xfId="0" applyFont="1" applyBorder="1"/>
    <xf numFmtId="0" fontId="24" fillId="0" borderId="0" xfId="0" applyFont="1"/>
    <xf numFmtId="3" fontId="24" fillId="9" borderId="9" xfId="0" applyNumberFormat="1" applyFont="1" applyFill="1" applyBorder="1"/>
    <xf numFmtId="9" fontId="25" fillId="0" borderId="0" xfId="0" applyNumberFormat="1" applyFont="1"/>
    <xf numFmtId="9" fontId="25" fillId="0" borderId="9" xfId="0" applyNumberFormat="1" applyFont="1" applyBorder="1"/>
    <xf numFmtId="9" fontId="25" fillId="0" borderId="3" xfId="0" applyNumberFormat="1" applyFont="1" applyBorder="1"/>
    <xf numFmtId="9" fontId="31" fillId="0" borderId="3" xfId="0" applyNumberFormat="1" applyFont="1" applyBorder="1"/>
    <xf numFmtId="3" fontId="25" fillId="0" borderId="9" xfId="0" applyNumberFormat="1" applyFont="1" applyBorder="1"/>
    <xf numFmtId="9" fontId="31" fillId="0" borderId="0" xfId="0" applyNumberFormat="1" applyFont="1"/>
    <xf numFmtId="9" fontId="42" fillId="0" borderId="9" xfId="0" applyNumberFormat="1" applyFont="1" applyBorder="1"/>
    <xf numFmtId="9" fontId="42" fillId="0" borderId="0" xfId="0" applyNumberFormat="1" applyFont="1"/>
    <xf numFmtId="9" fontId="42" fillId="0" borderId="3" xfId="0" applyNumberFormat="1" applyFont="1" applyBorder="1"/>
    <xf numFmtId="0" fontId="25" fillId="0" borderId="9" xfId="0" applyFont="1" applyBorder="1"/>
    <xf numFmtId="0" fontId="24" fillId="0" borderId="4" xfId="0" applyFont="1" applyBorder="1" applyAlignment="1">
      <alignment wrapText="1"/>
    </xf>
    <xf numFmtId="0" fontId="24" fillId="0" borderId="4" xfId="0" applyFont="1" applyBorder="1" applyAlignment="1">
      <alignment horizontal="right"/>
    </xf>
    <xf numFmtId="0" fontId="24" fillId="0" borderId="4" xfId="0" applyFont="1" applyBorder="1" applyAlignment="1">
      <alignment horizontal="center"/>
    </xf>
    <xf numFmtId="0" fontId="24" fillId="0" borderId="4" xfId="0" applyFont="1" applyBorder="1" applyAlignment="1">
      <alignment horizontal="right" wrapText="1"/>
    </xf>
    <xf numFmtId="170" fontId="24" fillId="0" borderId="0" xfId="0" applyNumberFormat="1" applyFont="1"/>
    <xf numFmtId="170" fontId="24" fillId="0" borderId="0" xfId="0" applyNumberFormat="1" applyFont="1" applyAlignment="1">
      <alignment horizontal="right"/>
    </xf>
    <xf numFmtId="170" fontId="40" fillId="0" borderId="0" xfId="0" applyNumberFormat="1" applyFont="1"/>
    <xf numFmtId="170" fontId="25" fillId="0" borderId="0" xfId="0" applyNumberFormat="1" applyFont="1"/>
    <xf numFmtId="170" fontId="43" fillId="0" borderId="0" xfId="0" applyNumberFormat="1" applyFont="1"/>
    <xf numFmtId="9" fontId="24" fillId="0" borderId="0" xfId="0" applyNumberFormat="1" applyFont="1"/>
    <xf numFmtId="0" fontId="40" fillId="0" borderId="0" xfId="0" applyFont="1"/>
    <xf numFmtId="0" fontId="25" fillId="0" borderId="7" xfId="0" applyFont="1" applyBorder="1"/>
    <xf numFmtId="0" fontId="44" fillId="3" borderId="0" xfId="0" applyFont="1" applyFill="1"/>
    <xf numFmtId="0" fontId="45" fillId="3" borderId="0" xfId="0" applyFont="1" applyFill="1"/>
    <xf numFmtId="3" fontId="16" fillId="0" borderId="0" xfId="0" applyNumberFormat="1" applyFont="1" applyAlignment="1" applyProtection="1">
      <alignment vertical="top" wrapText="1"/>
      <protection locked="0"/>
    </xf>
    <xf numFmtId="0" fontId="45" fillId="3" borderId="3" xfId="0" applyFont="1" applyFill="1" applyBorder="1"/>
    <xf numFmtId="0" fontId="16" fillId="0" borderId="0" xfId="0" applyFont="1" applyAlignment="1">
      <alignment horizontal="right" vertical="center"/>
    </xf>
    <xf numFmtId="0" fontId="16" fillId="0" borderId="3" xfId="0" applyFont="1" applyBorder="1" applyAlignment="1">
      <alignment horizontal="right" vertical="center"/>
    </xf>
    <xf numFmtId="0" fontId="16" fillId="0" borderId="10" xfId="0" applyFont="1" applyBorder="1" applyAlignment="1">
      <alignment horizontal="left" vertical="center"/>
    </xf>
    <xf numFmtId="0" fontId="16" fillId="0" borderId="10" xfId="0" applyFont="1" applyBorder="1" applyAlignment="1">
      <alignment horizontal="center"/>
    </xf>
    <xf numFmtId="0" fontId="16" fillId="0" borderId="10" xfId="0" applyFont="1" applyBorder="1" applyAlignment="1">
      <alignment horizontal="right"/>
    </xf>
    <xf numFmtId="0" fontId="17" fillId="0" borderId="10" xfId="0" applyFont="1" applyBorder="1"/>
    <xf numFmtId="0" fontId="46" fillId="0" borderId="10" xfId="0" applyFont="1" applyBorder="1" applyAlignment="1">
      <alignment horizontal="right" vertical="center"/>
    </xf>
    <xf numFmtId="0" fontId="46" fillId="0" borderId="11" xfId="0" applyFont="1" applyBorder="1" applyAlignment="1">
      <alignment horizontal="right" vertical="center"/>
    </xf>
    <xf numFmtId="0" fontId="17" fillId="0" borderId="0" xfId="0" applyFont="1" applyAlignment="1">
      <alignment vertical="top" wrapText="1"/>
    </xf>
    <xf numFmtId="3" fontId="17" fillId="0" borderId="0" xfId="0" applyNumberFormat="1" applyFont="1" applyAlignment="1">
      <alignment vertical="top" wrapText="1"/>
    </xf>
    <xf numFmtId="3" fontId="17" fillId="0" borderId="0" xfId="0" applyNumberFormat="1" applyFont="1" applyAlignment="1" applyProtection="1">
      <alignment vertical="top" wrapText="1"/>
      <protection locked="0"/>
    </xf>
    <xf numFmtId="3" fontId="17" fillId="0" borderId="3" xfId="0" quotePrefix="1" applyNumberFormat="1" applyFont="1" applyBorder="1" applyAlignment="1">
      <alignment vertical="top" wrapText="1"/>
    </xf>
    <xf numFmtId="3" fontId="17" fillId="0" borderId="0" xfId="0" quotePrefix="1" applyNumberFormat="1" applyFont="1" applyAlignment="1">
      <alignment vertical="top" wrapText="1"/>
    </xf>
    <xf numFmtId="0" fontId="47" fillId="0" borderId="0" xfId="0" applyFont="1" applyAlignment="1">
      <alignment vertical="top" wrapText="1"/>
    </xf>
    <xf numFmtId="3" fontId="47" fillId="0" borderId="0" xfId="0" applyNumberFormat="1" applyFont="1" applyAlignment="1">
      <alignment vertical="top" wrapText="1"/>
    </xf>
    <xf numFmtId="3" fontId="47" fillId="0" borderId="0" xfId="0" applyNumberFormat="1" applyFont="1" applyAlignment="1" applyProtection="1">
      <alignment vertical="top" wrapText="1"/>
      <protection locked="0"/>
    </xf>
    <xf numFmtId="3" fontId="48" fillId="0" borderId="0" xfId="0" applyNumberFormat="1" applyFont="1" applyAlignment="1" applyProtection="1">
      <alignment vertical="top" wrapText="1"/>
      <protection locked="0"/>
    </xf>
    <xf numFmtId="3" fontId="47" fillId="0" borderId="3" xfId="0" quotePrefix="1" applyNumberFormat="1" applyFont="1" applyBorder="1" applyAlignment="1">
      <alignment vertical="top" wrapText="1"/>
    </xf>
    <xf numFmtId="3" fontId="47" fillId="0" borderId="0" xfId="0" quotePrefix="1" applyNumberFormat="1" applyFont="1" applyAlignment="1">
      <alignment vertical="top" wrapText="1"/>
    </xf>
    <xf numFmtId="3" fontId="17" fillId="0" borderId="3" xfId="0" applyNumberFormat="1" applyFont="1" applyBorder="1" applyAlignment="1">
      <alignment vertical="top" wrapText="1"/>
    </xf>
    <xf numFmtId="0" fontId="16" fillId="9" borderId="0" xfId="0" applyFont="1" applyFill="1" applyAlignment="1">
      <alignment vertical="top" wrapText="1"/>
    </xf>
    <xf numFmtId="3" fontId="16" fillId="9" borderId="0" xfId="0" applyNumberFormat="1" applyFont="1" applyFill="1" applyAlignment="1">
      <alignment vertical="top" wrapText="1"/>
    </xf>
    <xf numFmtId="3" fontId="16" fillId="9" borderId="0" xfId="0" applyNumberFormat="1" applyFont="1" applyFill="1" applyAlignment="1" applyProtection="1">
      <alignment vertical="top" wrapText="1"/>
      <protection locked="0"/>
    </xf>
    <xf numFmtId="3" fontId="16" fillId="9" borderId="3" xfId="0" applyNumberFormat="1" applyFont="1" applyFill="1" applyBorder="1" applyAlignment="1">
      <alignment vertical="top" wrapText="1"/>
    </xf>
    <xf numFmtId="3" fontId="17" fillId="0" borderId="0" xfId="0" applyNumberFormat="1" applyFont="1" applyAlignment="1">
      <alignment horizontal="right" vertical="top" wrapText="1"/>
    </xf>
    <xf numFmtId="3" fontId="17" fillId="0" borderId="3" xfId="0" applyNumberFormat="1" applyFont="1" applyBorder="1" applyAlignment="1">
      <alignment horizontal="right" vertical="top" wrapText="1"/>
    </xf>
    <xf numFmtId="0" fontId="16" fillId="9" borderId="0" xfId="0" applyFont="1" applyFill="1" applyAlignment="1">
      <alignment vertical="top"/>
    </xf>
    <xf numFmtId="0" fontId="17" fillId="0" borderId="0" xfId="0" applyFont="1" applyAlignment="1">
      <alignment vertical="top"/>
    </xf>
    <xf numFmtId="0" fontId="49" fillId="0" borderId="0" xfId="0" applyFont="1"/>
    <xf numFmtId="0" fontId="16" fillId="0" borderId="0" xfId="0" applyFont="1" applyAlignment="1" applyProtection="1">
      <alignment vertical="top" wrapText="1"/>
      <protection locked="0"/>
    </xf>
    <xf numFmtId="3" fontId="16" fillId="0" borderId="0" xfId="0" applyNumberFormat="1" applyFont="1" applyAlignment="1" applyProtection="1">
      <alignment horizontal="right" vertical="top" wrapText="1"/>
      <protection locked="0"/>
    </xf>
    <xf numFmtId="0" fontId="16" fillId="0" borderId="0" xfId="0" applyFont="1" applyAlignment="1">
      <alignment horizontal="right" vertical="top" wrapText="1"/>
    </xf>
    <xf numFmtId="0" fontId="16" fillId="0" borderId="3" xfId="0" applyFont="1" applyBorder="1" applyAlignment="1">
      <alignment horizontal="left" vertical="top" wrapText="1"/>
    </xf>
    <xf numFmtId="0" fontId="49" fillId="0" borderId="3" xfId="0" applyFont="1" applyBorder="1"/>
    <xf numFmtId="0" fontId="17" fillId="0" borderId="0" xfId="0" applyFont="1" applyAlignment="1" applyProtection="1">
      <alignment vertical="top" wrapText="1"/>
      <protection locked="0"/>
    </xf>
    <xf numFmtId="3" fontId="17" fillId="0" borderId="0" xfId="0" applyNumberFormat="1" applyFont="1" applyAlignment="1" applyProtection="1">
      <alignment horizontal="right" vertical="top" wrapText="1"/>
      <protection locked="0"/>
    </xf>
    <xf numFmtId="3" fontId="49" fillId="0" borderId="0" xfId="0" applyNumberFormat="1" applyFont="1"/>
    <xf numFmtId="3" fontId="49" fillId="0" borderId="3" xfId="0" applyNumberFormat="1" applyFont="1" applyBorder="1"/>
    <xf numFmtId="3" fontId="17" fillId="0" borderId="0" xfId="0" applyNumberFormat="1" applyFont="1" applyAlignment="1" applyProtection="1">
      <alignment horizontal="right" wrapText="1"/>
      <protection locked="0"/>
    </xf>
    <xf numFmtId="3" fontId="17" fillId="0" borderId="0" xfId="0" applyNumberFormat="1" applyFont="1" applyAlignment="1">
      <alignment horizontal="right" wrapText="1"/>
    </xf>
    <xf numFmtId="0" fontId="16" fillId="9" borderId="0" xfId="0" applyFont="1" applyFill="1" applyAlignment="1" applyProtection="1">
      <alignment vertical="top" wrapText="1"/>
      <protection locked="0"/>
    </xf>
    <xf numFmtId="3" fontId="16" fillId="9" borderId="0" xfId="0" applyNumberFormat="1" applyFont="1" applyFill="1" applyAlignment="1" applyProtection="1">
      <alignment horizontal="right" vertical="top" wrapText="1"/>
      <protection locked="0"/>
    </xf>
    <xf numFmtId="3" fontId="16" fillId="9" borderId="3" xfId="0" applyNumberFormat="1" applyFont="1" applyFill="1" applyBorder="1" applyAlignment="1" applyProtection="1">
      <alignment horizontal="right" vertical="top" wrapText="1"/>
      <protection locked="0"/>
    </xf>
    <xf numFmtId="0" fontId="16" fillId="4" borderId="0" xfId="0" applyFont="1" applyFill="1" applyAlignment="1" applyProtection="1">
      <alignment vertical="top" wrapText="1"/>
      <protection locked="0"/>
    </xf>
    <xf numFmtId="3" fontId="16" fillId="4" borderId="0" xfId="0" applyNumberFormat="1" applyFont="1" applyFill="1" applyAlignment="1" applyProtection="1">
      <alignment horizontal="right" vertical="top" wrapText="1"/>
      <protection locked="0"/>
    </xf>
    <xf numFmtId="3" fontId="16" fillId="4" borderId="3" xfId="0" applyNumberFormat="1" applyFont="1" applyFill="1" applyBorder="1" applyAlignment="1" applyProtection="1">
      <alignment horizontal="right" vertical="top" wrapText="1"/>
      <protection locked="0"/>
    </xf>
    <xf numFmtId="3" fontId="16" fillId="0" borderId="0" xfId="0" applyNumberFormat="1" applyFont="1" applyAlignment="1">
      <alignment horizontal="right" vertical="top" wrapText="1"/>
    </xf>
    <xf numFmtId="3" fontId="17" fillId="0" borderId="0" xfId="0" applyNumberFormat="1" applyFont="1" applyAlignment="1" applyProtection="1">
      <alignment horizontal="right" vertical="center" wrapText="1"/>
      <protection locked="0"/>
    </xf>
    <xf numFmtId="3" fontId="17" fillId="0" borderId="3" xfId="0" applyNumberFormat="1" applyFont="1" applyBorder="1" applyAlignment="1" applyProtection="1">
      <alignment horizontal="right" vertical="center" wrapText="1"/>
      <protection locked="0"/>
    </xf>
    <xf numFmtId="3" fontId="49" fillId="0" borderId="0" xfId="0" applyNumberFormat="1" applyFont="1" applyAlignment="1">
      <alignment horizontal="right"/>
    </xf>
    <xf numFmtId="3" fontId="49" fillId="0" borderId="3" xfId="0" applyNumberFormat="1" applyFont="1" applyBorder="1" applyAlignment="1">
      <alignment horizontal="right"/>
    </xf>
    <xf numFmtId="3" fontId="17" fillId="0" borderId="0" xfId="0" applyNumberFormat="1" applyFont="1" applyProtection="1">
      <protection locked="0"/>
    </xf>
    <xf numFmtId="3" fontId="16" fillId="9" borderId="0" xfId="0" applyNumberFormat="1" applyFont="1" applyFill="1" applyAlignment="1">
      <alignment horizontal="right" vertical="top" wrapText="1"/>
    </xf>
    <xf numFmtId="3" fontId="16" fillId="9" borderId="3" xfId="0" applyNumberFormat="1" applyFont="1" applyFill="1" applyBorder="1" applyAlignment="1">
      <alignment horizontal="right" vertical="top" wrapText="1"/>
    </xf>
    <xf numFmtId="3" fontId="16" fillId="4" borderId="0" xfId="0" applyNumberFormat="1" applyFont="1" applyFill="1" applyAlignment="1">
      <alignment horizontal="right" vertical="top" wrapText="1"/>
    </xf>
    <xf numFmtId="3" fontId="16" fillId="4" borderId="3" xfId="0" applyNumberFormat="1" applyFont="1" applyFill="1" applyBorder="1" applyAlignment="1">
      <alignment horizontal="right" vertical="top" wrapText="1"/>
    </xf>
    <xf numFmtId="0" fontId="49" fillId="0" borderId="0" xfId="0" applyFont="1" applyAlignment="1">
      <alignment wrapText="1"/>
    </xf>
    <xf numFmtId="3" fontId="17" fillId="0" borderId="3" xfId="0" applyNumberFormat="1" applyFont="1" applyBorder="1" applyAlignment="1">
      <alignment horizontal="left" vertical="top" wrapText="1"/>
    </xf>
    <xf numFmtId="3" fontId="17" fillId="0" borderId="0" xfId="0" applyNumberFormat="1" applyFont="1"/>
    <xf numFmtId="3" fontId="17" fillId="0" borderId="3" xfId="0" applyNumberFormat="1" applyFont="1" applyBorder="1" applyAlignment="1">
      <alignment horizontal="left"/>
    </xf>
    <xf numFmtId="3" fontId="46" fillId="9" borderId="0" xfId="0" applyNumberFormat="1" applyFont="1" applyFill="1"/>
    <xf numFmtId="3" fontId="46" fillId="9" borderId="3" xfId="0" applyNumberFormat="1" applyFont="1" applyFill="1" applyBorder="1"/>
    <xf numFmtId="3" fontId="17" fillId="0" borderId="3" xfId="0" applyNumberFormat="1" applyFont="1" applyBorder="1" applyAlignment="1" applyProtection="1">
      <alignment horizontal="left" vertical="top" wrapText="1"/>
      <protection locked="0"/>
    </xf>
    <xf numFmtId="0" fontId="47" fillId="0" borderId="0" xfId="0" quotePrefix="1" applyFont="1" applyAlignment="1" applyProtection="1">
      <alignment vertical="center"/>
      <protection locked="0"/>
    </xf>
    <xf numFmtId="0" fontId="47" fillId="0" borderId="3" xfId="0" quotePrefix="1" applyFont="1" applyBorder="1" applyAlignment="1" applyProtection="1">
      <alignment vertical="center"/>
      <protection locked="0"/>
    </xf>
    <xf numFmtId="0" fontId="28" fillId="3" borderId="0" xfId="0" applyFont="1" applyFill="1" applyAlignment="1">
      <alignment horizontal="right"/>
    </xf>
    <xf numFmtId="0" fontId="29" fillId="3" borderId="0" xfId="0" applyFont="1" applyFill="1" applyAlignment="1">
      <alignment horizontal="right"/>
    </xf>
    <xf numFmtId="0" fontId="29" fillId="3" borderId="3" xfId="0" applyFont="1" applyFill="1" applyBorder="1" applyAlignment="1">
      <alignment horizontal="right"/>
    </xf>
    <xf numFmtId="0" fontId="28" fillId="3" borderId="0" xfId="0" applyFont="1" applyFill="1" applyAlignment="1">
      <alignment horizontal="left"/>
    </xf>
    <xf numFmtId="0" fontId="29" fillId="3" borderId="0" xfId="0" applyFont="1" applyFill="1" applyAlignment="1">
      <alignment horizontal="left" vertical="top"/>
    </xf>
    <xf numFmtId="0" fontId="42" fillId="0" borderId="0" xfId="0" applyFont="1" applyAlignment="1">
      <alignment horizontal="right"/>
    </xf>
    <xf numFmtId="0" fontId="25" fillId="0" borderId="0" xfId="0" applyFont="1" applyAlignment="1">
      <alignment horizontal="right"/>
    </xf>
    <xf numFmtId="0" fontId="25" fillId="0" borderId="3" xfId="0" applyFont="1" applyBorder="1" applyAlignment="1">
      <alignment horizontal="right"/>
    </xf>
    <xf numFmtId="0" fontId="14" fillId="11" borderId="0" xfId="0" applyFont="1" applyFill="1"/>
    <xf numFmtId="0" fontId="31" fillId="0" borderId="0" xfId="0" applyFont="1" applyAlignment="1">
      <alignment horizontal="left" vertical="top"/>
    </xf>
    <xf numFmtId="0" fontId="28" fillId="0" borderId="10" xfId="0" applyFont="1" applyBorder="1" applyAlignment="1">
      <alignment wrapText="1"/>
    </xf>
    <xf numFmtId="0" fontId="24" fillId="0" borderId="10" xfId="0" applyFont="1" applyBorder="1" applyAlignment="1">
      <alignment horizontal="right"/>
    </xf>
    <xf numFmtId="0" fontId="25" fillId="0" borderId="10" xfId="0" applyFont="1" applyBorder="1"/>
    <xf numFmtId="0" fontId="24" fillId="0" borderId="11" xfId="0" applyFont="1" applyBorder="1" applyAlignment="1">
      <alignment horizontal="right"/>
    </xf>
    <xf numFmtId="0" fontId="25" fillId="0" borderId="0" xfId="0" applyFont="1" applyAlignment="1">
      <alignment horizontal="left" wrapText="1"/>
    </xf>
    <xf numFmtId="3" fontId="25" fillId="0" borderId="0" xfId="0" applyNumberFormat="1" applyFont="1" applyAlignment="1">
      <alignment horizontal="right"/>
    </xf>
    <xf numFmtId="3" fontId="25" fillId="0" borderId="3" xfId="0" applyNumberFormat="1" applyFont="1" applyBorder="1" applyAlignment="1">
      <alignment horizontal="right"/>
    </xf>
    <xf numFmtId="0" fontId="25" fillId="0" borderId="0" xfId="0" applyFont="1" applyAlignment="1">
      <alignment vertical="top" wrapText="1"/>
    </xf>
    <xf numFmtId="173" fontId="25" fillId="0" borderId="0" xfId="0" applyNumberFormat="1" applyFont="1" applyAlignment="1" applyProtection="1">
      <alignment horizontal="right"/>
      <protection locked="0"/>
    </xf>
    <xf numFmtId="173" fontId="25" fillId="0" borderId="3" xfId="0" applyNumberFormat="1" applyFont="1" applyBorder="1" applyAlignment="1" applyProtection="1">
      <alignment horizontal="right"/>
      <protection locked="0"/>
    </xf>
    <xf numFmtId="173" fontId="50" fillId="0" borderId="0" xfId="0" applyNumberFormat="1" applyFont="1" applyAlignment="1" applyProtection="1">
      <alignment horizontal="right"/>
      <protection locked="0"/>
    </xf>
    <xf numFmtId="0" fontId="25" fillId="9" borderId="0" xfId="0" applyFont="1" applyFill="1" applyAlignment="1">
      <alignment vertical="top" wrapText="1"/>
    </xf>
    <xf numFmtId="173" fontId="25" fillId="9" borderId="0" xfId="0" applyNumberFormat="1" applyFont="1" applyFill="1" applyAlignment="1" applyProtection="1">
      <alignment horizontal="right"/>
      <protection locked="0"/>
    </xf>
    <xf numFmtId="173" fontId="25" fillId="9" borderId="3" xfId="0" applyNumberFormat="1" applyFont="1" applyFill="1" applyBorder="1" applyAlignment="1" applyProtection="1">
      <alignment horizontal="right"/>
      <protection locked="0"/>
    </xf>
    <xf numFmtId="173" fontId="50" fillId="9" borderId="0" xfId="0" applyNumberFormat="1" applyFont="1" applyFill="1" applyAlignment="1" applyProtection="1">
      <alignment horizontal="right"/>
      <protection locked="0"/>
    </xf>
    <xf numFmtId="3" fontId="25" fillId="4" borderId="3" xfId="0" applyNumberFormat="1" applyFont="1" applyFill="1" applyBorder="1" applyAlignment="1">
      <alignment horizontal="right"/>
    </xf>
    <xf numFmtId="3" fontId="50" fillId="0" borderId="0" xfId="0" applyNumberFormat="1" applyFont="1" applyAlignment="1">
      <alignment horizontal="right"/>
    </xf>
    <xf numFmtId="0" fontId="31" fillId="0" borderId="0" xfId="0" applyFont="1" applyAlignment="1">
      <alignment vertical="top" wrapText="1"/>
    </xf>
    <xf numFmtId="1" fontId="25" fillId="0" borderId="0" xfId="0" applyNumberFormat="1" applyFont="1"/>
    <xf numFmtId="0" fontId="31" fillId="4" borderId="0" xfId="0" applyFont="1" applyFill="1" applyAlignment="1">
      <alignment horizontal="left" wrapText="1"/>
    </xf>
    <xf numFmtId="0" fontId="24" fillId="4" borderId="0" xfId="0" applyFont="1" applyFill="1" applyAlignment="1">
      <alignment horizontal="right"/>
    </xf>
    <xf numFmtId="0" fontId="24" fillId="4" borderId="3" xfId="0" applyFont="1" applyFill="1" applyBorder="1" applyAlignment="1">
      <alignment horizontal="right"/>
    </xf>
    <xf numFmtId="0" fontId="37" fillId="4" borderId="0" xfId="0" quotePrefix="1" applyFont="1" applyFill="1"/>
    <xf numFmtId="0" fontId="37" fillId="4" borderId="0" xfId="0" quotePrefix="1" applyFont="1" applyFill="1" applyAlignment="1">
      <alignment horizontal="right"/>
    </xf>
    <xf numFmtId="9" fontId="37" fillId="4" borderId="0" xfId="0" quotePrefix="1" applyNumberFormat="1" applyFont="1" applyFill="1" applyAlignment="1">
      <alignment horizontal="right"/>
    </xf>
    <xf numFmtId="9" fontId="30" fillId="4" borderId="0" xfId="0" quotePrefix="1" applyNumberFormat="1" applyFont="1" applyFill="1" applyAlignment="1">
      <alignment horizontal="right"/>
    </xf>
    <xf numFmtId="9" fontId="30" fillId="4" borderId="3" xfId="0" quotePrefix="1" applyNumberFormat="1" applyFont="1" applyFill="1" applyBorder="1" applyAlignment="1">
      <alignment horizontal="right"/>
    </xf>
    <xf numFmtId="0" fontId="24" fillId="0" borderId="10" xfId="0" applyFont="1" applyBorder="1" applyAlignment="1">
      <alignment horizontal="left" wrapText="1"/>
    </xf>
    <xf numFmtId="3" fontId="25" fillId="0" borderId="0" xfId="0" applyNumberFormat="1" applyFont="1" applyAlignment="1" applyProtection="1">
      <alignment horizontal="right"/>
      <protection locked="0"/>
    </xf>
    <xf numFmtId="3" fontId="25" fillId="0" borderId="3" xfId="0" applyNumberFormat="1" applyFont="1" applyBorder="1" applyAlignment="1" applyProtection="1">
      <alignment horizontal="right"/>
      <protection locked="0"/>
    </xf>
    <xf numFmtId="3" fontId="50" fillId="0" borderId="0" xfId="0" applyNumberFormat="1" applyFont="1" applyAlignment="1" applyProtection="1">
      <alignment horizontal="right"/>
      <protection locked="0"/>
    </xf>
    <xf numFmtId="0" fontId="31" fillId="4" borderId="0" xfId="0" applyFont="1" applyFill="1" applyAlignment="1">
      <alignment vertical="top" wrapText="1"/>
    </xf>
    <xf numFmtId="3" fontId="25" fillId="4" borderId="0" xfId="0" applyNumberFormat="1" applyFont="1" applyFill="1" applyAlignment="1">
      <alignment horizontal="right"/>
    </xf>
    <xf numFmtId="173" fontId="25" fillId="0" borderId="0" xfId="0" quotePrefix="1" applyNumberFormat="1" applyFont="1" applyAlignment="1" applyProtection="1">
      <alignment horizontal="right"/>
      <protection locked="0"/>
    </xf>
    <xf numFmtId="173" fontId="25" fillId="0" borderId="3" xfId="0" quotePrefix="1" applyNumberFormat="1" applyFont="1" applyBorder="1" applyAlignment="1" applyProtection="1">
      <alignment horizontal="right"/>
      <protection locked="0"/>
    </xf>
    <xf numFmtId="0" fontId="51" fillId="0" borderId="0" xfId="0" applyFont="1" applyAlignment="1">
      <alignment horizontal="left" wrapText="1"/>
    </xf>
    <xf numFmtId="0" fontId="51" fillId="0" borderId="0" xfId="0" applyFont="1" applyAlignment="1">
      <alignment horizontal="right"/>
    </xf>
    <xf numFmtId="0" fontId="52" fillId="0" borderId="0" xfId="0" applyFont="1"/>
    <xf numFmtId="0" fontId="51" fillId="0" borderId="3" xfId="0" applyFont="1" applyBorder="1" applyAlignment="1">
      <alignment horizontal="right"/>
    </xf>
    <xf numFmtId="0" fontId="32" fillId="0" borderId="0" xfId="0" applyFont="1" applyAlignment="1">
      <alignment horizontal="right"/>
    </xf>
    <xf numFmtId="0" fontId="32" fillId="0" borderId="3" xfId="0" applyFont="1" applyBorder="1" applyAlignment="1">
      <alignment horizontal="right"/>
    </xf>
    <xf numFmtId="0" fontId="51" fillId="0" borderId="12" xfId="0" applyFont="1" applyBorder="1" applyAlignment="1">
      <alignment horizontal="left" wrapText="1"/>
    </xf>
    <xf numFmtId="0" fontId="51" fillId="0" borderId="12" xfId="0" applyFont="1" applyBorder="1" applyAlignment="1">
      <alignment horizontal="right"/>
    </xf>
    <xf numFmtId="0" fontId="51" fillId="0" borderId="13" xfId="0" applyFont="1" applyBorder="1" applyAlignment="1">
      <alignment horizontal="right"/>
    </xf>
    <xf numFmtId="0" fontId="32" fillId="0" borderId="12" xfId="0" applyFont="1" applyBorder="1" applyAlignment="1">
      <alignment horizontal="right"/>
    </xf>
    <xf numFmtId="0" fontId="32" fillId="0" borderId="13" xfId="0" applyFont="1" applyBorder="1" applyAlignment="1">
      <alignment horizontal="right"/>
    </xf>
    <xf numFmtId="0" fontId="52" fillId="0" borderId="0" xfId="0" applyFont="1" applyAlignment="1">
      <alignment vertical="top" wrapText="1"/>
    </xf>
    <xf numFmtId="0" fontId="52" fillId="0" borderId="3" xfId="0" applyFont="1" applyBorder="1" applyAlignment="1">
      <alignment vertical="top" wrapText="1"/>
    </xf>
    <xf numFmtId="0" fontId="31" fillId="0" borderId="3" xfId="0" applyFont="1" applyBorder="1" applyAlignment="1">
      <alignment vertical="top" wrapText="1"/>
    </xf>
    <xf numFmtId="0" fontId="51" fillId="0" borderId="0" xfId="0" applyFont="1" applyAlignment="1">
      <alignment vertical="top" wrapText="1"/>
    </xf>
    <xf numFmtId="0" fontId="28" fillId="0" borderId="0" xfId="0" applyFont="1" applyAlignment="1">
      <alignment wrapText="1"/>
    </xf>
    <xf numFmtId="0" fontId="24" fillId="0" borderId="10" xfId="0" applyFont="1" applyBorder="1"/>
    <xf numFmtId="174" fontId="25" fillId="0" borderId="0" xfId="0" applyNumberFormat="1" applyFont="1" applyAlignment="1">
      <alignment horizontal="right"/>
    </xf>
    <xf numFmtId="174" fontId="25" fillId="0" borderId="3" xfId="0" applyNumberFormat="1" applyFont="1" applyBorder="1" applyAlignment="1">
      <alignment horizontal="right"/>
    </xf>
    <xf numFmtId="0" fontId="25" fillId="0" borderId="0" xfId="0" applyFont="1" applyAlignment="1">
      <alignment horizontal="center" vertical="center"/>
    </xf>
    <xf numFmtId="0" fontId="24" fillId="0" borderId="0" xfId="0" applyFont="1" applyAlignment="1">
      <alignment wrapText="1"/>
    </xf>
    <xf numFmtId="0" fontId="25" fillId="0" borderId="4" xfId="0" applyFont="1" applyBorder="1" applyAlignment="1">
      <alignment horizontal="right"/>
    </xf>
    <xf numFmtId="0" fontId="25" fillId="0" borderId="5" xfId="0" applyFont="1" applyBorder="1" applyAlignment="1">
      <alignment horizontal="right"/>
    </xf>
    <xf numFmtId="174" fontId="25" fillId="0" borderId="0" xfId="0" applyNumberFormat="1" applyFont="1" applyAlignment="1" applyProtection="1">
      <alignment horizontal="right"/>
      <protection locked="0"/>
    </xf>
    <xf numFmtId="165" fontId="25" fillId="0" borderId="0" xfId="0" applyNumberFormat="1" applyFont="1" applyAlignment="1">
      <alignment horizontal="right"/>
    </xf>
    <xf numFmtId="165" fontId="25" fillId="0" borderId="3" xfId="0" applyNumberFormat="1" applyFont="1" applyBorder="1" applyAlignment="1">
      <alignment horizontal="right"/>
    </xf>
    <xf numFmtId="175" fontId="25" fillId="0" borderId="0" xfId="0" applyNumberFormat="1" applyFont="1" applyAlignment="1" applyProtection="1">
      <alignment horizontal="right"/>
      <protection locked="0"/>
    </xf>
    <xf numFmtId="175" fontId="25" fillId="0" borderId="3" xfId="0" applyNumberFormat="1" applyFont="1" applyBorder="1" applyAlignment="1" applyProtection="1">
      <alignment horizontal="right"/>
      <protection locked="0"/>
    </xf>
    <xf numFmtId="175" fontId="25" fillId="9" borderId="0" xfId="0" applyNumberFormat="1" applyFont="1" applyFill="1" applyAlignment="1" applyProtection="1">
      <alignment horizontal="right"/>
      <protection locked="0"/>
    </xf>
    <xf numFmtId="174" fontId="25" fillId="9" borderId="0" xfId="0" applyNumberFormat="1" applyFont="1" applyFill="1" applyAlignment="1" applyProtection="1">
      <alignment horizontal="right"/>
      <protection locked="0"/>
    </xf>
    <xf numFmtId="175" fontId="25" fillId="9" borderId="3" xfId="0" applyNumberFormat="1" applyFont="1" applyFill="1" applyBorder="1" applyAlignment="1" applyProtection="1">
      <alignment horizontal="right"/>
      <protection locked="0"/>
    </xf>
    <xf numFmtId="0" fontId="24" fillId="0" borderId="0" xfId="0" applyFont="1" applyAlignment="1">
      <alignment horizontal="left" wrapText="1"/>
    </xf>
    <xf numFmtId="0" fontId="24" fillId="0" borderId="12" xfId="0" applyFont="1" applyBorder="1" applyAlignment="1">
      <alignment horizontal="left" wrapText="1"/>
    </xf>
    <xf numFmtId="0" fontId="25" fillId="0" borderId="12" xfId="0" applyFont="1" applyBorder="1" applyAlignment="1">
      <alignment horizontal="right"/>
    </xf>
    <xf numFmtId="0" fontId="25" fillId="0" borderId="13" xfId="0" applyFont="1" applyBorder="1" applyAlignment="1">
      <alignment horizontal="right"/>
    </xf>
    <xf numFmtId="176" fontId="25" fillId="0" borderId="0" xfId="0" applyNumberFormat="1" applyFont="1" applyAlignment="1" applyProtection="1">
      <alignment horizontal="right"/>
      <protection locked="0"/>
    </xf>
    <xf numFmtId="0" fontId="25" fillId="9" borderId="0" xfId="0" applyFont="1" applyFill="1"/>
    <xf numFmtId="2" fontId="25" fillId="0" borderId="0" xfId="0" applyNumberFormat="1" applyFont="1" applyAlignment="1">
      <alignment horizontal="right"/>
    </xf>
    <xf numFmtId="165" fontId="25" fillId="0" borderId="0" xfId="0" applyNumberFormat="1" applyFont="1" applyAlignment="1" applyProtection="1">
      <alignment horizontal="right"/>
      <protection locked="0"/>
    </xf>
    <xf numFmtId="0" fontId="25" fillId="0" borderId="0" xfId="0" applyFont="1" applyAlignment="1">
      <alignment wrapText="1"/>
    </xf>
    <xf numFmtId="174" fontId="25" fillId="0" borderId="0" xfId="0" applyNumberFormat="1" applyFont="1"/>
    <xf numFmtId="177" fontId="25" fillId="0" borderId="0" xfId="0" applyNumberFormat="1" applyFont="1"/>
    <xf numFmtId="177" fontId="25" fillId="0" borderId="3" xfId="0" applyNumberFormat="1" applyFont="1" applyBorder="1"/>
    <xf numFmtId="174" fontId="25" fillId="0" borderId="9" xfId="0" applyNumberFormat="1" applyFont="1" applyBorder="1"/>
    <xf numFmtId="0" fontId="15" fillId="3" borderId="0" xfId="0" applyFont="1" applyFill="1" applyAlignment="1">
      <alignment horizontal="left" vertical="center"/>
    </xf>
    <xf numFmtId="0" fontId="44" fillId="3" borderId="0" xfId="0" applyFont="1" applyFill="1" applyAlignment="1">
      <alignment horizontal="left" vertical="center"/>
    </xf>
    <xf numFmtId="0" fontId="45" fillId="3" borderId="0" xfId="0" applyFont="1" applyFill="1" applyAlignment="1">
      <alignment horizontal="left" vertical="center"/>
    </xf>
    <xf numFmtId="0" fontId="17" fillId="0" borderId="0" xfId="0" applyFont="1" applyAlignment="1">
      <alignment horizontal="left" vertical="center"/>
    </xf>
    <xf numFmtId="0" fontId="45" fillId="3" borderId="3" xfId="0" applyFont="1" applyFill="1" applyBorder="1" applyAlignment="1">
      <alignment horizontal="left" vertical="center"/>
    </xf>
    <xf numFmtId="3" fontId="17" fillId="0" borderId="0" xfId="0" applyNumberFormat="1" applyFont="1" applyAlignment="1">
      <alignment horizontal="left" vertical="center"/>
    </xf>
    <xf numFmtId="0" fontId="45" fillId="0" borderId="0" xfId="0" applyFont="1" applyAlignment="1">
      <alignment horizontal="left" vertical="center"/>
    </xf>
    <xf numFmtId="0" fontId="44" fillId="0" borderId="0" xfId="0" applyFont="1" applyAlignment="1">
      <alignment horizontal="left" vertical="center"/>
    </xf>
    <xf numFmtId="0" fontId="45" fillId="0" borderId="3" xfId="0" applyFont="1" applyBorder="1" applyAlignment="1">
      <alignment horizontal="left" vertical="center"/>
    </xf>
    <xf numFmtId="0" fontId="16" fillId="12" borderId="0" xfId="0" applyFont="1" applyFill="1" applyAlignment="1">
      <alignment horizontal="left" vertical="center"/>
    </xf>
    <xf numFmtId="0" fontId="16" fillId="12" borderId="3" xfId="0" applyFont="1" applyFill="1" applyBorder="1" applyAlignment="1">
      <alignment horizontal="left" vertical="center"/>
    </xf>
    <xf numFmtId="0" fontId="16" fillId="12" borderId="9" xfId="0" applyFont="1" applyFill="1" applyBorder="1" applyAlignment="1">
      <alignment horizontal="left" vertical="center"/>
    </xf>
    <xf numFmtId="0" fontId="16" fillId="0" borderId="11" xfId="0" applyFont="1" applyBorder="1" applyAlignment="1">
      <alignment horizontal="left" vertical="center"/>
    </xf>
    <xf numFmtId="0" fontId="16" fillId="0" borderId="14" xfId="0" applyFont="1" applyBorder="1" applyAlignment="1">
      <alignment horizontal="left" vertical="center"/>
    </xf>
    <xf numFmtId="0" fontId="16" fillId="13" borderId="0" xfId="0" applyFont="1" applyFill="1" applyAlignment="1">
      <alignment horizontal="left" vertical="center"/>
    </xf>
    <xf numFmtId="3" fontId="16" fillId="13" borderId="0" xfId="0" applyNumberFormat="1" applyFont="1" applyFill="1" applyAlignment="1">
      <alignment horizontal="left" vertical="center"/>
    </xf>
    <xf numFmtId="3" fontId="16" fillId="13" borderId="3" xfId="0" applyNumberFormat="1" applyFont="1" applyFill="1" applyBorder="1" applyAlignment="1">
      <alignment horizontal="left" vertical="center"/>
    </xf>
    <xf numFmtId="3" fontId="16" fillId="13" borderId="9" xfId="0" applyNumberFormat="1" applyFont="1" applyFill="1" applyBorder="1" applyAlignment="1">
      <alignment horizontal="left" vertical="center"/>
    </xf>
    <xf numFmtId="178" fontId="17" fillId="0" borderId="0" xfId="0" applyNumberFormat="1" applyFont="1" applyAlignment="1">
      <alignment horizontal="left" vertical="center"/>
    </xf>
    <xf numFmtId="1" fontId="17" fillId="0" borderId="0" xfId="0" applyNumberFormat="1" applyFont="1" applyAlignment="1">
      <alignment horizontal="left" vertical="center"/>
    </xf>
    <xf numFmtId="3" fontId="17" fillId="0" borderId="3" xfId="0" applyNumberFormat="1" applyFont="1" applyBorder="1" applyAlignment="1">
      <alignment horizontal="left" vertical="center"/>
    </xf>
    <xf numFmtId="178" fontId="17" fillId="0" borderId="3" xfId="0" applyNumberFormat="1" applyFont="1" applyBorder="1" applyAlignment="1">
      <alignment horizontal="left" vertical="center"/>
    </xf>
    <xf numFmtId="1" fontId="17" fillId="0" borderId="3" xfId="0" applyNumberFormat="1" applyFont="1" applyBorder="1" applyAlignment="1">
      <alignment horizontal="left" vertical="center"/>
    </xf>
    <xf numFmtId="1" fontId="17" fillId="0" borderId="9" xfId="0" applyNumberFormat="1" applyFont="1" applyBorder="1" applyAlignment="1">
      <alignment horizontal="left" vertical="center"/>
    </xf>
    <xf numFmtId="3" fontId="17" fillId="0" borderId="9" xfId="0" applyNumberFormat="1" applyFont="1" applyBorder="1" applyAlignment="1">
      <alignment horizontal="left" vertical="center"/>
    </xf>
    <xf numFmtId="0" fontId="17" fillId="0" borderId="10" xfId="0" applyFont="1" applyBorder="1" applyAlignment="1">
      <alignment horizontal="left" vertical="center"/>
    </xf>
    <xf numFmtId="3" fontId="17" fillId="0" borderId="10" xfId="0" applyNumberFormat="1" applyFont="1" applyBorder="1" applyAlignment="1">
      <alignment horizontal="left" vertical="center"/>
    </xf>
    <xf numFmtId="3" fontId="17" fillId="0" borderId="11" xfId="0" applyNumberFormat="1" applyFont="1" applyBorder="1" applyAlignment="1">
      <alignment horizontal="left" vertical="center"/>
    </xf>
    <xf numFmtId="3" fontId="17" fillId="0" borderId="14" xfId="0" applyNumberFormat="1" applyFont="1" applyBorder="1" applyAlignment="1">
      <alignment horizontal="left" vertical="center"/>
    </xf>
    <xf numFmtId="0" fontId="16" fillId="13" borderId="10" xfId="0" applyFont="1" applyFill="1" applyBorder="1" applyAlignment="1">
      <alignment horizontal="left" vertical="center"/>
    </xf>
    <xf numFmtId="3" fontId="16" fillId="13" borderId="10" xfId="0" applyNumberFormat="1" applyFont="1" applyFill="1" applyBorder="1" applyAlignment="1">
      <alignment horizontal="left" vertical="center"/>
    </xf>
    <xf numFmtId="3" fontId="16" fillId="13" borderId="11" xfId="0" applyNumberFormat="1" applyFont="1" applyFill="1" applyBorder="1" applyAlignment="1">
      <alignment horizontal="left" vertical="center"/>
    </xf>
    <xf numFmtId="3" fontId="16" fillId="13" borderId="14" xfId="0" applyNumberFormat="1" applyFont="1" applyFill="1" applyBorder="1" applyAlignment="1">
      <alignment horizontal="left" vertical="center"/>
    </xf>
    <xf numFmtId="0" fontId="17" fillId="0" borderId="3" xfId="0" applyFont="1" applyBorder="1" applyAlignment="1">
      <alignment horizontal="left" vertical="center"/>
    </xf>
    <xf numFmtId="178" fontId="17" fillId="0" borderId="9" xfId="0" applyNumberFormat="1" applyFont="1" applyBorder="1" applyAlignment="1">
      <alignment horizontal="left" vertical="center"/>
    </xf>
    <xf numFmtId="174" fontId="17" fillId="0" borderId="0" xfId="0" applyNumberFormat="1" applyFont="1" applyAlignment="1">
      <alignment horizontal="left" vertical="center"/>
    </xf>
    <xf numFmtId="174" fontId="17" fillId="0" borderId="3" xfId="0" applyNumberFormat="1" applyFont="1" applyBorder="1" applyAlignment="1">
      <alignment horizontal="left" vertical="center"/>
    </xf>
    <xf numFmtId="174" fontId="17" fillId="0" borderId="9" xfId="0" applyNumberFormat="1" applyFont="1" applyBorder="1" applyAlignment="1">
      <alignment horizontal="left" vertical="center"/>
    </xf>
    <xf numFmtId="174" fontId="17" fillId="0" borderId="10" xfId="0" applyNumberFormat="1" applyFont="1" applyBorder="1" applyAlignment="1">
      <alignment horizontal="left" vertical="center"/>
    </xf>
    <xf numFmtId="174" fontId="17" fillId="0" borderId="11" xfId="0" applyNumberFormat="1" applyFont="1" applyBorder="1" applyAlignment="1">
      <alignment horizontal="left" vertical="center"/>
    </xf>
    <xf numFmtId="0" fontId="16" fillId="14" borderId="0" xfId="0" applyFont="1" applyFill="1" applyAlignment="1">
      <alignment horizontal="left" vertical="center"/>
    </xf>
    <xf numFmtId="0" fontId="16" fillId="14" borderId="3" xfId="0" applyFont="1" applyFill="1" applyBorder="1" applyAlignment="1">
      <alignment horizontal="left" vertical="center"/>
    </xf>
    <xf numFmtId="0" fontId="16" fillId="14" borderId="9" xfId="0" applyFont="1" applyFill="1" applyBorder="1" applyAlignment="1">
      <alignment horizontal="left" vertical="center"/>
    </xf>
    <xf numFmtId="174" fontId="17" fillId="0" borderId="14" xfId="0" applyNumberFormat="1" applyFont="1" applyBorder="1" applyAlignment="1">
      <alignment horizontal="left" vertical="center"/>
    </xf>
    <xf numFmtId="0" fontId="16" fillId="15" borderId="0" xfId="0" applyFont="1" applyFill="1" applyAlignment="1">
      <alignment horizontal="left" vertical="center"/>
    </xf>
    <xf numFmtId="0" fontId="16" fillId="15" borderId="3" xfId="0" applyFont="1" applyFill="1" applyBorder="1" applyAlignment="1">
      <alignment horizontal="left" vertical="center"/>
    </xf>
    <xf numFmtId="0" fontId="16" fillId="15" borderId="9" xfId="0" applyFont="1" applyFill="1" applyBorder="1" applyAlignment="1">
      <alignment horizontal="left" vertical="center"/>
    </xf>
    <xf numFmtId="166" fontId="17" fillId="0" borderId="0" xfId="0" applyNumberFormat="1" applyFont="1" applyAlignment="1">
      <alignment horizontal="left" vertical="center"/>
    </xf>
    <xf numFmtId="9" fontId="17" fillId="0" borderId="3" xfId="0" applyNumberFormat="1" applyFont="1" applyBorder="1" applyAlignment="1">
      <alignment horizontal="left" vertical="center"/>
    </xf>
    <xf numFmtId="166" fontId="17" fillId="0" borderId="3" xfId="0" applyNumberFormat="1" applyFont="1" applyBorder="1" applyAlignment="1">
      <alignment horizontal="left" vertical="center"/>
    </xf>
    <xf numFmtId="166" fontId="17" fillId="0" borderId="9" xfId="0" applyNumberFormat="1" applyFont="1" applyBorder="1" applyAlignment="1">
      <alignment horizontal="left" vertical="center"/>
    </xf>
    <xf numFmtId="1" fontId="17" fillId="0" borderId="10" xfId="0" applyNumberFormat="1" applyFont="1" applyBorder="1" applyAlignment="1">
      <alignment horizontal="left" vertical="center"/>
    </xf>
    <xf numFmtId="166" fontId="17" fillId="0" borderId="10" xfId="0" applyNumberFormat="1" applyFont="1" applyBorder="1" applyAlignment="1">
      <alignment horizontal="left" vertical="center"/>
    </xf>
    <xf numFmtId="9" fontId="17" fillId="0" borderId="11" xfId="0" applyNumberFormat="1" applyFont="1" applyBorder="1" applyAlignment="1">
      <alignment horizontal="left" vertical="center"/>
    </xf>
    <xf numFmtId="1" fontId="17" fillId="0" borderId="11" xfId="0" applyNumberFormat="1" applyFont="1" applyBorder="1" applyAlignment="1">
      <alignment horizontal="left" vertical="center"/>
    </xf>
    <xf numFmtId="166" fontId="17" fillId="0" borderId="11" xfId="0" applyNumberFormat="1" applyFont="1" applyBorder="1" applyAlignment="1">
      <alignment horizontal="left" vertical="center"/>
    </xf>
    <xf numFmtId="166" fontId="17" fillId="0" borderId="14" xfId="0" applyNumberFormat="1" applyFont="1" applyBorder="1" applyAlignment="1">
      <alignment horizontal="left" vertical="center"/>
    </xf>
    <xf numFmtId="0" fontId="53" fillId="0" borderId="10" xfId="0" applyFont="1" applyBorder="1" applyAlignment="1">
      <alignment horizontal="left" vertical="center"/>
    </xf>
    <xf numFmtId="3" fontId="53" fillId="0" borderId="10" xfId="0" applyNumberFormat="1" applyFont="1" applyBorder="1" applyAlignment="1">
      <alignment horizontal="left" vertical="center"/>
    </xf>
    <xf numFmtId="0" fontId="54" fillId="0" borderId="0" xfId="0" applyFont="1" applyAlignment="1">
      <alignment horizontal="left" vertical="center"/>
    </xf>
    <xf numFmtId="0" fontId="54" fillId="4" borderId="0" xfId="0" applyFont="1" applyFill="1" applyAlignment="1">
      <alignment horizontal="left" vertical="center"/>
    </xf>
    <xf numFmtId="3" fontId="54" fillId="0" borderId="0" xfId="0" applyNumberFormat="1" applyFont="1" applyAlignment="1">
      <alignment horizontal="left" vertical="center"/>
    </xf>
    <xf numFmtId="3" fontId="53" fillId="0" borderId="11" xfId="0" applyNumberFormat="1" applyFont="1" applyBorder="1" applyAlignment="1">
      <alignment horizontal="left" vertical="center"/>
    </xf>
    <xf numFmtId="0" fontId="52" fillId="0" borderId="0" xfId="0" applyFont="1" applyAlignment="1">
      <alignment horizontal="left" vertical="center"/>
    </xf>
    <xf numFmtId="3" fontId="52" fillId="0" borderId="0" xfId="0" applyNumberFormat="1" applyFont="1" applyAlignment="1">
      <alignment horizontal="left" vertical="center"/>
    </xf>
    <xf numFmtId="0" fontId="52" fillId="4" borderId="0" xfId="0" applyFont="1" applyFill="1" applyAlignment="1">
      <alignment horizontal="left" vertical="center"/>
    </xf>
    <xf numFmtId="3" fontId="52" fillId="0" borderId="3" xfId="0" applyNumberFormat="1"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17" xfId="0" applyFont="1" applyBorder="1" applyAlignment="1">
      <alignment horizontal="left" vertical="center"/>
    </xf>
    <xf numFmtId="1" fontId="16" fillId="13" borderId="0" xfId="0" applyNumberFormat="1" applyFont="1" applyFill="1" applyAlignment="1">
      <alignment horizontal="left" vertical="center"/>
    </xf>
    <xf numFmtId="1" fontId="16" fillId="13" borderId="3" xfId="0" applyNumberFormat="1" applyFont="1" applyFill="1" applyBorder="1" applyAlignment="1">
      <alignment horizontal="left" vertical="center"/>
    </xf>
    <xf numFmtId="173" fontId="17" fillId="4" borderId="0" xfId="0" applyNumberFormat="1" applyFont="1" applyFill="1" applyAlignment="1" applyProtection="1">
      <alignment horizontal="right"/>
      <protection locked="0"/>
    </xf>
    <xf numFmtId="0" fontId="37" fillId="0" borderId="0" xfId="0" applyFont="1"/>
    <xf numFmtId="0" fontId="55" fillId="0" borderId="0" xfId="0" applyFont="1"/>
    <xf numFmtId="173" fontId="25" fillId="4" borderId="0" xfId="0" applyNumberFormat="1" applyFont="1" applyFill="1" applyAlignment="1" applyProtection="1">
      <alignment horizontal="right"/>
      <protection locked="0"/>
    </xf>
    <xf numFmtId="0" fontId="37" fillId="0" borderId="3" xfId="0" applyFont="1" applyBorder="1"/>
    <xf numFmtId="0" fontId="24" fillId="0" borderId="10" xfId="0" applyFont="1" applyBorder="1" applyAlignment="1">
      <alignment horizontal="left" vertical="center"/>
    </xf>
    <xf numFmtId="0" fontId="24" fillId="0" borderId="10" xfId="0" applyFont="1" applyBorder="1" applyAlignment="1">
      <alignment horizontal="center"/>
    </xf>
    <xf numFmtId="0" fontId="34" fillId="0" borderId="10" xfId="0" applyFont="1" applyBorder="1" applyAlignment="1">
      <alignment horizontal="right" vertical="center"/>
    </xf>
    <xf numFmtId="0" fontId="34" fillId="0" borderId="11" xfId="0" applyFont="1" applyBorder="1" applyAlignment="1">
      <alignment horizontal="right" vertical="center"/>
    </xf>
    <xf numFmtId="0" fontId="46" fillId="16" borderId="0" xfId="0" applyFont="1" applyFill="1" applyAlignment="1">
      <alignment vertical="center"/>
    </xf>
    <xf numFmtId="0" fontId="46" fillId="4" borderId="0" xfId="0" applyFont="1" applyFill="1" applyAlignment="1">
      <alignment horizontal="right" vertical="center" wrapText="1"/>
    </xf>
    <xf numFmtId="0" fontId="16" fillId="4" borderId="0" xfId="0" applyFont="1" applyFill="1" applyAlignment="1">
      <alignment horizontal="right" vertical="center" wrapText="1"/>
    </xf>
    <xf numFmtId="0" fontId="49" fillId="0" borderId="7" xfId="0" applyFont="1" applyBorder="1"/>
    <xf numFmtId="0" fontId="49" fillId="16" borderId="0" xfId="0" applyFont="1" applyFill="1" applyAlignment="1">
      <alignment vertical="center"/>
    </xf>
    <xf numFmtId="173" fontId="17" fillId="0" borderId="0" xfId="0" applyNumberFormat="1" applyFont="1" applyAlignment="1" applyProtection="1">
      <alignment horizontal="right"/>
      <protection locked="0"/>
    </xf>
    <xf numFmtId="173" fontId="17" fillId="0" borderId="3" xfId="0" applyNumberFormat="1" applyFont="1" applyBorder="1" applyAlignment="1" applyProtection="1">
      <alignment horizontal="right"/>
      <protection locked="0"/>
    </xf>
    <xf numFmtId="3" fontId="17" fillId="0" borderId="0" xfId="0" applyNumberFormat="1" applyFont="1" applyAlignment="1">
      <alignment vertical="center"/>
    </xf>
    <xf numFmtId="3" fontId="17" fillId="0" borderId="3" xfId="0" applyNumberFormat="1" applyFont="1" applyBorder="1" applyAlignment="1">
      <alignment vertical="center"/>
    </xf>
    <xf numFmtId="0" fontId="17" fillId="0" borderId="0" xfId="0" applyFont="1" applyAlignment="1">
      <alignment horizontal="right" vertical="center" wrapText="1"/>
    </xf>
    <xf numFmtId="1" fontId="17" fillId="0" borderId="0" xfId="0" applyNumberFormat="1" applyFont="1" applyAlignment="1">
      <alignment horizontal="right" vertical="center" wrapText="1"/>
    </xf>
    <xf numFmtId="1" fontId="17" fillId="0" borderId="3" xfId="0" applyNumberFormat="1" applyFont="1" applyBorder="1" applyAlignment="1">
      <alignment horizontal="right" vertical="center" wrapText="1"/>
    </xf>
    <xf numFmtId="0" fontId="49" fillId="4" borderId="0" xfId="0" applyFont="1" applyFill="1" applyAlignment="1">
      <alignment vertical="center"/>
    </xf>
    <xf numFmtId="0" fontId="17" fillId="4" borderId="0" xfId="0" applyFont="1" applyFill="1" applyAlignment="1">
      <alignment vertical="center"/>
    </xf>
    <xf numFmtId="165" fontId="49" fillId="4" borderId="0" xfId="0" applyNumberFormat="1" applyFont="1" applyFill="1" applyAlignment="1">
      <alignment vertical="center"/>
    </xf>
    <xf numFmtId="165" fontId="49" fillId="0" borderId="0" xfId="0" applyNumberFormat="1" applyFont="1"/>
    <xf numFmtId="165" fontId="49" fillId="4" borderId="3" xfId="0" applyNumberFormat="1" applyFont="1" applyFill="1" applyBorder="1" applyAlignment="1">
      <alignment vertical="center"/>
    </xf>
    <xf numFmtId="165" fontId="49" fillId="0" borderId="0" xfId="0" applyNumberFormat="1" applyFont="1" applyAlignment="1">
      <alignment vertical="center"/>
    </xf>
    <xf numFmtId="167" fontId="49" fillId="0" borderId="3" xfId="0" applyNumberFormat="1" applyFont="1" applyBorder="1"/>
    <xf numFmtId="0" fontId="49" fillId="0" borderId="0" xfId="0" applyFont="1" applyAlignment="1">
      <alignment vertical="center"/>
    </xf>
    <xf numFmtId="0" fontId="17" fillId="0" borderId="0" xfId="0" applyFont="1" applyAlignment="1">
      <alignment vertical="center"/>
    </xf>
    <xf numFmtId="165" fontId="49" fillId="0" borderId="0" xfId="0" applyNumberFormat="1" applyFont="1" applyAlignment="1">
      <alignment horizontal="right" vertical="center"/>
    </xf>
    <xf numFmtId="165" fontId="49" fillId="0" borderId="3" xfId="0" applyNumberFormat="1" applyFont="1" applyBorder="1" applyAlignment="1">
      <alignment horizontal="right" vertical="center"/>
    </xf>
    <xf numFmtId="3" fontId="17" fillId="0" borderId="0" xfId="0" applyNumberFormat="1" applyFont="1" applyAlignment="1" applyProtection="1">
      <alignment horizontal="right"/>
      <protection locked="0"/>
    </xf>
    <xf numFmtId="3" fontId="17" fillId="0" borderId="3" xfId="0" applyNumberFormat="1" applyFont="1" applyBorder="1" applyAlignment="1" applyProtection="1">
      <alignment horizontal="right"/>
      <protection locked="0"/>
    </xf>
    <xf numFmtId="165" fontId="49" fillId="0" borderId="3" xfId="0" applyNumberFormat="1" applyFont="1" applyBorder="1"/>
    <xf numFmtId="0" fontId="49" fillId="4" borderId="0" xfId="0" applyFont="1" applyFill="1"/>
    <xf numFmtId="165" fontId="49" fillId="4" borderId="0" xfId="0" applyNumberFormat="1" applyFont="1" applyFill="1"/>
    <xf numFmtId="3" fontId="17" fillId="4" borderId="0" xfId="0" applyNumberFormat="1" applyFont="1" applyFill="1" applyAlignment="1">
      <alignment vertical="center" wrapText="1"/>
    </xf>
    <xf numFmtId="0" fontId="49" fillId="4" borderId="3" xfId="0" applyFont="1" applyFill="1" applyBorder="1"/>
    <xf numFmtId="165" fontId="49" fillId="4" borderId="3" xfId="0" applyNumberFormat="1" applyFont="1" applyFill="1" applyBorder="1"/>
    <xf numFmtId="3" fontId="49" fillId="4" borderId="0" xfId="0" applyNumberFormat="1" applyFont="1" applyFill="1"/>
    <xf numFmtId="3" fontId="49" fillId="4" borderId="3" xfId="0" applyNumberFormat="1" applyFont="1" applyFill="1" applyBorder="1"/>
    <xf numFmtId="3" fontId="49" fillId="4" borderId="0" xfId="0" applyNumberFormat="1" applyFont="1" applyFill="1" applyAlignment="1">
      <alignment horizontal="right" vertical="center"/>
    </xf>
    <xf numFmtId="3" fontId="17" fillId="4" borderId="0" xfId="0" applyNumberFormat="1" applyFont="1" applyFill="1" applyAlignment="1">
      <alignment horizontal="right" vertical="center"/>
    </xf>
    <xf numFmtId="3" fontId="17" fillId="4" borderId="3" xfId="0" applyNumberFormat="1" applyFont="1" applyFill="1" applyBorder="1" applyAlignment="1">
      <alignment vertical="center"/>
    </xf>
    <xf numFmtId="3" fontId="17" fillId="4" borderId="6" xfId="0" applyNumberFormat="1" applyFont="1" applyFill="1" applyBorder="1" applyAlignment="1">
      <alignment horizontal="right" vertical="center"/>
    </xf>
    <xf numFmtId="3" fontId="17" fillId="4" borderId="0" xfId="0" applyNumberFormat="1" applyFont="1" applyFill="1" applyAlignment="1" applyProtection="1">
      <alignment horizontal="right"/>
      <protection locked="0"/>
    </xf>
    <xf numFmtId="3" fontId="17" fillId="4" borderId="3" xfId="0" applyNumberFormat="1" applyFont="1" applyFill="1" applyBorder="1" applyAlignment="1" applyProtection="1">
      <alignment horizontal="right"/>
      <protection locked="0"/>
    </xf>
    <xf numFmtId="0" fontId="49" fillId="0" borderId="0" xfId="0" applyFont="1" applyAlignment="1">
      <alignment horizontal="right" vertical="center"/>
    </xf>
    <xf numFmtId="165" fontId="17" fillId="0" borderId="0" xfId="0" applyNumberFormat="1" applyFont="1" applyAlignment="1">
      <alignment horizontal="right" vertical="center" wrapText="1"/>
    </xf>
    <xf numFmtId="165" fontId="17" fillId="0" borderId="9" xfId="0" applyNumberFormat="1" applyFont="1" applyBorder="1" applyAlignment="1">
      <alignment horizontal="right" vertical="center" wrapText="1"/>
    </xf>
    <xf numFmtId="165" fontId="17" fillId="0" borderId="3" xfId="0" applyNumberFormat="1" applyFont="1" applyBorder="1" applyAlignment="1">
      <alignment horizontal="right" vertical="center" wrapText="1"/>
    </xf>
    <xf numFmtId="3" fontId="17" fillId="0" borderId="0" xfId="0" applyNumberFormat="1" applyFont="1" applyAlignment="1">
      <alignment vertical="center" wrapText="1"/>
    </xf>
    <xf numFmtId="0" fontId="49" fillId="0" borderId="0" xfId="0" applyFont="1" applyAlignment="1">
      <alignment horizontal="right"/>
    </xf>
    <xf numFmtId="0" fontId="17" fillId="0" borderId="0" xfId="0" applyFont="1" applyAlignment="1">
      <alignment horizontal="right"/>
    </xf>
    <xf numFmtId="10" fontId="17" fillId="4" borderId="0" xfId="0" applyNumberFormat="1" applyFont="1" applyFill="1" applyAlignment="1" applyProtection="1">
      <alignment horizontal="right"/>
      <protection locked="0"/>
    </xf>
    <xf numFmtId="165" fontId="49" fillId="0" borderId="0" xfId="0" applyNumberFormat="1" applyFont="1" applyAlignment="1">
      <alignment horizontal="right"/>
    </xf>
    <xf numFmtId="165" fontId="49" fillId="0" borderId="3" xfId="0" applyNumberFormat="1" applyFont="1" applyBorder="1" applyAlignment="1">
      <alignment horizontal="right"/>
    </xf>
    <xf numFmtId="0" fontId="49" fillId="0" borderId="3" xfId="0" applyFont="1" applyBorder="1" applyAlignment="1">
      <alignment horizontal="right"/>
    </xf>
    <xf numFmtId="3" fontId="17" fillId="4" borderId="0" xfId="0" applyNumberFormat="1" applyFont="1" applyFill="1" applyAlignment="1">
      <alignment vertical="center"/>
    </xf>
    <xf numFmtId="166" fontId="17" fillId="4" borderId="0" xfId="0" applyNumberFormat="1" applyFont="1" applyFill="1" applyAlignment="1">
      <alignment horizontal="right" vertical="center"/>
    </xf>
    <xf numFmtId="166" fontId="17" fillId="4" borderId="3" xfId="0" applyNumberFormat="1" applyFont="1" applyFill="1" applyBorder="1" applyAlignment="1">
      <alignment horizontal="right" vertical="center"/>
    </xf>
    <xf numFmtId="0" fontId="30" fillId="16" borderId="0" xfId="0" applyFont="1" applyFill="1" applyAlignment="1">
      <alignment vertical="center"/>
    </xf>
    <xf numFmtId="3" fontId="49" fillId="0" borderId="0" xfId="0" applyNumberFormat="1" applyFont="1" applyAlignment="1">
      <alignment vertical="center"/>
    </xf>
    <xf numFmtId="2" fontId="49" fillId="0" borderId="0" xfId="0" applyNumberFormat="1" applyFont="1"/>
    <xf numFmtId="0" fontId="17" fillId="0" borderId="0" xfId="0" applyFont="1" applyAlignment="1">
      <alignment horizontal="right" vertical="center"/>
    </xf>
    <xf numFmtId="4" fontId="49" fillId="0" borderId="0" xfId="0" applyNumberFormat="1" applyFont="1"/>
    <xf numFmtId="4" fontId="17" fillId="0" borderId="0" xfId="0" applyNumberFormat="1" applyFont="1" applyAlignment="1" applyProtection="1">
      <alignment horizontal="right" vertical="center"/>
      <protection locked="0"/>
    </xf>
    <xf numFmtId="4" fontId="17" fillId="0" borderId="3" xfId="0" applyNumberFormat="1" applyFont="1" applyBorder="1" applyAlignment="1" applyProtection="1">
      <alignment horizontal="right" vertical="center"/>
      <protection locked="0"/>
    </xf>
    <xf numFmtId="167" fontId="17" fillId="0" borderId="0" xfId="0" applyNumberFormat="1" applyFont="1" applyAlignment="1" applyProtection="1">
      <alignment horizontal="right" vertical="center"/>
      <protection locked="0"/>
    </xf>
    <xf numFmtId="167" fontId="49" fillId="0" borderId="0" xfId="0" applyNumberFormat="1" applyFont="1"/>
    <xf numFmtId="167" fontId="17" fillId="0" borderId="3" xfId="0" applyNumberFormat="1" applyFont="1" applyBorder="1" applyAlignment="1" applyProtection="1">
      <alignment horizontal="right" vertical="center"/>
      <protection locked="0"/>
    </xf>
    <xf numFmtId="167" fontId="49" fillId="4" borderId="0" xfId="0" applyNumberFormat="1" applyFont="1" applyFill="1"/>
    <xf numFmtId="0" fontId="49" fillId="4" borderId="0" xfId="0" applyFont="1" applyFill="1" applyAlignment="1">
      <alignment horizontal="right" vertical="center"/>
    </xf>
    <xf numFmtId="0" fontId="17" fillId="4" borderId="0" xfId="0" applyFont="1" applyFill="1" applyAlignment="1">
      <alignment horizontal="right" vertical="center"/>
    </xf>
    <xf numFmtId="0" fontId="49" fillId="4" borderId="3" xfId="0" applyFont="1" applyFill="1" applyBorder="1" applyAlignment="1">
      <alignment horizontal="right"/>
    </xf>
    <xf numFmtId="0" fontId="49" fillId="4" borderId="0" xfId="0" applyFont="1" applyFill="1" applyAlignment="1">
      <alignment horizontal="right"/>
    </xf>
    <xf numFmtId="0" fontId="56" fillId="16" borderId="0" xfId="0" applyFont="1" applyFill="1" applyAlignment="1">
      <alignment vertical="center"/>
    </xf>
    <xf numFmtId="1" fontId="49" fillId="0" borderId="0" xfId="0" applyNumberFormat="1" applyFont="1"/>
    <xf numFmtId="1" fontId="49" fillId="0" borderId="3" xfId="0" applyNumberFormat="1" applyFont="1" applyBorder="1"/>
    <xf numFmtId="165" fontId="49" fillId="4" borderId="0" xfId="0" applyNumberFormat="1" applyFont="1" applyFill="1" applyAlignment="1">
      <alignment horizontal="right"/>
    </xf>
    <xf numFmtId="2" fontId="49" fillId="0" borderId="0" xfId="0" applyNumberFormat="1" applyFont="1" applyAlignment="1">
      <alignment horizontal="right"/>
    </xf>
    <xf numFmtId="2" fontId="49" fillId="4" borderId="0" xfId="0" applyNumberFormat="1" applyFont="1" applyFill="1" applyAlignment="1">
      <alignment horizontal="right"/>
    </xf>
    <xf numFmtId="4" fontId="17" fillId="0" borderId="0" xfId="0" applyNumberFormat="1" applyFont="1" applyAlignment="1" applyProtection="1">
      <alignment horizontal="right"/>
      <protection locked="0"/>
    </xf>
    <xf numFmtId="4" fontId="17" fillId="0" borderId="3" xfId="0" applyNumberFormat="1" applyFont="1" applyBorder="1" applyAlignment="1" applyProtection="1">
      <alignment horizontal="right"/>
      <protection locked="0"/>
    </xf>
    <xf numFmtId="4" fontId="49" fillId="0" borderId="0" xfId="0" applyNumberFormat="1" applyFont="1" applyAlignment="1">
      <alignment horizontal="right"/>
    </xf>
    <xf numFmtId="4" fontId="49" fillId="0" borderId="3" xfId="0" applyNumberFormat="1" applyFont="1" applyBorder="1" applyAlignment="1">
      <alignment horizontal="right"/>
    </xf>
    <xf numFmtId="2" fontId="49" fillId="4" borderId="0" xfId="0" applyNumberFormat="1" applyFont="1" applyFill="1"/>
    <xf numFmtId="2" fontId="49" fillId="4" borderId="3" xfId="0" applyNumberFormat="1" applyFont="1" applyFill="1" applyBorder="1"/>
    <xf numFmtId="2" fontId="49" fillId="0" borderId="3" xfId="0" applyNumberFormat="1" applyFont="1" applyBorder="1"/>
    <xf numFmtId="2" fontId="49" fillId="4" borderId="3" xfId="0" applyNumberFormat="1" applyFont="1" applyFill="1" applyBorder="1" applyAlignment="1">
      <alignment horizontal="right"/>
    </xf>
    <xf numFmtId="9" fontId="17" fillId="4" borderId="0" xfId="0" applyNumberFormat="1" applyFont="1" applyFill="1" applyAlignment="1">
      <alignment horizontal="right" vertical="center"/>
    </xf>
    <xf numFmtId="9" fontId="49" fillId="4" borderId="0" xfId="0" applyNumberFormat="1" applyFont="1" applyFill="1"/>
    <xf numFmtId="9" fontId="49" fillId="4" borderId="0" xfId="0" applyNumberFormat="1" applyFont="1" applyFill="1" applyAlignment="1">
      <alignment horizontal="right"/>
    </xf>
    <xf numFmtId="9" fontId="49" fillId="4" borderId="3" xfId="0" applyNumberFormat="1" applyFont="1" applyFill="1" applyBorder="1"/>
    <xf numFmtId="9" fontId="49" fillId="0" borderId="3" xfId="0" applyNumberFormat="1" applyFont="1" applyBorder="1"/>
    <xf numFmtId="9" fontId="49" fillId="4" borderId="3" xfId="0" applyNumberFormat="1" applyFont="1" applyFill="1" applyBorder="1" applyAlignment="1">
      <alignment horizontal="right"/>
    </xf>
    <xf numFmtId="3" fontId="17" fillId="0" borderId="0" xfId="0" applyNumberFormat="1" applyFont="1" applyAlignment="1">
      <alignment horizontal="right" vertical="center"/>
    </xf>
    <xf numFmtId="170" fontId="17" fillId="0" borderId="0" xfId="0" applyNumberFormat="1" applyFont="1" applyAlignment="1">
      <alignment horizontal="right" wrapText="1"/>
    </xf>
    <xf numFmtId="179" fontId="17" fillId="0" borderId="0" xfId="0" applyNumberFormat="1" applyFont="1" applyAlignment="1">
      <alignment horizontal="right" wrapText="1"/>
    </xf>
    <xf numFmtId="0" fontId="30" fillId="0" borderId="18" xfId="0" applyFont="1" applyBorder="1" applyAlignment="1">
      <alignment vertical="center" wrapText="1"/>
    </xf>
    <xf numFmtId="165" fontId="49" fillId="0" borderId="18" xfId="0" applyNumberFormat="1" applyFont="1" applyBorder="1"/>
    <xf numFmtId="165" fontId="49" fillId="0" borderId="19" xfId="0" applyNumberFormat="1" applyFont="1" applyBorder="1"/>
    <xf numFmtId="0" fontId="25" fillId="4" borderId="0" xfId="0" applyFont="1" applyFill="1" applyAlignment="1">
      <alignment horizontal="left" vertical="center"/>
    </xf>
    <xf numFmtId="0" fontId="15" fillId="3" borderId="0" xfId="0" applyFont="1" applyFill="1" applyAlignment="1">
      <alignment horizontal="left"/>
    </xf>
    <xf numFmtId="0" fontId="17" fillId="4" borderId="0" xfId="0" applyFont="1" applyFill="1"/>
    <xf numFmtId="0" fontId="17" fillId="0" borderId="0" xfId="0" applyFont="1"/>
    <xf numFmtId="0" fontId="47" fillId="0" borderId="0" xfId="0" applyFont="1"/>
    <xf numFmtId="0" fontId="57" fillId="4" borderId="0" xfId="0" applyFont="1" applyFill="1"/>
    <xf numFmtId="0" fontId="47" fillId="0" borderId="0" xfId="0" applyFont="1" applyAlignment="1">
      <alignment horizontal="right"/>
    </xf>
    <xf numFmtId="3" fontId="17" fillId="4" borderId="0" xfId="0" applyNumberFormat="1" applyFont="1" applyFill="1"/>
    <xf numFmtId="1" fontId="49" fillId="0" borderId="0" xfId="0" applyNumberFormat="1" applyFont="1" applyAlignment="1">
      <alignment horizontal="right" vertical="center"/>
    </xf>
    <xf numFmtId="0" fontId="57" fillId="0" borderId="0" xfId="0" applyFont="1"/>
    <xf numFmtId="0" fontId="4" fillId="3" borderId="0" xfId="0" applyFont="1" applyFill="1" applyAlignment="1">
      <alignment vertical="top"/>
    </xf>
    <xf numFmtId="0" fontId="4" fillId="3" borderId="0" xfId="0" applyFont="1" applyFill="1" applyAlignment="1">
      <alignment horizontal="left" vertical="top"/>
    </xf>
    <xf numFmtId="0" fontId="18" fillId="6" borderId="1" xfId="0" applyFont="1" applyFill="1" applyBorder="1" applyAlignment="1">
      <alignment vertical="top"/>
    </xf>
    <xf numFmtId="0" fontId="4" fillId="4" borderId="0" xfId="0" applyFont="1" applyFill="1" applyAlignment="1">
      <alignment horizontal="left" vertical="top"/>
    </xf>
    <xf numFmtId="0" fontId="60" fillId="4" borderId="10" xfId="0" applyFont="1" applyFill="1" applyBorder="1" applyAlignment="1">
      <alignment vertical="top" wrapText="1"/>
    </xf>
    <xf numFmtId="0" fontId="60" fillId="4" borderId="10" xfId="0" applyFont="1" applyFill="1" applyBorder="1" applyAlignment="1">
      <alignment horizontal="left" vertical="top" wrapText="1"/>
    </xf>
    <xf numFmtId="0" fontId="60" fillId="4" borderId="10" xfId="0" applyFont="1" applyFill="1" applyBorder="1" applyAlignment="1">
      <alignment horizontal="left" vertical="top"/>
    </xf>
    <xf numFmtId="0" fontId="37" fillId="4" borderId="20" xfId="0" applyFont="1" applyFill="1" applyBorder="1" applyAlignment="1">
      <alignment vertical="top" wrapText="1"/>
    </xf>
    <xf numFmtId="0" fontId="61" fillId="4" borderId="20" xfId="0" applyFont="1" applyFill="1" applyBorder="1" applyAlignment="1">
      <alignment horizontal="left" vertical="top" wrapText="1"/>
    </xf>
    <xf numFmtId="0" fontId="60" fillId="4" borderId="20" xfId="0" applyFont="1" applyFill="1" applyBorder="1" applyAlignment="1">
      <alignment horizontal="left" vertical="top"/>
    </xf>
    <xf numFmtId="0" fontId="37" fillId="4" borderId="20" xfId="0" applyFont="1" applyFill="1" applyBorder="1" applyAlignment="1">
      <alignment horizontal="left" vertical="top"/>
    </xf>
    <xf numFmtId="14" fontId="37" fillId="4" borderId="20" xfId="0" applyNumberFormat="1" applyFont="1" applyFill="1" applyBorder="1" applyAlignment="1">
      <alignment horizontal="left" vertical="top"/>
    </xf>
    <xf numFmtId="0" fontId="30" fillId="4" borderId="20" xfId="0" applyFont="1" applyFill="1" applyBorder="1" applyAlignment="1">
      <alignment horizontal="left" vertical="top"/>
    </xf>
    <xf numFmtId="0" fontId="60" fillId="4" borderId="0" xfId="0" applyFont="1" applyFill="1" applyAlignment="1">
      <alignment vertical="top" wrapText="1"/>
    </xf>
    <xf numFmtId="0" fontId="61" fillId="4" borderId="0" xfId="0" applyFont="1" applyFill="1" applyAlignment="1">
      <alignment horizontal="left" vertical="top" wrapText="1"/>
    </xf>
    <xf numFmtId="0" fontId="60" fillId="4" borderId="0" xfId="0" applyFont="1" applyFill="1" applyAlignment="1">
      <alignment horizontal="left" vertical="top"/>
    </xf>
    <xf numFmtId="0" fontId="37" fillId="4" borderId="0" xfId="0" applyFont="1" applyFill="1" applyAlignment="1">
      <alignment horizontal="left" vertical="top"/>
    </xf>
    <xf numFmtId="14" fontId="37" fillId="4" borderId="0" xfId="0" applyNumberFormat="1" applyFont="1" applyFill="1" applyAlignment="1">
      <alignment horizontal="left" vertical="top"/>
    </xf>
    <xf numFmtId="0" fontId="30" fillId="4" borderId="0" xfId="0" applyFont="1" applyFill="1" applyAlignment="1">
      <alignment horizontal="left" vertical="top"/>
    </xf>
    <xf numFmtId="0" fontId="62" fillId="4" borderId="10" xfId="0" applyFont="1" applyFill="1" applyBorder="1" applyAlignment="1">
      <alignment vertical="top" wrapText="1"/>
    </xf>
    <xf numFmtId="0" fontId="62" fillId="4" borderId="10" xfId="0" applyFont="1" applyFill="1" applyBorder="1" applyAlignment="1">
      <alignment horizontal="left" vertical="top" wrapText="1"/>
    </xf>
    <xf numFmtId="0" fontId="62" fillId="4" borderId="10" xfId="0" applyFont="1" applyFill="1" applyBorder="1" applyAlignment="1">
      <alignment horizontal="left" vertical="top"/>
    </xf>
    <xf numFmtId="0" fontId="63" fillId="4" borderId="10" xfId="0" applyFont="1" applyFill="1" applyBorder="1" applyAlignment="1">
      <alignment horizontal="left" vertical="top"/>
    </xf>
    <xf numFmtId="14" fontId="63" fillId="4" borderId="10" xfId="0" applyNumberFormat="1" applyFont="1" applyFill="1" applyBorder="1" applyAlignment="1">
      <alignment horizontal="left" vertical="top"/>
    </xf>
    <xf numFmtId="0" fontId="63" fillId="4" borderId="0" xfId="0" applyFont="1" applyFill="1" applyAlignment="1">
      <alignment vertical="top" wrapText="1"/>
    </xf>
    <xf numFmtId="0" fontId="63" fillId="4" borderId="0" xfId="0" applyFont="1" applyFill="1" applyAlignment="1">
      <alignment horizontal="left" vertical="top" wrapText="1"/>
    </xf>
    <xf numFmtId="0" fontId="59" fillId="4" borderId="0" xfId="0" applyFont="1" applyFill="1" applyAlignment="1">
      <alignment horizontal="left" vertical="top" wrapText="1"/>
    </xf>
    <xf numFmtId="0" fontId="63" fillId="4" borderId="0" xfId="0" applyFont="1" applyFill="1" applyAlignment="1">
      <alignment horizontal="left" vertical="top"/>
    </xf>
    <xf numFmtId="14" fontId="63" fillId="4" borderId="0" xfId="0" applyNumberFormat="1" applyFont="1" applyFill="1" applyAlignment="1">
      <alignment horizontal="left" vertical="top"/>
    </xf>
    <xf numFmtId="0" fontId="37" fillId="4" borderId="21" xfId="0" applyFont="1" applyFill="1" applyBorder="1" applyAlignment="1">
      <alignment vertical="top" wrapText="1"/>
    </xf>
    <xf numFmtId="0" fontId="61" fillId="4" borderId="21" xfId="0" applyFont="1" applyFill="1" applyBorder="1" applyAlignment="1">
      <alignment horizontal="left" vertical="top" wrapText="1"/>
    </xf>
    <xf numFmtId="0" fontId="60" fillId="4" borderId="21" xfId="0" applyFont="1" applyFill="1" applyBorder="1" applyAlignment="1">
      <alignment horizontal="left" vertical="top"/>
    </xf>
    <xf numFmtId="0" fontId="37" fillId="4" borderId="21" xfId="0" applyFont="1" applyFill="1" applyBorder="1" applyAlignment="1">
      <alignment horizontal="left" vertical="top"/>
    </xf>
    <xf numFmtId="14" fontId="37" fillId="4" borderId="21" xfId="0" applyNumberFormat="1" applyFont="1" applyFill="1" applyBorder="1" applyAlignment="1">
      <alignment horizontal="left" vertical="top"/>
    </xf>
    <xf numFmtId="0" fontId="30" fillId="4" borderId="21" xfId="0" applyFont="1" applyFill="1" applyBorder="1" applyAlignment="1">
      <alignment horizontal="left" vertical="top"/>
    </xf>
    <xf numFmtId="0" fontId="37" fillId="4" borderId="10" xfId="0" applyFont="1" applyFill="1" applyBorder="1" applyAlignment="1">
      <alignment vertical="top" wrapText="1"/>
    </xf>
    <xf numFmtId="0" fontId="37" fillId="4" borderId="10" xfId="0" applyFont="1" applyFill="1" applyBorder="1" applyAlignment="1">
      <alignment horizontal="left" vertical="top" wrapText="1"/>
    </xf>
    <xf numFmtId="0" fontId="59" fillId="4" borderId="10" xfId="0" applyFont="1" applyFill="1" applyBorder="1" applyAlignment="1">
      <alignment horizontal="left" vertical="top" wrapText="1"/>
    </xf>
    <xf numFmtId="0" fontId="37" fillId="4" borderId="10" xfId="0" applyFont="1" applyFill="1" applyBorder="1" applyAlignment="1">
      <alignment horizontal="left" vertical="top"/>
    </xf>
    <xf numFmtId="14" fontId="37" fillId="4" borderId="10" xfId="0" applyNumberFormat="1" applyFont="1" applyFill="1" applyBorder="1" applyAlignment="1">
      <alignment horizontal="left" vertical="top"/>
    </xf>
    <xf numFmtId="0" fontId="30" fillId="4" borderId="10" xfId="0" applyFont="1" applyFill="1" applyBorder="1" applyAlignment="1">
      <alignment horizontal="left" vertical="top"/>
    </xf>
    <xf numFmtId="0" fontId="37" fillId="4" borderId="0" xfId="0" applyFont="1" applyFill="1" applyAlignment="1">
      <alignment vertical="top" wrapText="1"/>
    </xf>
    <xf numFmtId="0" fontId="37" fillId="4" borderId="0" xfId="0" applyFont="1" applyFill="1" applyAlignment="1">
      <alignment horizontal="left" vertical="top" wrapText="1"/>
    </xf>
    <xf numFmtId="0" fontId="30" fillId="4" borderId="0" xfId="0" applyFont="1" applyFill="1" applyAlignment="1">
      <alignment vertical="top" wrapText="1"/>
    </xf>
    <xf numFmtId="0" fontId="59" fillId="0" borderId="0" xfId="0" applyFont="1" applyAlignment="1">
      <alignment horizontal="left" vertical="top" wrapText="1"/>
    </xf>
    <xf numFmtId="0" fontId="61" fillId="4" borderId="10" xfId="0" applyFont="1" applyFill="1" applyBorder="1" applyAlignment="1">
      <alignment horizontal="left" vertical="top" wrapText="1"/>
    </xf>
    <xf numFmtId="0" fontId="60" fillId="4" borderId="20" xfId="0" applyFont="1" applyFill="1" applyBorder="1" applyAlignment="1">
      <alignment vertical="top" wrapText="1"/>
    </xf>
    <xf numFmtId="0" fontId="37" fillId="4" borderId="0" xfId="0" applyFont="1" applyFill="1" applyAlignment="1">
      <alignment vertical="top"/>
    </xf>
    <xf numFmtId="0" fontId="60" fillId="4" borderId="0" xfId="0" applyFont="1" applyFill="1" applyAlignment="1">
      <alignment horizontal="left" vertical="top" wrapText="1"/>
    </xf>
    <xf numFmtId="0" fontId="37" fillId="4" borderId="10" xfId="0" applyFont="1" applyFill="1" applyBorder="1" applyAlignment="1">
      <alignment vertical="top"/>
    </xf>
    <xf numFmtId="0" fontId="37" fillId="4" borderId="21" xfId="0" applyFont="1" applyFill="1" applyBorder="1" applyAlignment="1">
      <alignment vertical="top"/>
    </xf>
    <xf numFmtId="0" fontId="64" fillId="4" borderId="0" xfId="0" applyFont="1" applyFill="1" applyAlignment="1">
      <alignment horizontal="left" vertical="top"/>
    </xf>
    <xf numFmtId="0" fontId="65" fillId="4" borderId="10" xfId="0" applyFont="1" applyFill="1" applyBorder="1" applyAlignment="1">
      <alignment vertical="top"/>
    </xf>
    <xf numFmtId="0" fontId="66" fillId="4" borderId="10" xfId="0" applyFont="1" applyFill="1" applyBorder="1" applyAlignment="1">
      <alignment horizontal="left" vertical="top" wrapText="1"/>
    </xf>
    <xf numFmtId="0" fontId="57" fillId="4" borderId="0" xfId="0" applyFont="1" applyFill="1" applyAlignment="1">
      <alignment horizontal="left" vertical="top"/>
    </xf>
    <xf numFmtId="0" fontId="65" fillId="4" borderId="0" xfId="0" applyFont="1" applyFill="1" applyAlignment="1">
      <alignment vertical="top"/>
    </xf>
    <xf numFmtId="0" fontId="66" fillId="4" borderId="0" xfId="0" applyFont="1" applyFill="1" applyAlignment="1">
      <alignment horizontal="left" vertical="top" wrapText="1"/>
    </xf>
    <xf numFmtId="0" fontId="37" fillId="4" borderId="20" xfId="0" applyFont="1" applyFill="1" applyBorder="1" applyAlignment="1">
      <alignment vertical="top"/>
    </xf>
    <xf numFmtId="0" fontId="65" fillId="4" borderId="21" xfId="0" applyFont="1" applyFill="1" applyBorder="1" applyAlignment="1">
      <alignment vertical="top"/>
    </xf>
    <xf numFmtId="0" fontId="67" fillId="4" borderId="21" xfId="0" applyFont="1" applyFill="1" applyBorder="1" applyAlignment="1">
      <alignment horizontal="left" vertical="top"/>
    </xf>
    <xf numFmtId="0" fontId="59" fillId="4" borderId="21" xfId="0" applyFont="1" applyFill="1" applyBorder="1" applyAlignment="1">
      <alignment horizontal="left" vertical="top"/>
    </xf>
    <xf numFmtId="14" fontId="63" fillId="4" borderId="21" xfId="0" applyNumberFormat="1" applyFont="1" applyFill="1" applyBorder="1" applyAlignment="1">
      <alignment horizontal="left" vertical="top"/>
    </xf>
    <xf numFmtId="0" fontId="63" fillId="4" borderId="21" xfId="0" applyFont="1" applyFill="1" applyBorder="1" applyAlignment="1">
      <alignment horizontal="left" vertical="top"/>
    </xf>
    <xf numFmtId="0" fontId="57" fillId="4" borderId="0" xfId="0" applyFont="1" applyFill="1" applyAlignment="1">
      <alignment horizontal="left" wrapText="1"/>
    </xf>
    <xf numFmtId="0" fontId="57" fillId="4" borderId="0" xfId="0" applyFont="1" applyFill="1" applyAlignment="1">
      <alignment horizontal="left"/>
    </xf>
    <xf numFmtId="0" fontId="58" fillId="4" borderId="0" xfId="0" applyFont="1" applyFill="1" applyAlignment="1">
      <alignment horizontal="left"/>
    </xf>
    <xf numFmtId="0" fontId="68" fillId="4" borderId="0" xfId="0" applyFont="1" applyFill="1" applyAlignment="1">
      <alignment horizontal="left"/>
    </xf>
    <xf numFmtId="0" fontId="57" fillId="0" borderId="0" xfId="0" applyFont="1" applyAlignment="1">
      <alignment horizontal="left" wrapText="1"/>
    </xf>
    <xf numFmtId="0" fontId="57" fillId="0" borderId="0" xfId="0" applyFont="1" applyAlignment="1">
      <alignment horizontal="left"/>
    </xf>
    <xf numFmtId="0" fontId="58" fillId="0" borderId="0" xfId="0" applyFont="1" applyAlignment="1">
      <alignment horizontal="left"/>
    </xf>
    <xf numFmtId="0" fontId="68" fillId="0" borderId="0" xfId="0" applyFont="1" applyAlignment="1">
      <alignment horizontal="left"/>
    </xf>
    <xf numFmtId="0" fontId="69" fillId="3" borderId="0" xfId="0" applyFont="1" applyFill="1"/>
    <xf numFmtId="0" fontId="70" fillId="3" borderId="0" xfId="0" applyFont="1" applyFill="1"/>
    <xf numFmtId="0" fontId="40" fillId="4" borderId="0" xfId="0" applyFont="1" applyFill="1" applyAlignment="1">
      <alignment horizontal="right" vertical="center"/>
    </xf>
    <xf numFmtId="0" fontId="52" fillId="4" borderId="0" xfId="0" applyFont="1" applyFill="1" applyAlignment="1">
      <alignment horizontal="right" vertical="center"/>
    </xf>
    <xf numFmtId="0" fontId="24" fillId="4" borderId="12" xfId="0" applyFont="1" applyFill="1" applyBorder="1" applyAlignment="1">
      <alignment horizontal="left" vertical="center"/>
    </xf>
    <xf numFmtId="0" fontId="24" fillId="4" borderId="12" xfId="0" applyFont="1" applyFill="1" applyBorder="1" applyAlignment="1">
      <alignment horizontal="right" vertical="center"/>
    </xf>
    <xf numFmtId="0" fontId="53" fillId="4" borderId="12" xfId="0" applyFont="1" applyFill="1" applyBorder="1" applyAlignment="1">
      <alignment horizontal="right" vertical="center"/>
    </xf>
    <xf numFmtId="3" fontId="25" fillId="4" borderId="0" xfId="0" applyNumberFormat="1" applyFont="1" applyFill="1" applyAlignment="1" applyProtection="1">
      <alignment vertical="top" wrapText="1"/>
      <protection locked="0"/>
    </xf>
    <xf numFmtId="3" fontId="54" fillId="4" borderId="0" xfId="0" applyNumberFormat="1" applyFont="1" applyFill="1" applyAlignment="1" applyProtection="1">
      <alignment vertical="top" wrapText="1"/>
      <protection locked="0"/>
    </xf>
    <xf numFmtId="167" fontId="25" fillId="4" borderId="12" xfId="0" applyNumberFormat="1" applyFont="1" applyFill="1" applyBorder="1" applyAlignment="1" applyProtection="1">
      <alignment vertical="top" wrapText="1"/>
      <protection locked="0"/>
    </xf>
    <xf numFmtId="3" fontId="25" fillId="4" borderId="12" xfId="0" applyNumberFormat="1" applyFont="1" applyFill="1" applyBorder="1" applyAlignment="1" applyProtection="1">
      <alignment vertical="top" wrapText="1"/>
      <protection locked="0"/>
    </xf>
    <xf numFmtId="3" fontId="54" fillId="4" borderId="12" xfId="0" applyNumberFormat="1" applyFont="1" applyFill="1" applyBorder="1" applyAlignment="1" applyProtection="1">
      <alignment vertical="top" wrapText="1"/>
      <protection locked="0"/>
    </xf>
    <xf numFmtId="3" fontId="25" fillId="4" borderId="0" xfId="0" applyNumberFormat="1" applyFont="1" applyFill="1" applyAlignment="1" applyProtection="1">
      <alignment horizontal="right" vertical="top" wrapText="1"/>
      <protection locked="0"/>
    </xf>
    <xf numFmtId="167" fontId="54" fillId="4" borderId="0" xfId="0" applyNumberFormat="1" applyFont="1" applyFill="1" applyAlignment="1" applyProtection="1">
      <alignment vertical="top" wrapText="1"/>
      <protection locked="0"/>
    </xf>
    <xf numFmtId="167" fontId="25" fillId="4" borderId="0" xfId="0" applyNumberFormat="1" applyFont="1" applyFill="1" applyAlignment="1" applyProtection="1">
      <alignment vertical="top" wrapText="1"/>
      <protection locked="0"/>
    </xf>
    <xf numFmtId="0" fontId="24" fillId="13" borderId="0" xfId="0" applyFont="1" applyFill="1" applyAlignment="1">
      <alignment vertical="top" wrapText="1"/>
    </xf>
    <xf numFmtId="167" fontId="24" fillId="13" borderId="0" xfId="0" applyNumberFormat="1" applyFont="1" applyFill="1" applyAlignment="1" applyProtection="1">
      <alignment vertical="top" wrapText="1"/>
      <protection locked="0"/>
    </xf>
    <xf numFmtId="167" fontId="53" fillId="13" borderId="0" xfId="0" applyNumberFormat="1" applyFont="1" applyFill="1" applyAlignment="1" applyProtection="1">
      <alignment vertical="top" wrapText="1"/>
      <protection locked="0"/>
    </xf>
    <xf numFmtId="0" fontId="57" fillId="4" borderId="0" xfId="0" applyFont="1" applyFill="1" applyAlignment="1">
      <alignment vertical="top" wrapText="1"/>
    </xf>
    <xf numFmtId="0" fontId="17" fillId="4" borderId="0" xfId="0" applyFont="1" applyFill="1" applyAlignment="1">
      <alignment vertical="top" wrapText="1"/>
    </xf>
    <xf numFmtId="0" fontId="2" fillId="4" borderId="0" xfId="0" applyFont="1" applyFill="1"/>
    <xf numFmtId="0" fontId="71" fillId="4" borderId="0" xfId="0" applyFont="1" applyFill="1"/>
    <xf numFmtId="9" fontId="25" fillId="4" borderId="0" xfId="0" applyNumberFormat="1" applyFont="1" applyFill="1" applyAlignment="1" applyProtection="1">
      <alignment vertical="top" wrapText="1"/>
      <protection locked="0"/>
    </xf>
    <xf numFmtId="9" fontId="54" fillId="4" borderId="0" xfId="0" applyNumberFormat="1" applyFont="1" applyFill="1" applyAlignment="1" applyProtection="1">
      <alignment vertical="top" wrapText="1"/>
      <protection locked="0"/>
    </xf>
    <xf numFmtId="49" fontId="25" fillId="4" borderId="0" xfId="0" applyNumberFormat="1" applyFont="1" applyFill="1" applyAlignment="1">
      <alignment vertical="top" wrapText="1"/>
    </xf>
    <xf numFmtId="170" fontId="25" fillId="4" borderId="0" xfId="0" applyNumberFormat="1" applyFont="1" applyFill="1" applyAlignment="1" applyProtection="1">
      <alignment horizontal="right" vertical="top" wrapText="1"/>
      <protection locked="0"/>
    </xf>
    <xf numFmtId="170" fontId="54" fillId="4" borderId="0" xfId="0" applyNumberFormat="1" applyFont="1" applyFill="1" applyAlignment="1" applyProtection="1">
      <alignment horizontal="right" vertical="top" wrapText="1"/>
      <protection locked="0"/>
    </xf>
    <xf numFmtId="170" fontId="31" fillId="4" borderId="0" xfId="0" applyNumberFormat="1" applyFont="1" applyFill="1" applyAlignment="1" applyProtection="1">
      <alignment horizontal="right" vertical="top" wrapText="1"/>
      <protection locked="0"/>
    </xf>
    <xf numFmtId="9" fontId="25" fillId="4" borderId="0" xfId="0" applyNumberFormat="1" applyFont="1" applyFill="1" applyAlignment="1" applyProtection="1">
      <alignment horizontal="right" vertical="top" wrapText="1"/>
      <protection locked="0"/>
    </xf>
    <xf numFmtId="166" fontId="25" fillId="4" borderId="0" xfId="0" applyNumberFormat="1" applyFont="1" applyFill="1" applyAlignment="1" applyProtection="1">
      <alignment horizontal="right" vertical="top" wrapText="1"/>
      <protection locked="0"/>
    </xf>
    <xf numFmtId="166" fontId="54" fillId="4" borderId="0" xfId="0" applyNumberFormat="1" applyFont="1" applyFill="1" applyAlignment="1" applyProtection="1">
      <alignment horizontal="right" vertical="top" wrapText="1"/>
      <protection locked="0"/>
    </xf>
    <xf numFmtId="49" fontId="54" fillId="4" borderId="0" xfId="0" applyNumberFormat="1" applyFont="1" applyFill="1" applyAlignment="1" applyProtection="1">
      <alignment horizontal="right" vertical="top" wrapText="1"/>
      <protection locked="0"/>
    </xf>
    <xf numFmtId="9" fontId="54" fillId="4" borderId="0" xfId="0" applyNumberFormat="1" applyFont="1" applyFill="1" applyAlignment="1" applyProtection="1">
      <alignment horizontal="right" vertical="top" wrapText="1"/>
      <protection locked="0"/>
    </xf>
    <xf numFmtId="0" fontId="25" fillId="4" borderId="0" xfId="0" applyFont="1" applyFill="1" applyAlignment="1">
      <alignment horizontal="right" vertical="top" wrapText="1"/>
    </xf>
    <xf numFmtId="0" fontId="54" fillId="4" borderId="0" xfId="0" applyFont="1" applyFill="1" applyAlignment="1">
      <alignment horizontal="right" vertical="top" wrapText="1"/>
    </xf>
    <xf numFmtId="0" fontId="72" fillId="4" borderId="0" xfId="0" applyFont="1" applyFill="1"/>
    <xf numFmtId="0" fontId="15" fillId="3" borderId="0" xfId="0" applyFont="1" applyFill="1" applyAlignment="1">
      <alignment vertical="top"/>
    </xf>
    <xf numFmtId="0" fontId="15" fillId="3" borderId="0" xfId="0" applyFont="1" applyFill="1" applyAlignment="1">
      <alignment horizontal="left" vertical="top"/>
    </xf>
    <xf numFmtId="170" fontId="15" fillId="3" borderId="0" xfId="0" applyNumberFormat="1" applyFont="1" applyFill="1" applyAlignment="1">
      <alignment horizontal="left" vertical="top"/>
    </xf>
    <xf numFmtId="0" fontId="15" fillId="0" borderId="0" xfId="0" applyFont="1"/>
    <xf numFmtId="0" fontId="15" fillId="7" borderId="0" xfId="0" applyFont="1" applyFill="1" applyAlignment="1">
      <alignment horizontal="left" vertical="top"/>
    </xf>
    <xf numFmtId="170" fontId="15" fillId="7" borderId="0" xfId="0" applyNumberFormat="1" applyFont="1" applyFill="1" applyAlignment="1">
      <alignment horizontal="left" vertical="top"/>
    </xf>
    <xf numFmtId="0" fontId="15" fillId="7" borderId="0" xfId="0" applyFont="1" applyFill="1" applyAlignment="1">
      <alignment horizontal="left"/>
    </xf>
    <xf numFmtId="0" fontId="15" fillId="4" borderId="0" xfId="0" applyFont="1" applyFill="1"/>
    <xf numFmtId="0" fontId="16" fillId="4" borderId="10" xfId="0" applyFont="1" applyFill="1" applyBorder="1" applyAlignment="1">
      <alignment horizontal="left" vertical="top" wrapText="1"/>
    </xf>
    <xf numFmtId="170" fontId="16" fillId="4" borderId="10" xfId="0" applyNumberFormat="1" applyFont="1" applyFill="1" applyBorder="1" applyAlignment="1">
      <alignment horizontal="left" vertical="top" wrapText="1"/>
    </xf>
    <xf numFmtId="0" fontId="49" fillId="0" borderId="0" xfId="0" applyFont="1" applyAlignment="1">
      <alignment horizontal="left"/>
    </xf>
    <xf numFmtId="0" fontId="46" fillId="4" borderId="10" xfId="0" applyFont="1" applyFill="1" applyBorder="1" applyAlignment="1">
      <alignment horizontal="left" vertical="center"/>
    </xf>
    <xf numFmtId="0" fontId="46" fillId="4" borderId="10" xfId="0" applyFont="1" applyFill="1" applyBorder="1" applyAlignment="1">
      <alignment horizontal="right" vertical="center"/>
    </xf>
    <xf numFmtId="0" fontId="46" fillId="4" borderId="11" xfId="0" applyFont="1" applyFill="1" applyBorder="1" applyAlignment="1">
      <alignment horizontal="right" vertical="center"/>
    </xf>
    <xf numFmtId="0" fontId="16" fillId="0" borderId="10" xfId="0" applyFont="1" applyBorder="1"/>
    <xf numFmtId="0" fontId="16" fillId="13" borderId="10" xfId="0" applyFont="1" applyFill="1" applyBorder="1" applyAlignment="1">
      <alignment horizontal="right"/>
    </xf>
    <xf numFmtId="14" fontId="17" fillId="4" borderId="20" xfId="0" applyNumberFormat="1" applyFont="1" applyFill="1" applyBorder="1" applyAlignment="1">
      <alignment horizontal="left" vertical="top" wrapText="1"/>
    </xf>
    <xf numFmtId="0" fontId="73" fillId="4" borderId="20" xfId="0" applyFont="1" applyFill="1" applyBorder="1" applyAlignment="1">
      <alignment horizontal="left" vertical="top" wrapText="1"/>
    </xf>
    <xf numFmtId="0" fontId="17" fillId="4" borderId="20" xfId="0" applyFont="1" applyFill="1" applyBorder="1" applyAlignment="1">
      <alignment horizontal="left" vertical="top" wrapText="1"/>
    </xf>
    <xf numFmtId="170" fontId="17" fillId="4" borderId="20" xfId="0" applyNumberFormat="1" applyFont="1" applyFill="1" applyBorder="1" applyAlignment="1">
      <alignment horizontal="left" vertical="top" wrapText="1"/>
    </xf>
    <xf numFmtId="0" fontId="46" fillId="13" borderId="22" xfId="0" applyFont="1" applyFill="1" applyBorder="1"/>
    <xf numFmtId="0" fontId="49" fillId="13" borderId="22" xfId="0" applyFont="1" applyFill="1" applyBorder="1"/>
    <xf numFmtId="3" fontId="17" fillId="13" borderId="0" xfId="0" applyNumberFormat="1" applyFont="1" applyFill="1"/>
    <xf numFmtId="14" fontId="17" fillId="4" borderId="0" xfId="0" applyNumberFormat="1" applyFont="1" applyFill="1" applyAlignment="1">
      <alignment horizontal="left" vertical="top" wrapText="1"/>
    </xf>
    <xf numFmtId="0" fontId="73" fillId="4" borderId="0" xfId="0" applyFont="1" applyFill="1" applyAlignment="1">
      <alignment horizontal="left" vertical="top" wrapText="1"/>
    </xf>
    <xf numFmtId="0" fontId="17" fillId="4" borderId="0" xfId="0" applyFont="1" applyFill="1" applyAlignment="1">
      <alignment horizontal="left" vertical="top" wrapText="1"/>
    </xf>
    <xf numFmtId="170" fontId="17" fillId="4" borderId="0" xfId="0" applyNumberFormat="1" applyFont="1" applyFill="1" applyAlignment="1">
      <alignment horizontal="left" vertical="top" wrapText="1"/>
    </xf>
    <xf numFmtId="0" fontId="49" fillId="4" borderId="0" xfId="0" applyFont="1" applyFill="1" applyAlignment="1">
      <alignment horizontal="left"/>
    </xf>
    <xf numFmtId="170" fontId="49" fillId="4" borderId="3" xfId="0" applyNumberFormat="1" applyFont="1" applyFill="1" applyBorder="1" applyAlignment="1">
      <alignment horizontal="right"/>
    </xf>
    <xf numFmtId="3" fontId="17" fillId="0" borderId="10" xfId="0" applyNumberFormat="1" applyFont="1" applyBorder="1"/>
    <xf numFmtId="3" fontId="17" fillId="13" borderId="10" xfId="0" applyNumberFormat="1" applyFont="1" applyFill="1" applyBorder="1"/>
    <xf numFmtId="170" fontId="17" fillId="4" borderId="0" xfId="0" applyNumberFormat="1" applyFont="1" applyFill="1" applyAlignment="1">
      <alignment horizontal="right" vertical="top" wrapText="1"/>
    </xf>
    <xf numFmtId="9" fontId="49" fillId="4" borderId="0" xfId="0" applyNumberFormat="1" applyFont="1" applyFill="1" applyAlignment="1">
      <alignment horizontal="left"/>
    </xf>
    <xf numFmtId="1" fontId="49" fillId="4" borderId="3" xfId="0" applyNumberFormat="1" applyFont="1" applyFill="1" applyBorder="1" applyAlignment="1">
      <alignment horizontal="right" vertical="center"/>
    </xf>
    <xf numFmtId="0" fontId="17" fillId="4" borderId="0" xfId="0" applyFont="1" applyFill="1" applyAlignment="1">
      <alignment horizontal="right" vertical="top" wrapText="1"/>
    </xf>
    <xf numFmtId="3" fontId="49" fillId="4" borderId="0" xfId="0" applyNumberFormat="1" applyFont="1" applyFill="1" applyAlignment="1">
      <alignment horizontal="left" vertical="top"/>
    </xf>
    <xf numFmtId="14" fontId="17" fillId="4" borderId="10" xfId="0" applyNumberFormat="1" applyFont="1" applyFill="1" applyBorder="1" applyAlignment="1">
      <alignment horizontal="left" vertical="top" wrapText="1"/>
    </xf>
    <xf numFmtId="0" fontId="73" fillId="4" borderId="10" xfId="0" applyFont="1" applyFill="1" applyBorder="1" applyAlignment="1">
      <alignment horizontal="left" vertical="top" wrapText="1"/>
    </xf>
    <xf numFmtId="0" fontId="17" fillId="4" borderId="10" xfId="0" applyFont="1" applyFill="1" applyBorder="1" applyAlignment="1">
      <alignment horizontal="left" vertical="top" wrapText="1"/>
    </xf>
    <xf numFmtId="170" fontId="17" fillId="4" borderId="10" xfId="0" applyNumberFormat="1" applyFont="1" applyFill="1" applyBorder="1" applyAlignment="1">
      <alignment horizontal="left" vertical="top" wrapText="1"/>
    </xf>
    <xf numFmtId="3" fontId="49" fillId="4" borderId="10" xfId="0" applyNumberFormat="1" applyFont="1" applyFill="1" applyBorder="1" applyAlignment="1">
      <alignment horizontal="left" vertical="top"/>
    </xf>
    <xf numFmtId="166" fontId="49" fillId="4" borderId="3" xfId="0" applyNumberFormat="1" applyFont="1" applyFill="1" applyBorder="1" applyAlignment="1">
      <alignment horizontal="right"/>
    </xf>
    <xf numFmtId="0" fontId="49" fillId="4" borderId="0" xfId="0" applyFont="1" applyFill="1" applyAlignment="1">
      <alignment horizontal="left" vertical="top"/>
    </xf>
    <xf numFmtId="0" fontId="46" fillId="4" borderId="12" xfId="0" applyFont="1" applyFill="1" applyBorder="1"/>
    <xf numFmtId="0" fontId="49" fillId="4" borderId="12" xfId="0" applyFont="1" applyFill="1" applyBorder="1"/>
    <xf numFmtId="3" fontId="49" fillId="4" borderId="0" xfId="0" applyNumberFormat="1" applyFont="1" applyFill="1" applyAlignment="1">
      <alignment vertical="center"/>
    </xf>
    <xf numFmtId="3" fontId="49" fillId="4" borderId="3" xfId="0" applyNumberFormat="1" applyFont="1" applyFill="1" applyBorder="1" applyAlignment="1">
      <alignment vertical="center"/>
    </xf>
    <xf numFmtId="0" fontId="49" fillId="4" borderId="10" xfId="0" applyFont="1" applyFill="1" applyBorder="1" applyAlignment="1">
      <alignment horizontal="left" vertical="top"/>
    </xf>
    <xf numFmtId="0" fontId="17" fillId="4" borderId="21" xfId="0" applyFont="1" applyFill="1" applyBorder="1" applyAlignment="1">
      <alignment horizontal="left" vertical="top" wrapText="1"/>
    </xf>
    <xf numFmtId="0" fontId="73" fillId="4" borderId="21" xfId="0" applyFont="1" applyFill="1" applyBorder="1" applyAlignment="1">
      <alignment horizontal="left" vertical="top" wrapText="1"/>
    </xf>
    <xf numFmtId="170" fontId="17" fillId="4" borderId="21" xfId="0" applyNumberFormat="1" applyFont="1" applyFill="1" applyBorder="1" applyAlignment="1">
      <alignment horizontal="left" vertical="top" wrapText="1"/>
    </xf>
    <xf numFmtId="0" fontId="49" fillId="4" borderId="21" xfId="0" applyFont="1" applyFill="1" applyBorder="1" applyAlignment="1">
      <alignment horizontal="left" vertical="top"/>
    </xf>
    <xf numFmtId="0" fontId="46" fillId="9" borderId="0" xfId="0" applyFont="1" applyFill="1" applyAlignment="1">
      <alignment vertical="center"/>
    </xf>
    <xf numFmtId="3" fontId="49" fillId="17" borderId="0" xfId="0" applyNumberFormat="1" applyFont="1" applyFill="1" applyAlignment="1">
      <alignment vertical="center"/>
    </xf>
    <xf numFmtId="3" fontId="49" fillId="9" borderId="0" xfId="0" applyNumberFormat="1" applyFont="1" applyFill="1" applyAlignment="1">
      <alignment vertical="center"/>
    </xf>
    <xf numFmtId="3" fontId="49" fillId="9" borderId="3" xfId="0" applyNumberFormat="1" applyFont="1" applyFill="1" applyBorder="1" applyAlignment="1">
      <alignment vertical="center"/>
    </xf>
    <xf numFmtId="0" fontId="46" fillId="4" borderId="0" xfId="0" applyFont="1" applyFill="1" applyAlignment="1">
      <alignment vertical="center"/>
    </xf>
    <xf numFmtId="9" fontId="49" fillId="4" borderId="0" xfId="0" applyNumberFormat="1" applyFont="1" applyFill="1" applyAlignment="1">
      <alignment horizontal="left" vertical="top"/>
    </xf>
    <xf numFmtId="0" fontId="46" fillId="13" borderId="12" xfId="0" applyFont="1" applyFill="1" applyBorder="1"/>
    <xf numFmtId="0" fontId="49" fillId="13" borderId="12" xfId="0" applyFont="1" applyFill="1" applyBorder="1"/>
    <xf numFmtId="0" fontId="16" fillId="0" borderId="21" xfId="0" applyFont="1" applyBorder="1"/>
    <xf numFmtId="3" fontId="16" fillId="0" borderId="21" xfId="0" applyNumberFormat="1" applyFont="1" applyBorder="1"/>
    <xf numFmtId="3" fontId="17" fillId="10" borderId="0" xfId="0" applyNumberFormat="1" applyFont="1" applyFill="1"/>
    <xf numFmtId="0" fontId="16" fillId="0" borderId="0" xfId="0" applyFont="1"/>
    <xf numFmtId="0" fontId="16" fillId="0" borderId="0" xfId="0" applyFont="1" applyAlignment="1">
      <alignment horizontal="right"/>
    </xf>
    <xf numFmtId="9" fontId="49" fillId="0" borderId="0" xfId="0" applyNumberFormat="1" applyFont="1" applyAlignment="1">
      <alignment horizontal="right"/>
    </xf>
    <xf numFmtId="0" fontId="46" fillId="4" borderId="0" xfId="0" applyFont="1" applyFill="1"/>
    <xf numFmtId="0" fontId="49" fillId="4" borderId="20" xfId="0" applyFont="1" applyFill="1" applyBorder="1" applyAlignment="1">
      <alignment horizontal="left" vertical="top"/>
    </xf>
    <xf numFmtId="9" fontId="49" fillId="0" borderId="0" xfId="0" applyNumberFormat="1" applyFont="1"/>
    <xf numFmtId="3" fontId="16" fillId="0" borderId="0" xfId="0" applyNumberFormat="1" applyFont="1"/>
    <xf numFmtId="9" fontId="49" fillId="4" borderId="21" xfId="0" applyNumberFormat="1" applyFont="1" applyFill="1" applyBorder="1" applyAlignment="1">
      <alignment horizontal="left" vertical="top"/>
    </xf>
    <xf numFmtId="9" fontId="16" fillId="0" borderId="0" xfId="0" applyNumberFormat="1" applyFont="1"/>
    <xf numFmtId="0" fontId="47" fillId="0" borderId="0" xfId="0" applyFont="1" applyAlignment="1">
      <alignment wrapText="1"/>
    </xf>
    <xf numFmtId="0" fontId="48" fillId="0" borderId="0" xfId="0" applyFont="1"/>
    <xf numFmtId="166" fontId="17" fillId="0" borderId="0" xfId="0" applyNumberFormat="1" applyFont="1"/>
    <xf numFmtId="166" fontId="16" fillId="0" borderId="0" xfId="0" applyNumberFormat="1" applyFont="1"/>
    <xf numFmtId="0" fontId="46" fillId="3" borderId="0" xfId="0" applyFont="1" applyFill="1"/>
    <xf numFmtId="0" fontId="49" fillId="3" borderId="0" xfId="0" applyFont="1" applyFill="1"/>
    <xf numFmtId="0" fontId="49" fillId="3" borderId="3" xfId="0" applyFont="1" applyFill="1" applyBorder="1"/>
    <xf numFmtId="0" fontId="64" fillId="2" borderId="0" xfId="0" applyFont="1" applyFill="1"/>
    <xf numFmtId="0" fontId="46" fillId="0" borderId="0" xfId="0" applyFont="1" applyAlignment="1">
      <alignment vertical="center"/>
    </xf>
    <xf numFmtId="0" fontId="46" fillId="0" borderId="0" xfId="0" applyFont="1" applyAlignment="1">
      <alignment horizontal="right" vertical="center"/>
    </xf>
    <xf numFmtId="0" fontId="46" fillId="0" borderId="3" xfId="0" applyFont="1" applyBorder="1" applyAlignment="1">
      <alignment horizontal="right" vertical="center"/>
    </xf>
    <xf numFmtId="0" fontId="49" fillId="0" borderId="4" xfId="0" applyFont="1" applyBorder="1"/>
    <xf numFmtId="0" fontId="46" fillId="0" borderId="4" xfId="0" applyFont="1" applyBorder="1" applyAlignment="1">
      <alignment horizontal="right" vertical="center"/>
    </xf>
    <xf numFmtId="0" fontId="46" fillId="0" borderId="5" xfId="0" applyFont="1" applyBorder="1" applyAlignment="1">
      <alignment horizontal="right" vertical="center"/>
    </xf>
    <xf numFmtId="3" fontId="49" fillId="0" borderId="3" xfId="0" applyNumberFormat="1" applyFont="1" applyBorder="1" applyAlignment="1">
      <alignment vertical="center"/>
    </xf>
    <xf numFmtId="0" fontId="72" fillId="0" borderId="0" xfId="0" applyFont="1" applyAlignment="1">
      <alignment vertical="center"/>
    </xf>
    <xf numFmtId="3" fontId="72" fillId="0" borderId="0" xfId="0" applyNumberFormat="1" applyFont="1" applyAlignment="1">
      <alignment horizontal="right" vertical="center"/>
    </xf>
    <xf numFmtId="3" fontId="72" fillId="0" borderId="3" xfId="0" applyNumberFormat="1" applyFont="1" applyBorder="1" applyAlignment="1">
      <alignment horizontal="right" vertical="center"/>
    </xf>
    <xf numFmtId="3" fontId="72" fillId="0" borderId="0" xfId="0" quotePrefix="1" applyNumberFormat="1" applyFont="1" applyAlignment="1">
      <alignment horizontal="right" vertical="center"/>
    </xf>
    <xf numFmtId="3" fontId="72" fillId="0" borderId="3" xfId="0" quotePrefix="1" applyNumberFormat="1" applyFont="1" applyBorder="1" applyAlignment="1">
      <alignment horizontal="right" vertical="center"/>
    </xf>
    <xf numFmtId="3" fontId="46" fillId="9" borderId="0" xfId="0" applyNumberFormat="1" applyFont="1" applyFill="1" applyAlignment="1">
      <alignment vertical="center"/>
    </xf>
    <xf numFmtId="3" fontId="46" fillId="9" borderId="3" xfId="0" applyNumberFormat="1" applyFont="1" applyFill="1" applyBorder="1" applyAlignment="1">
      <alignment vertical="center"/>
    </xf>
    <xf numFmtId="3" fontId="46" fillId="0" borderId="0" xfId="0" applyNumberFormat="1" applyFont="1" applyAlignment="1">
      <alignment vertical="center"/>
    </xf>
    <xf numFmtId="3" fontId="46" fillId="0" borderId="3" xfId="0" applyNumberFormat="1" applyFont="1" applyBorder="1" applyAlignment="1">
      <alignment vertical="center"/>
    </xf>
    <xf numFmtId="0" fontId="46" fillId="0" borderId="0" xfId="0" applyFont="1" applyAlignment="1">
      <alignment horizontal="left" vertical="center"/>
    </xf>
    <xf numFmtId="0" fontId="49" fillId="0" borderId="12" xfId="0" applyFont="1" applyBorder="1"/>
    <xf numFmtId="0" fontId="46" fillId="0" borderId="12" xfId="0" applyFont="1" applyBorder="1" applyAlignment="1">
      <alignment horizontal="right" vertical="center"/>
    </xf>
    <xf numFmtId="0" fontId="46" fillId="0" borderId="13" xfId="0" applyFont="1" applyBorder="1" applyAlignment="1">
      <alignment horizontal="right" vertical="center"/>
    </xf>
    <xf numFmtId="169" fontId="49" fillId="0" borderId="0" xfId="0" applyNumberFormat="1" applyFont="1"/>
    <xf numFmtId="9" fontId="72" fillId="0" borderId="0" xfId="0" applyNumberFormat="1" applyFont="1" applyAlignment="1">
      <alignment vertical="center"/>
    </xf>
    <xf numFmtId="9" fontId="72" fillId="4" borderId="0" xfId="0" applyNumberFormat="1" applyFont="1" applyFill="1" applyAlignment="1">
      <alignment vertical="center"/>
    </xf>
    <xf numFmtId="9" fontId="46" fillId="0" borderId="0" xfId="0" applyNumberFormat="1" applyFont="1" applyAlignment="1">
      <alignment vertical="center"/>
    </xf>
    <xf numFmtId="3" fontId="46" fillId="0" borderId="0" xfId="0" applyNumberFormat="1" applyFont="1" applyAlignment="1">
      <alignment horizontal="right" vertical="center"/>
    </xf>
    <xf numFmtId="166" fontId="46" fillId="0" borderId="0" xfId="0" applyNumberFormat="1" applyFont="1" applyAlignment="1">
      <alignment horizontal="right" vertical="center"/>
    </xf>
    <xf numFmtId="3" fontId="46" fillId="0" borderId="3" xfId="0" applyNumberFormat="1" applyFont="1" applyBorder="1" applyAlignment="1">
      <alignment horizontal="right" vertical="center"/>
    </xf>
    <xf numFmtId="166" fontId="49" fillId="0" borderId="0" xfId="0" applyNumberFormat="1" applyFont="1" applyAlignment="1">
      <alignment horizontal="right" vertical="center"/>
    </xf>
    <xf numFmtId="166" fontId="49" fillId="4" borderId="0" xfId="0" applyNumberFormat="1" applyFont="1" applyFill="1" applyAlignment="1">
      <alignment horizontal="right" vertical="center"/>
    </xf>
    <xf numFmtId="166" fontId="49" fillId="0" borderId="3" xfId="0" applyNumberFormat="1" applyFont="1" applyBorder="1" applyAlignment="1">
      <alignment horizontal="right" vertical="center"/>
    </xf>
    <xf numFmtId="166" fontId="49" fillId="0" borderId="0" xfId="0" quotePrefix="1" applyNumberFormat="1" applyFont="1" applyAlignment="1">
      <alignment horizontal="right" vertical="center"/>
    </xf>
    <xf numFmtId="166" fontId="49" fillId="0" borderId="3" xfId="0" quotePrefix="1" applyNumberFormat="1" applyFont="1" applyBorder="1" applyAlignment="1">
      <alignment horizontal="right" vertical="center"/>
    </xf>
    <xf numFmtId="166" fontId="46" fillId="9" borderId="0" xfId="0" applyNumberFormat="1" applyFont="1" applyFill="1" applyAlignment="1">
      <alignment vertical="center"/>
    </xf>
    <xf numFmtId="166" fontId="46" fillId="9" borderId="3" xfId="0" applyNumberFormat="1" applyFont="1" applyFill="1" applyBorder="1" applyAlignment="1">
      <alignment vertical="center"/>
    </xf>
    <xf numFmtId="166" fontId="46" fillId="0" borderId="0" xfId="0" applyNumberFormat="1" applyFont="1" applyAlignment="1">
      <alignment vertical="center"/>
    </xf>
    <xf numFmtId="166" fontId="46" fillId="0" borderId="3" xfId="0" applyNumberFormat="1" applyFont="1" applyBorder="1" applyAlignment="1">
      <alignment vertical="center"/>
    </xf>
    <xf numFmtId="0" fontId="49" fillId="0" borderId="3" xfId="0" applyFont="1" applyBorder="1" applyAlignment="1">
      <alignment horizontal="right" vertical="center"/>
    </xf>
    <xf numFmtId="0" fontId="49" fillId="0" borderId="0" xfId="0" quotePrefix="1" applyFont="1" applyAlignment="1">
      <alignment horizontal="right" vertical="center"/>
    </xf>
    <xf numFmtId="0" fontId="49" fillId="0" borderId="0" xfId="0" applyFont="1" applyAlignment="1">
      <alignment vertical="top" wrapText="1"/>
    </xf>
    <xf numFmtId="3" fontId="46" fillId="9" borderId="0" xfId="0" applyNumberFormat="1" applyFont="1" applyFill="1" applyAlignment="1">
      <alignment horizontal="right" vertical="center"/>
    </xf>
    <xf numFmtId="166" fontId="49" fillId="0" borderId="0" xfId="0" applyNumberFormat="1" applyFont="1" applyAlignment="1">
      <alignment vertical="center"/>
    </xf>
    <xf numFmtId="166" fontId="49" fillId="0" borderId="3" xfId="0" applyNumberFormat="1" applyFont="1" applyBorder="1" applyAlignment="1">
      <alignment vertical="center"/>
    </xf>
    <xf numFmtId="170" fontId="46" fillId="0" borderId="0" xfId="0" applyNumberFormat="1" applyFont="1" applyAlignment="1">
      <alignment vertical="center"/>
    </xf>
    <xf numFmtId="166" fontId="49" fillId="0" borderId="4" xfId="0" applyNumberFormat="1" applyFont="1" applyBorder="1" applyAlignment="1">
      <alignment horizontal="right" vertical="center"/>
    </xf>
    <xf numFmtId="166" fontId="49" fillId="0" borderId="5" xfId="0" applyNumberFormat="1" applyFont="1" applyBorder="1" applyAlignment="1">
      <alignment horizontal="right" vertical="center"/>
    </xf>
    <xf numFmtId="0" fontId="49" fillId="0" borderId="0" xfId="0" applyFont="1" applyAlignment="1">
      <alignment horizontal="right" vertical="center" wrapText="1"/>
    </xf>
    <xf numFmtId="0" fontId="49" fillId="0" borderId="0" xfId="0" applyFont="1" applyAlignment="1">
      <alignment vertical="center" wrapText="1"/>
    </xf>
    <xf numFmtId="0" fontId="49" fillId="0" borderId="3" xfId="0" applyFont="1" applyBorder="1" applyAlignment="1">
      <alignment vertical="center" wrapText="1"/>
    </xf>
    <xf numFmtId="1" fontId="49" fillId="0" borderId="0" xfId="0" applyNumberFormat="1" applyFont="1" applyAlignment="1">
      <alignment vertical="center" wrapText="1"/>
    </xf>
    <xf numFmtId="9" fontId="49" fillId="4" borderId="0" xfId="0" applyNumberFormat="1" applyFont="1" applyFill="1" applyAlignment="1">
      <alignment vertical="center"/>
    </xf>
    <xf numFmtId="9" fontId="49" fillId="0" borderId="0" xfId="0" applyNumberFormat="1" applyFont="1" applyAlignment="1">
      <alignment vertical="center"/>
    </xf>
    <xf numFmtId="9" fontId="49" fillId="0" borderId="3" xfId="0" applyNumberFormat="1" applyFont="1" applyBorder="1" applyAlignment="1">
      <alignment vertical="center"/>
    </xf>
    <xf numFmtId="10" fontId="49" fillId="0" borderId="0" xfId="0" applyNumberFormat="1" applyFont="1"/>
    <xf numFmtId="0" fontId="72" fillId="0" borderId="0" xfId="0" applyFont="1"/>
    <xf numFmtId="0" fontId="17" fillId="15" borderId="0" xfId="0" applyFont="1" applyFill="1" applyAlignment="1">
      <alignment horizontal="left"/>
    </xf>
    <xf numFmtId="0" fontId="16" fillId="15" borderId="0" xfId="0" applyFont="1" applyFill="1" applyAlignment="1">
      <alignment horizontal="right"/>
    </xf>
    <xf numFmtId="170" fontId="17" fillId="15" borderId="0" xfId="0" applyNumberFormat="1" applyFont="1" applyFill="1" applyAlignment="1">
      <alignment horizontal="right"/>
    </xf>
    <xf numFmtId="166" fontId="17" fillId="15" borderId="0" xfId="0" applyNumberFormat="1" applyFont="1" applyFill="1" applyAlignment="1">
      <alignment horizontal="right"/>
    </xf>
    <xf numFmtId="0" fontId="17" fillId="15" borderId="0" xfId="0" applyFont="1" applyFill="1" applyAlignment="1">
      <alignment horizontal="right"/>
    </xf>
    <xf numFmtId="9" fontId="47" fillId="0" borderId="0" xfId="0" applyNumberFormat="1" applyFont="1" applyAlignment="1">
      <alignment horizontal="right"/>
    </xf>
    <xf numFmtId="0" fontId="74" fillId="19" borderId="0" xfId="0" applyFont="1" applyFill="1"/>
    <xf numFmtId="0" fontId="16" fillId="19" borderId="0" xfId="0" applyFont="1" applyFill="1"/>
    <xf numFmtId="0" fontId="16" fillId="4" borderId="0" xfId="0" applyFont="1" applyFill="1"/>
    <xf numFmtId="0" fontId="17" fillId="4" borderId="0" xfId="0" applyFont="1" applyFill="1" applyAlignment="1">
      <alignment horizontal="right"/>
    </xf>
    <xf numFmtId="0" fontId="47" fillId="4" borderId="0" xfId="0" applyFont="1" applyFill="1" applyAlignment="1">
      <alignment horizontal="left"/>
    </xf>
    <xf numFmtId="0" fontId="47" fillId="4" borderId="0" xfId="0" applyFont="1" applyFill="1" applyAlignment="1">
      <alignment horizontal="right"/>
    </xf>
    <xf numFmtId="3" fontId="17" fillId="4" borderId="0" xfId="0" applyNumberFormat="1" applyFont="1" applyFill="1" applyAlignment="1">
      <alignment horizontal="right"/>
    </xf>
    <xf numFmtId="166" fontId="17" fillId="4" borderId="0" xfId="0" applyNumberFormat="1" applyFont="1" applyFill="1"/>
    <xf numFmtId="9" fontId="17" fillId="4" borderId="0" xfId="0" applyNumberFormat="1" applyFont="1" applyFill="1"/>
    <xf numFmtId="3" fontId="16" fillId="4" borderId="0" xfId="0" applyNumberFormat="1" applyFont="1" applyFill="1"/>
    <xf numFmtId="166" fontId="16" fillId="4" borderId="0" xfId="0" applyNumberFormat="1" applyFont="1" applyFill="1"/>
    <xf numFmtId="166" fontId="17" fillId="4" borderId="0" xfId="0" applyNumberFormat="1" applyFont="1" applyFill="1" applyAlignment="1">
      <alignment horizontal="right"/>
    </xf>
    <xf numFmtId="0" fontId="16" fillId="4" borderId="0" xfId="0" applyFont="1" applyFill="1" applyAlignment="1">
      <alignment vertical="center"/>
    </xf>
    <xf numFmtId="0" fontId="16" fillId="19" borderId="0" xfId="0" applyFont="1" applyFill="1" applyAlignment="1">
      <alignment vertical="center"/>
    </xf>
    <xf numFmtId="0" fontId="16" fillId="19" borderId="0" xfId="0" applyFont="1" applyFill="1" applyAlignment="1">
      <alignment horizontal="left" vertical="center"/>
    </xf>
    <xf numFmtId="0" fontId="16" fillId="15" borderId="0" xfId="0" applyFont="1" applyFill="1"/>
    <xf numFmtId="0" fontId="17" fillId="15" borderId="0" xfId="0" applyFont="1" applyFill="1"/>
    <xf numFmtId="0" fontId="17" fillId="19" borderId="0" xfId="0" applyFont="1" applyFill="1"/>
    <xf numFmtId="0" fontId="74" fillId="15" borderId="0" xfId="0" applyFont="1" applyFill="1" applyAlignment="1">
      <alignment horizontal="right"/>
    </xf>
    <xf numFmtId="0" fontId="77" fillId="5" borderId="0" xfId="0" applyFont="1" applyFill="1"/>
    <xf numFmtId="0" fontId="15" fillId="3" borderId="0" xfId="0" applyFont="1" applyFill="1" applyAlignment="1">
      <alignment horizontal="right"/>
    </xf>
    <xf numFmtId="0" fontId="15" fillId="3" borderId="3" xfId="0" applyFont="1" applyFill="1" applyBorder="1" applyAlignment="1">
      <alignment horizontal="right"/>
    </xf>
    <xf numFmtId="0" fontId="15" fillId="7" borderId="0" xfId="0" applyFont="1" applyFill="1" applyAlignment="1">
      <alignment horizontal="right"/>
    </xf>
    <xf numFmtId="0" fontId="15" fillId="7" borderId="3" xfId="0" applyFont="1" applyFill="1" applyBorder="1" applyAlignment="1">
      <alignment horizontal="right"/>
    </xf>
    <xf numFmtId="0" fontId="49" fillId="13" borderId="22" xfId="0" applyFont="1" applyFill="1" applyBorder="1" applyAlignment="1">
      <alignment horizontal="right"/>
    </xf>
    <xf numFmtId="0" fontId="49" fillId="13" borderId="23" xfId="0" applyFont="1" applyFill="1" applyBorder="1" applyAlignment="1">
      <alignment horizontal="right"/>
    </xf>
    <xf numFmtId="170" fontId="49" fillId="4" borderId="0" xfId="0" applyNumberFormat="1" applyFont="1" applyFill="1" applyAlignment="1">
      <alignment horizontal="right"/>
    </xf>
    <xf numFmtId="1" fontId="49" fillId="4" borderId="0" xfId="0" applyNumberFormat="1" applyFont="1" applyFill="1" applyAlignment="1">
      <alignment horizontal="right" vertical="center"/>
    </xf>
    <xf numFmtId="166" fontId="49" fillId="4" borderId="0" xfId="0" applyNumberFormat="1" applyFont="1" applyFill="1" applyAlignment="1">
      <alignment horizontal="right"/>
    </xf>
    <xf numFmtId="0" fontId="49" fillId="4" borderId="12" xfId="0" applyFont="1" applyFill="1" applyBorder="1" applyAlignment="1">
      <alignment horizontal="right"/>
    </xf>
    <xf numFmtId="0" fontId="49" fillId="4" borderId="13" xfId="0" applyFont="1" applyFill="1" applyBorder="1" applyAlignment="1">
      <alignment horizontal="right"/>
    </xf>
    <xf numFmtId="167" fontId="49" fillId="4" borderId="0" xfId="0" applyNumberFormat="1" applyFont="1" applyFill="1" applyAlignment="1">
      <alignment horizontal="right" vertical="center"/>
    </xf>
    <xf numFmtId="3" fontId="49" fillId="4" borderId="3" xfId="0" applyNumberFormat="1" applyFont="1" applyFill="1" applyBorder="1" applyAlignment="1">
      <alignment horizontal="right" vertical="center"/>
    </xf>
    <xf numFmtId="167" fontId="49" fillId="4" borderId="3" xfId="0" applyNumberFormat="1" applyFont="1" applyFill="1" applyBorder="1" applyAlignment="1">
      <alignment horizontal="right" vertical="center"/>
    </xf>
    <xf numFmtId="167" fontId="30" fillId="4" borderId="0" xfId="0" applyNumberFormat="1" applyFont="1" applyFill="1" applyAlignment="1">
      <alignment horizontal="right" vertical="center"/>
    </xf>
    <xf numFmtId="3" fontId="49" fillId="9" borderId="0" xfId="0" applyNumberFormat="1" applyFont="1" applyFill="1" applyAlignment="1">
      <alignment horizontal="right" vertical="center"/>
    </xf>
    <xf numFmtId="167" fontId="49" fillId="9" borderId="0" xfId="0" applyNumberFormat="1" applyFont="1" applyFill="1" applyAlignment="1">
      <alignment horizontal="right" vertical="center"/>
    </xf>
    <xf numFmtId="3" fontId="49" fillId="9" borderId="3" xfId="0" applyNumberFormat="1" applyFont="1" applyFill="1" applyBorder="1" applyAlignment="1">
      <alignment horizontal="right" vertical="center"/>
    </xf>
    <xf numFmtId="2" fontId="49" fillId="9" borderId="3" xfId="0" applyNumberFormat="1" applyFont="1" applyFill="1" applyBorder="1" applyAlignment="1">
      <alignment horizontal="right" vertical="center"/>
    </xf>
    <xf numFmtId="167" fontId="49" fillId="9" borderId="3" xfId="0" applyNumberFormat="1" applyFont="1" applyFill="1" applyBorder="1" applyAlignment="1">
      <alignment horizontal="right" vertical="center"/>
    </xf>
    <xf numFmtId="167" fontId="30" fillId="9" borderId="0" xfId="0" applyNumberFormat="1" applyFont="1" applyFill="1" applyAlignment="1">
      <alignment horizontal="right" vertical="center"/>
    </xf>
    <xf numFmtId="2" fontId="49" fillId="4" borderId="3" xfId="0" applyNumberFormat="1" applyFont="1" applyFill="1" applyBorder="1" applyAlignment="1">
      <alignment horizontal="right" vertical="center"/>
    </xf>
    <xf numFmtId="0" fontId="49" fillId="13" borderId="12" xfId="0" applyFont="1" applyFill="1" applyBorder="1" applyAlignment="1">
      <alignment horizontal="right"/>
    </xf>
    <xf numFmtId="0" fontId="49" fillId="13" borderId="13" xfId="0" applyFont="1" applyFill="1" applyBorder="1" applyAlignment="1">
      <alignment horizontal="right"/>
    </xf>
    <xf numFmtId="1" fontId="49" fillId="4" borderId="0" xfId="0" applyNumberFormat="1" applyFont="1" applyFill="1" applyAlignment="1">
      <alignment horizontal="right"/>
    </xf>
    <xf numFmtId="1" fontId="49" fillId="4" borderId="3" xfId="0" applyNumberFormat="1" applyFont="1" applyFill="1" applyBorder="1" applyAlignment="1">
      <alignment horizontal="right"/>
    </xf>
    <xf numFmtId="0" fontId="46" fillId="4" borderId="3" xfId="0" applyFont="1" applyFill="1" applyBorder="1" applyAlignment="1">
      <alignment horizontal="right"/>
    </xf>
    <xf numFmtId="0" fontId="46" fillId="4" borderId="0" xfId="0" applyFont="1" applyFill="1" applyAlignment="1">
      <alignment horizontal="right"/>
    </xf>
    <xf numFmtId="1" fontId="46" fillId="4" borderId="0" xfId="0" applyNumberFormat="1" applyFont="1" applyFill="1" applyAlignment="1">
      <alignment horizontal="right"/>
    </xf>
    <xf numFmtId="1" fontId="46" fillId="4" borderId="3" xfId="0" applyNumberFormat="1" applyFont="1" applyFill="1" applyBorder="1" applyAlignment="1">
      <alignment horizontal="right"/>
    </xf>
    <xf numFmtId="9" fontId="49" fillId="0" borderId="3" xfId="0" applyNumberFormat="1" applyFont="1" applyBorder="1" applyAlignment="1">
      <alignment horizontal="right"/>
    </xf>
    <xf numFmtId="0" fontId="0" fillId="0" borderId="0" xfId="0" applyAlignment="1">
      <alignment horizontal="right"/>
    </xf>
    <xf numFmtId="0" fontId="25" fillId="4" borderId="0" xfId="0" applyFont="1" applyFill="1" applyAlignment="1">
      <alignment vertical="top"/>
    </xf>
    <xf numFmtId="3" fontId="53" fillId="0" borderId="0" xfId="0" applyNumberFormat="1" applyFont="1" applyAlignment="1">
      <alignment horizontal="left" vertical="center"/>
    </xf>
    <xf numFmtId="0" fontId="25" fillId="0" borderId="10" xfId="0" applyFont="1" applyBorder="1" applyAlignment="1">
      <alignment horizontal="left" vertical="center"/>
    </xf>
    <xf numFmtId="0" fontId="24" fillId="0" borderId="10" xfId="0" applyFont="1" applyBorder="1" applyAlignment="1">
      <alignment horizontal="right" vertical="center"/>
    </xf>
    <xf numFmtId="9" fontId="17" fillId="0" borderId="0" xfId="0" applyNumberFormat="1" applyFont="1" applyAlignment="1">
      <alignment horizontal="left" vertical="center"/>
    </xf>
    <xf numFmtId="9" fontId="17" fillId="0" borderId="10" xfId="0" applyNumberFormat="1" applyFont="1" applyBorder="1" applyAlignment="1">
      <alignment horizontal="left" vertical="center"/>
    </xf>
    <xf numFmtId="9" fontId="17" fillId="0" borderId="21" xfId="0" applyNumberFormat="1" applyFont="1" applyBorder="1" applyAlignment="1">
      <alignment horizontal="left" vertical="center"/>
    </xf>
    <xf numFmtId="0" fontId="164" fillId="3" borderId="0" xfId="0" applyFont="1" applyFill="1"/>
    <xf numFmtId="0" fontId="60" fillId="0" borderId="10" xfId="0" applyFont="1" applyBorder="1" applyAlignment="1">
      <alignment vertical="top" wrapText="1"/>
    </xf>
    <xf numFmtId="0" fontId="37" fillId="0" borderId="10" xfId="0" applyFont="1" applyBorder="1" applyAlignment="1">
      <alignment horizontal="left" vertical="top" wrapText="1"/>
    </xf>
    <xf numFmtId="0" fontId="60" fillId="0" borderId="10" xfId="0" applyFont="1" applyBorder="1" applyAlignment="1">
      <alignment horizontal="left" vertical="top"/>
    </xf>
    <xf numFmtId="0" fontId="37" fillId="0" borderId="10" xfId="0" applyFont="1" applyBorder="1" applyAlignment="1">
      <alignment horizontal="left" vertical="top"/>
    </xf>
    <xf numFmtId="0" fontId="34" fillId="0" borderId="10" xfId="0" applyFont="1" applyBorder="1" applyAlignment="1">
      <alignment horizontal="left" vertical="top"/>
    </xf>
    <xf numFmtId="173" fontId="47" fillId="4" borderId="0" xfId="0" applyNumberFormat="1" applyFont="1" applyFill="1" applyAlignment="1" applyProtection="1">
      <alignment horizontal="right"/>
      <protection locked="0"/>
    </xf>
    <xf numFmtId="2" fontId="61" fillId="4" borderId="0" xfId="0" applyNumberFormat="1" applyFont="1" applyFill="1" applyAlignment="1">
      <alignment horizontal="right"/>
    </xf>
    <xf numFmtId="9" fontId="61" fillId="4" borderId="0" xfId="0" applyNumberFormat="1" applyFont="1" applyFill="1" applyAlignment="1">
      <alignment horizontal="right"/>
    </xf>
    <xf numFmtId="2" fontId="61" fillId="4" borderId="0" xfId="0" applyNumberFormat="1" applyFont="1" applyFill="1"/>
    <xf numFmtId="0" fontId="61" fillId="0" borderId="10" xfId="0" applyFont="1" applyBorder="1" applyAlignment="1">
      <alignment horizontal="left" vertical="top" wrapText="1"/>
    </xf>
    <xf numFmtId="0" fontId="57" fillId="4" borderId="0" xfId="6792" applyFont="1" applyFill="1"/>
    <xf numFmtId="0" fontId="57" fillId="0" borderId="0" xfId="6792" applyFont="1" applyAlignment="1">
      <alignment horizontal="left" vertical="top" wrapText="1"/>
    </xf>
    <xf numFmtId="0" fontId="167" fillId="74" borderId="1" xfId="6793" applyFont="1" applyFill="1" applyBorder="1" applyAlignment="1">
      <alignment horizontal="left"/>
    </xf>
    <xf numFmtId="0" fontId="57" fillId="0" borderId="0" xfId="6792" applyFont="1"/>
    <xf numFmtId="0" fontId="24" fillId="75" borderId="4" xfId="6792" applyFont="1" applyFill="1" applyBorder="1" applyAlignment="1">
      <alignment wrapText="1"/>
    </xf>
    <xf numFmtId="1" fontId="24" fillId="75" borderId="4" xfId="6792" applyNumberFormat="1" applyFont="1" applyFill="1" applyBorder="1" applyAlignment="1">
      <alignment horizontal="center" vertical="center" wrapText="1"/>
    </xf>
    <xf numFmtId="0" fontId="24" fillId="4" borderId="4" xfId="6792" applyFont="1" applyFill="1" applyBorder="1" applyAlignment="1">
      <alignment wrapText="1"/>
    </xf>
    <xf numFmtId="1" fontId="24" fillId="4" borderId="4" xfId="6792" applyNumberFormat="1" applyFont="1" applyFill="1" applyBorder="1" applyAlignment="1">
      <alignment horizontal="right" wrapText="1"/>
    </xf>
    <xf numFmtId="1" fontId="24" fillId="0" borderId="4" xfId="6792" applyNumberFormat="1" applyFont="1" applyBorder="1" applyAlignment="1">
      <alignment horizontal="right" wrapText="1"/>
    </xf>
    <xf numFmtId="0" fontId="25" fillId="4" borderId="0" xfId="6792" applyFont="1" applyFill="1"/>
    <xf numFmtId="1" fontId="25" fillId="0" borderId="0" xfId="6792" applyNumberFormat="1" applyFont="1"/>
    <xf numFmtId="1" fontId="25" fillId="0" borderId="0" xfId="6792" applyNumberFormat="1" applyFont="1" applyAlignment="1">
      <alignment horizontal="right"/>
    </xf>
    <xf numFmtId="0" fontId="25" fillId="0" borderId="0" xfId="6792" applyFont="1" applyAlignment="1">
      <alignment horizontal="right"/>
    </xf>
    <xf numFmtId="0" fontId="31" fillId="4" borderId="0" xfId="6792" applyFont="1" applyFill="1"/>
    <xf numFmtId="3" fontId="25" fillId="0" borderId="0" xfId="6792" applyNumberFormat="1" applyFont="1"/>
    <xf numFmtId="3" fontId="40" fillId="0" borderId="0" xfId="6792" applyNumberFormat="1" applyFont="1" applyAlignment="1">
      <alignment horizontal="right"/>
    </xf>
    <xf numFmtId="3" fontId="25" fillId="0" borderId="0" xfId="6792" applyNumberFormat="1" applyFont="1" applyAlignment="1">
      <alignment horizontal="right"/>
    </xf>
    <xf numFmtId="0" fontId="25" fillId="0" borderId="0" xfId="6792" applyFont="1"/>
    <xf numFmtId="3" fontId="31" fillId="0" borderId="0" xfId="6792" applyNumberFormat="1" applyFont="1"/>
    <xf numFmtId="0" fontId="31" fillId="0" borderId="0" xfId="6792" applyFont="1"/>
    <xf numFmtId="2" fontId="25" fillId="0" borderId="0" xfId="6792" applyNumberFormat="1" applyFont="1" applyAlignment="1">
      <alignment horizontal="right"/>
    </xf>
    <xf numFmtId="0" fontId="40" fillId="0" borderId="0" xfId="6792" applyFont="1" applyAlignment="1">
      <alignment horizontal="right"/>
    </xf>
    <xf numFmtId="0" fontId="24" fillId="0" borderId="4" xfId="6792" applyFont="1" applyBorder="1" applyAlignment="1">
      <alignment wrapText="1"/>
    </xf>
    <xf numFmtId="1" fontId="32" fillId="0" borderId="4" xfId="6792" applyNumberFormat="1" applyFont="1" applyBorder="1" applyAlignment="1">
      <alignment horizontal="right" wrapText="1"/>
    </xf>
    <xf numFmtId="1" fontId="168" fillId="0" borderId="4" xfId="6792" applyNumberFormat="1" applyFont="1" applyBorder="1" applyAlignment="1">
      <alignment horizontal="right" wrapText="1"/>
    </xf>
    <xf numFmtId="1" fontId="40" fillId="0" borderId="0" xfId="6792" applyNumberFormat="1" applyFont="1" applyAlignment="1">
      <alignment horizontal="right"/>
    </xf>
    <xf numFmtId="1" fontId="31" fillId="0" borderId="0" xfId="6792" applyNumberFormat="1" applyFont="1" applyAlignment="1">
      <alignment horizontal="right"/>
    </xf>
    <xf numFmtId="165" fontId="25" fillId="0" borderId="0" xfId="6794" applyNumberFormat="1" applyFont="1" applyFill="1" applyBorder="1"/>
    <xf numFmtId="165" fontId="31" fillId="0" borderId="0" xfId="6794" applyNumberFormat="1" applyFont="1" applyFill="1" applyBorder="1" applyAlignment="1">
      <alignment horizontal="right"/>
    </xf>
    <xf numFmtId="1" fontId="31" fillId="0" borderId="0" xfId="6792" applyNumberFormat="1" applyFont="1"/>
    <xf numFmtId="1" fontId="57" fillId="4" borderId="0" xfId="6792" applyNumberFormat="1" applyFont="1" applyFill="1"/>
    <xf numFmtId="0" fontId="58" fillId="4" borderId="0" xfId="6792" applyFont="1" applyFill="1"/>
    <xf numFmtId="0" fontId="25" fillId="4" borderId="0" xfId="6792" applyFont="1" applyFill="1" applyAlignment="1">
      <alignment vertical="center"/>
    </xf>
    <xf numFmtId="0" fontId="37" fillId="4" borderId="0" xfId="6792" applyFont="1" applyFill="1"/>
    <xf numFmtId="165" fontId="25" fillId="0" borderId="0" xfId="6792" applyNumberFormat="1" applyFont="1"/>
    <xf numFmtId="167" fontId="25" fillId="0" borderId="0" xfId="6792" applyNumberFormat="1" applyFont="1"/>
    <xf numFmtId="0" fontId="30" fillId="0" borderId="0" xfId="6792" applyFont="1"/>
    <xf numFmtId="0" fontId="52" fillId="4" borderId="0" xfId="6792" applyFont="1" applyFill="1"/>
    <xf numFmtId="165" fontId="31" fillId="0" borderId="0" xfId="6792" applyNumberFormat="1" applyFont="1"/>
    <xf numFmtId="167" fontId="31" fillId="0" borderId="0" xfId="6792" applyNumberFormat="1" applyFont="1"/>
    <xf numFmtId="165" fontId="31" fillId="4" borderId="0" xfId="6792" applyNumberFormat="1" applyFont="1" applyFill="1" applyAlignment="1">
      <alignment horizontal="right"/>
    </xf>
    <xf numFmtId="1" fontId="31" fillId="4" borderId="0" xfId="6792" applyNumberFormat="1" applyFont="1" applyFill="1" applyAlignment="1">
      <alignment horizontal="right"/>
    </xf>
    <xf numFmtId="1" fontId="40" fillId="4" borderId="0" xfId="6792" applyNumberFormat="1" applyFont="1" applyFill="1" applyAlignment="1">
      <alignment horizontal="center"/>
    </xf>
    <xf numFmtId="0" fontId="165" fillId="4" borderId="0" xfId="6792" applyFont="1" applyFill="1"/>
    <xf numFmtId="0" fontId="31" fillId="4" borderId="0" xfId="6792" applyFont="1" applyFill="1" applyAlignment="1">
      <alignment horizontal="right"/>
    </xf>
    <xf numFmtId="167" fontId="58" fillId="4" borderId="0" xfId="6792" applyNumberFormat="1" applyFont="1" applyFill="1"/>
    <xf numFmtId="0" fontId="25" fillId="4" borderId="0" xfId="6792" applyFont="1" applyFill="1" applyAlignment="1">
      <alignment vertical="top"/>
    </xf>
    <xf numFmtId="1" fontId="32" fillId="4" borderId="4" xfId="6792" applyNumberFormat="1" applyFont="1" applyFill="1" applyBorder="1" applyAlignment="1">
      <alignment horizontal="right" wrapText="1"/>
    </xf>
    <xf numFmtId="1" fontId="32" fillId="4" borderId="4" xfId="6792" applyNumberFormat="1" applyFont="1" applyFill="1" applyBorder="1" applyAlignment="1">
      <alignment horizontal="right"/>
    </xf>
    <xf numFmtId="1" fontId="25" fillId="4" borderId="0" xfId="6792" applyNumberFormat="1" applyFont="1" applyFill="1"/>
    <xf numFmtId="1" fontId="52" fillId="0" borderId="0" xfId="6792" applyNumberFormat="1" applyFont="1"/>
    <xf numFmtId="1" fontId="31" fillId="4" borderId="0" xfId="6792" applyNumberFormat="1" applyFont="1" applyFill="1"/>
    <xf numFmtId="0" fontId="31" fillId="4" borderId="0" xfId="6792" applyFont="1" applyFill="1" applyAlignment="1">
      <alignment horizontal="right" vertical="center"/>
    </xf>
    <xf numFmtId="0" fontId="40" fillId="4" borderId="0" xfId="6792" applyFont="1" applyFill="1"/>
    <xf numFmtId="165" fontId="25" fillId="4" borderId="0" xfId="6792" applyNumberFormat="1" applyFont="1" applyFill="1"/>
    <xf numFmtId="165" fontId="59" fillId="0" borderId="0" xfId="6792" applyNumberFormat="1" applyFont="1" applyAlignment="1">
      <alignment horizontal="right" vertical="center"/>
    </xf>
    <xf numFmtId="165" fontId="52" fillId="0" borderId="0" xfId="6792" applyNumberFormat="1" applyFont="1"/>
    <xf numFmtId="165" fontId="31" fillId="0" borderId="0" xfId="6792" applyNumberFormat="1" applyFont="1" applyAlignment="1">
      <alignment horizontal="right"/>
    </xf>
    <xf numFmtId="1" fontId="58" fillId="0" borderId="0" xfId="6792" applyNumberFormat="1" applyFont="1"/>
    <xf numFmtId="3" fontId="25" fillId="4" borderId="0" xfId="6792" applyNumberFormat="1" applyFont="1" applyFill="1"/>
    <xf numFmtId="165" fontId="25" fillId="0" borderId="0" xfId="6794" applyNumberFormat="1" applyFont="1" applyFill="1"/>
    <xf numFmtId="1" fontId="52" fillId="0" borderId="0" xfId="6792" applyNumberFormat="1" applyFont="1" applyAlignment="1">
      <alignment horizontal="right"/>
    </xf>
    <xf numFmtId="0" fontId="54" fillId="0" borderId="0" xfId="6792" applyFont="1"/>
    <xf numFmtId="0" fontId="25" fillId="4" borderId="0" xfId="6792" applyFont="1" applyFill="1" applyAlignment="1">
      <alignment horizontal="right"/>
    </xf>
    <xf numFmtId="1" fontId="58" fillId="4" borderId="0" xfId="6792" applyNumberFormat="1" applyFont="1" applyFill="1"/>
    <xf numFmtId="1" fontId="58" fillId="4" borderId="0" xfId="6792" applyNumberFormat="1" applyFont="1" applyFill="1" applyAlignment="1">
      <alignment horizontal="right"/>
    </xf>
    <xf numFmtId="0" fontId="58" fillId="4" borderId="0" xfId="6792" applyFont="1" applyFill="1" applyAlignment="1">
      <alignment horizontal="center" vertical="center" wrapText="1"/>
    </xf>
    <xf numFmtId="0" fontId="57" fillId="4" borderId="0" xfId="6792" applyFont="1" applyFill="1" applyAlignment="1">
      <alignment horizontal="center" vertical="center" wrapText="1"/>
    </xf>
    <xf numFmtId="0" fontId="31" fillId="0" borderId="0" xfId="6792" applyFont="1" applyAlignment="1">
      <alignment horizontal="right"/>
    </xf>
    <xf numFmtId="0" fontId="31" fillId="4" borderId="0" xfId="6792" applyFont="1" applyFill="1" applyAlignment="1">
      <alignment horizontal="center" vertical="center"/>
    </xf>
    <xf numFmtId="0" fontId="58" fillId="4" borderId="0" xfId="6792" applyFont="1" applyFill="1" applyAlignment="1">
      <alignment horizontal="center" vertical="center"/>
    </xf>
    <xf numFmtId="1" fontId="25" fillId="0" borderId="0" xfId="6792" quotePrefix="1" applyNumberFormat="1" applyFont="1" applyAlignment="1">
      <alignment horizontal="right"/>
    </xf>
    <xf numFmtId="1" fontId="25" fillId="0" borderId="0" xfId="6792" applyNumberFormat="1" applyFont="1" applyAlignment="1">
      <alignment horizontal="right" wrapText="1"/>
    </xf>
    <xf numFmtId="0" fontId="32" fillId="0" borderId="0" xfId="6792" applyFont="1" applyAlignment="1">
      <alignment horizontal="right" wrapText="1"/>
    </xf>
    <xf numFmtId="0" fontId="25" fillId="4" borderId="0" xfId="6792" applyFont="1" applyFill="1" applyAlignment="1">
      <alignment wrapText="1"/>
    </xf>
    <xf numFmtId="170" fontId="58" fillId="4" borderId="0" xfId="6794" applyNumberFormat="1" applyFont="1" applyFill="1" applyAlignment="1">
      <alignment horizontal="right" wrapText="1"/>
    </xf>
    <xf numFmtId="0" fontId="31" fillId="4" borderId="0" xfId="6792" applyFont="1" applyFill="1" applyAlignment="1">
      <alignment horizontal="right" wrapText="1"/>
    </xf>
    <xf numFmtId="14" fontId="31" fillId="4" borderId="0" xfId="6792" quotePrefix="1" applyNumberFormat="1" applyFont="1" applyFill="1" applyAlignment="1">
      <alignment horizontal="right" wrapText="1"/>
    </xf>
    <xf numFmtId="1" fontId="25" fillId="4" borderId="0" xfId="6792" applyNumberFormat="1" applyFont="1" applyFill="1" applyAlignment="1">
      <alignment horizontal="right"/>
    </xf>
    <xf numFmtId="2" fontId="57" fillId="4" borderId="0" xfId="6792" applyNumberFormat="1" applyFont="1" applyFill="1"/>
    <xf numFmtId="9" fontId="57" fillId="4" borderId="0" xfId="6795" applyFont="1" applyFill="1" applyAlignment="1"/>
    <xf numFmtId="0" fontId="57" fillId="4" borderId="0" xfId="6792" applyFont="1" applyFill="1" applyAlignment="1">
      <alignment horizontal="left"/>
    </xf>
    <xf numFmtId="0" fontId="46" fillId="3" borderId="0" xfId="6791" applyFont="1" applyFill="1" applyAlignment="1">
      <alignment horizontal="left"/>
    </xf>
    <xf numFmtId="0" fontId="40" fillId="3" borderId="0" xfId="6791" applyFont="1" applyFill="1"/>
    <xf numFmtId="0" fontId="46" fillId="0" borderId="0" xfId="6791" applyFont="1" applyAlignment="1">
      <alignment horizontal="left"/>
    </xf>
    <xf numFmtId="0" fontId="40" fillId="0" borderId="0" xfId="6791" applyFont="1"/>
    <xf numFmtId="0" fontId="169" fillId="0" borderId="0" xfId="6792" applyFont="1"/>
    <xf numFmtId="1" fontId="25" fillId="4" borderId="0" xfId="6792" applyNumberFormat="1" applyFont="1" applyFill="1" applyAlignment="1">
      <alignment horizontal="right" wrapText="1"/>
    </xf>
    <xf numFmtId="49" fontId="25" fillId="4" borderId="0" xfId="6792" applyNumberFormat="1" applyFont="1" applyFill="1" applyAlignment="1">
      <alignment horizontal="right" wrapText="1"/>
    </xf>
    <xf numFmtId="0" fontId="25" fillId="4" borderId="0" xfId="6792" applyFont="1" applyFill="1" applyAlignment="1">
      <alignment horizontal="right" wrapText="1"/>
    </xf>
    <xf numFmtId="9" fontId="25" fillId="4" borderId="0" xfId="6795" applyFont="1" applyFill="1" applyBorder="1" applyAlignment="1">
      <alignment horizontal="right" wrapText="1"/>
    </xf>
    <xf numFmtId="9" fontId="25" fillId="4" borderId="0" xfId="6795" applyFont="1" applyFill="1" applyAlignment="1">
      <alignment horizontal="right" wrapText="1"/>
    </xf>
    <xf numFmtId="9" fontId="25" fillId="4" borderId="0" xfId="6792" applyNumberFormat="1" applyFont="1" applyFill="1" applyAlignment="1">
      <alignment horizontal="right" wrapText="1"/>
    </xf>
    <xf numFmtId="3" fontId="25" fillId="4" borderId="0" xfId="6792" applyNumberFormat="1" applyFont="1" applyFill="1" applyAlignment="1">
      <alignment horizontal="right" wrapText="1"/>
    </xf>
    <xf numFmtId="170" fontId="25" fillId="4" borderId="0" xfId="6794" applyNumberFormat="1" applyFont="1" applyFill="1" applyAlignment="1">
      <alignment horizontal="right" wrapText="1"/>
    </xf>
    <xf numFmtId="170" fontId="31" fillId="0" borderId="0" xfId="6794" applyNumberFormat="1" applyFont="1" applyFill="1" applyAlignment="1">
      <alignment horizontal="right" wrapText="1"/>
    </xf>
    <xf numFmtId="0" fontId="24" fillId="4" borderId="0" xfId="6792" applyFont="1" applyFill="1" applyAlignment="1">
      <alignment wrapText="1"/>
    </xf>
    <xf numFmtId="1" fontId="24" fillId="4" borderId="0" xfId="6792" applyNumberFormat="1" applyFont="1" applyFill="1" applyAlignment="1">
      <alignment horizontal="right" wrapText="1"/>
    </xf>
    <xf numFmtId="0" fontId="32" fillId="4" borderId="0" xfId="6792" applyFont="1" applyFill="1" applyAlignment="1">
      <alignment horizontal="right" wrapText="1"/>
    </xf>
    <xf numFmtId="14" fontId="31" fillId="4" borderId="0" xfId="6792" applyNumberFormat="1" applyFont="1" applyFill="1" applyAlignment="1">
      <alignment horizontal="right" wrapText="1"/>
    </xf>
    <xf numFmtId="9" fontId="25" fillId="4" borderId="0" xfId="6795" applyFont="1" applyFill="1"/>
    <xf numFmtId="9" fontId="31" fillId="4" borderId="0" xfId="6795" applyFont="1" applyFill="1"/>
    <xf numFmtId="1" fontId="25" fillId="4" borderId="0" xfId="6792" quotePrefix="1" applyNumberFormat="1" applyFont="1" applyFill="1" applyAlignment="1">
      <alignment horizontal="right"/>
    </xf>
    <xf numFmtId="0" fontId="25" fillId="4" borderId="0" xfId="6792" applyFont="1" applyFill="1" applyAlignment="1">
      <alignment horizontal="center" vertical="center" wrapText="1"/>
    </xf>
    <xf numFmtId="0" fontId="24" fillId="75" borderId="4" xfId="6792" applyFont="1" applyFill="1" applyBorder="1" applyAlignment="1">
      <alignment horizontal="left" vertical="center" wrapText="1"/>
    </xf>
    <xf numFmtId="1" fontId="24" fillId="75" borderId="4" xfId="6792" applyNumberFormat="1" applyFont="1" applyFill="1" applyBorder="1" applyAlignment="1">
      <alignment horizontal="right" vertical="center" wrapText="1"/>
    </xf>
    <xf numFmtId="167" fontId="25" fillId="4" borderId="0" xfId="6792" applyNumberFormat="1" applyFont="1" applyFill="1"/>
    <xf numFmtId="1" fontId="25" fillId="4" borderId="21" xfId="6792" applyNumberFormat="1" applyFont="1" applyFill="1" applyBorder="1"/>
    <xf numFmtId="1" fontId="30" fillId="0" borderId="0" xfId="6792" applyNumberFormat="1" applyFont="1" applyAlignment="1">
      <alignment horizontal="right" vertical="center"/>
    </xf>
    <xf numFmtId="1" fontId="24" fillId="0" borderId="4" xfId="6792" applyNumberFormat="1" applyFont="1" applyBorder="1" applyAlignment="1">
      <alignment horizontal="left"/>
    </xf>
    <xf numFmtId="1" fontId="25" fillId="4" borderId="10" xfId="6792" applyNumberFormat="1" applyFont="1" applyFill="1" applyBorder="1"/>
    <xf numFmtId="0" fontId="30" fillId="4" borderId="0" xfId="6792" applyFont="1" applyFill="1"/>
    <xf numFmtId="165" fontId="58" fillId="0" borderId="0" xfId="6792" applyNumberFormat="1" applyFont="1"/>
    <xf numFmtId="1" fontId="58" fillId="4" borderId="0" xfId="6792" applyNumberFormat="1" applyFont="1" applyFill="1" applyAlignment="1">
      <alignment horizontal="center"/>
    </xf>
    <xf numFmtId="165" fontId="25" fillId="0" borderId="0" xfId="6792" applyNumberFormat="1" applyFont="1" applyAlignment="1">
      <alignment horizontal="right"/>
    </xf>
    <xf numFmtId="3" fontId="25" fillId="4" borderId="0" xfId="6792" applyNumberFormat="1" applyFont="1" applyFill="1" applyAlignment="1">
      <alignment horizontal="right" vertical="center"/>
    </xf>
    <xf numFmtId="0" fontId="25" fillId="0" borderId="0" xfId="6792" applyFont="1" applyAlignment="1">
      <alignment wrapText="1"/>
    </xf>
    <xf numFmtId="0" fontId="31" fillId="0" borderId="0" xfId="6792" applyFont="1" applyAlignment="1">
      <alignment wrapText="1"/>
    </xf>
    <xf numFmtId="3" fontId="25" fillId="4" borderId="0" xfId="6792" applyNumberFormat="1" applyFont="1" applyFill="1" applyAlignment="1">
      <alignment horizontal="right"/>
    </xf>
    <xf numFmtId="0" fontId="2" fillId="4" borderId="0" xfId="0" applyFont="1" applyFill="1" applyAlignment="1">
      <alignment horizontal="right"/>
    </xf>
    <xf numFmtId="0" fontId="55" fillId="18" borderId="10" xfId="0" applyFont="1" applyFill="1" applyBorder="1" applyAlignment="1">
      <alignment vertical="top" wrapText="1"/>
    </xf>
    <xf numFmtId="0" fontId="55" fillId="18" borderId="10" xfId="0" applyFont="1" applyFill="1" applyBorder="1" applyAlignment="1">
      <alignment horizontal="left" vertical="top" wrapText="1"/>
    </xf>
    <xf numFmtId="0" fontId="171" fillId="18" borderId="10" xfId="0" applyFont="1" applyFill="1" applyBorder="1" applyAlignment="1">
      <alignment horizontal="left" vertical="top"/>
    </xf>
    <xf numFmtId="0" fontId="55" fillId="18" borderId="10" xfId="0" applyFont="1" applyFill="1" applyBorder="1" applyAlignment="1">
      <alignment horizontal="left" vertical="top"/>
    </xf>
    <xf numFmtId="3" fontId="49" fillId="0" borderId="49" xfId="0" applyNumberFormat="1" applyFont="1" applyBorder="1"/>
    <xf numFmtId="165" fontId="49" fillId="0" borderId="9" xfId="0" applyNumberFormat="1" applyFont="1" applyBorder="1"/>
    <xf numFmtId="165" fontId="49" fillId="0" borderId="50" xfId="0" applyNumberFormat="1" applyFont="1" applyBorder="1"/>
    <xf numFmtId="0" fontId="61" fillId="0" borderId="0" xfId="0" applyFont="1" applyAlignment="1">
      <alignment vertical="center" wrapText="1"/>
    </xf>
    <xf numFmtId="0" fontId="61" fillId="0" borderId="0" xfId="0" applyFont="1" applyAlignment="1">
      <alignment horizontal="right" vertical="center"/>
    </xf>
    <xf numFmtId="0" fontId="52" fillId="0" borderId="0" xfId="0" applyFont="1" applyAlignment="1">
      <alignment horizontal="right" vertical="center"/>
    </xf>
    <xf numFmtId="170" fontId="52" fillId="0" borderId="0" xfId="0" applyNumberFormat="1" applyFont="1" applyAlignment="1">
      <alignment horizontal="right" wrapText="1"/>
    </xf>
    <xf numFmtId="173" fontId="52" fillId="0" borderId="0" xfId="0" applyNumberFormat="1" applyFont="1" applyAlignment="1" applyProtection="1">
      <alignment horizontal="right"/>
      <protection locked="0"/>
    </xf>
    <xf numFmtId="0" fontId="61" fillId="0" borderId="0" xfId="0" applyFont="1"/>
    <xf numFmtId="0" fontId="61" fillId="0" borderId="3" xfId="0" applyFont="1" applyBorder="1"/>
    <xf numFmtId="3" fontId="61" fillId="0" borderId="9" xfId="0" applyNumberFormat="1" applyFont="1" applyBorder="1"/>
    <xf numFmtId="3" fontId="61" fillId="0" borderId="0" xfId="0" applyNumberFormat="1" applyFont="1"/>
    <xf numFmtId="3" fontId="61" fillId="0" borderId="3" xfId="0" applyNumberFormat="1" applyFont="1" applyBorder="1"/>
    <xf numFmtId="0" fontId="173" fillId="0" borderId="0" xfId="0" applyFont="1"/>
    <xf numFmtId="165" fontId="61" fillId="0" borderId="0" xfId="0" applyNumberFormat="1" applyFont="1"/>
    <xf numFmtId="165" fontId="61" fillId="0" borderId="9" xfId="0" applyNumberFormat="1" applyFont="1" applyBorder="1"/>
    <xf numFmtId="3" fontId="49" fillId="0" borderId="18" xfId="0" applyNumberFormat="1" applyFont="1" applyBorder="1"/>
    <xf numFmtId="0" fontId="172" fillId="0" borderId="0" xfId="0" applyFont="1"/>
    <xf numFmtId="0" fontId="60" fillId="4" borderId="21" xfId="0" applyFont="1" applyFill="1" applyBorder="1" applyAlignment="1">
      <alignment vertical="top" wrapText="1"/>
    </xf>
    <xf numFmtId="3" fontId="37" fillId="4" borderId="10" xfId="0" applyNumberFormat="1" applyFont="1" applyFill="1" applyBorder="1" applyAlignment="1">
      <alignment horizontal="left" vertical="top" wrapText="1"/>
    </xf>
    <xf numFmtId="0" fontId="0" fillId="0" borderId="10" xfId="0" applyBorder="1"/>
    <xf numFmtId="3" fontId="37" fillId="4" borderId="21" xfId="0" applyNumberFormat="1" applyFont="1" applyFill="1" applyBorder="1" applyAlignment="1">
      <alignment horizontal="left" vertical="top" wrapText="1"/>
    </xf>
    <xf numFmtId="0" fontId="47" fillId="4" borderId="10" xfId="0" applyFont="1" applyFill="1" applyBorder="1" applyAlignment="1">
      <alignment horizontal="left" vertical="top" wrapText="1"/>
    </xf>
    <xf numFmtId="0" fontId="174" fillId="4" borderId="20" xfId="0" applyFont="1" applyFill="1" applyBorder="1" applyAlignment="1">
      <alignment horizontal="left" vertical="top" wrapText="1"/>
    </xf>
    <xf numFmtId="0" fontId="47" fillId="4" borderId="20" xfId="0" applyFont="1" applyFill="1" applyBorder="1" applyAlignment="1">
      <alignment horizontal="left" vertical="top" wrapText="1"/>
    </xf>
    <xf numFmtId="170" fontId="47" fillId="4" borderId="10" xfId="0" applyNumberFormat="1" applyFont="1" applyFill="1" applyBorder="1" applyAlignment="1">
      <alignment horizontal="left" vertical="top" wrapText="1"/>
    </xf>
    <xf numFmtId="0" fontId="30" fillId="0" borderId="0" xfId="0" applyFont="1" applyAlignment="1">
      <alignment horizontal="left" vertical="top" wrapText="1"/>
    </xf>
    <xf numFmtId="3" fontId="0" fillId="0" borderId="0" xfId="0" applyNumberFormat="1"/>
    <xf numFmtId="3" fontId="17" fillId="0" borderId="0" xfId="0" applyNumberFormat="1" applyFont="1" applyAlignment="1">
      <alignment wrapText="1"/>
    </xf>
    <xf numFmtId="3" fontId="17" fillId="0" borderId="3" xfId="0" applyNumberFormat="1" applyFont="1" applyBorder="1" applyAlignment="1">
      <alignment wrapText="1"/>
    </xf>
    <xf numFmtId="0" fontId="17" fillId="0" borderId="0" xfId="0" applyFont="1" applyAlignment="1" applyProtection="1">
      <alignment wrapText="1"/>
      <protection locked="0"/>
    </xf>
    <xf numFmtId="3" fontId="17" fillId="0" borderId="3" xfId="0" applyNumberFormat="1" applyFont="1" applyBorder="1" applyAlignment="1">
      <alignment horizontal="right" wrapText="1"/>
    </xf>
    <xf numFmtId="0" fontId="16" fillId="9" borderId="0" xfId="0" applyFont="1" applyFill="1" applyAlignment="1" applyProtection="1">
      <alignment wrapText="1"/>
      <protection locked="0"/>
    </xf>
    <xf numFmtId="3" fontId="16" fillId="9" borderId="0" xfId="0" applyNumberFormat="1" applyFont="1" applyFill="1" applyAlignment="1" applyProtection="1">
      <alignment horizontal="right" wrapText="1"/>
      <protection locked="0"/>
    </xf>
    <xf numFmtId="3" fontId="16" fillId="9" borderId="0" xfId="0" applyNumberFormat="1" applyFont="1" applyFill="1" applyAlignment="1">
      <alignment horizontal="right" wrapText="1"/>
    </xf>
    <xf numFmtId="3" fontId="16" fillId="9" borderId="3" xfId="0" applyNumberFormat="1" applyFont="1" applyFill="1" applyBorder="1" applyAlignment="1">
      <alignment horizontal="right" wrapText="1"/>
    </xf>
    <xf numFmtId="0" fontId="16" fillId="4" borderId="0" xfId="0" applyFont="1" applyFill="1" applyAlignment="1" applyProtection="1">
      <alignment wrapText="1"/>
      <protection locked="0"/>
    </xf>
    <xf numFmtId="3" fontId="16" fillId="4" borderId="0" xfId="0" applyNumberFormat="1" applyFont="1" applyFill="1" applyAlignment="1" applyProtection="1">
      <alignment horizontal="right" wrapText="1"/>
      <protection locked="0"/>
    </xf>
    <xf numFmtId="3" fontId="16" fillId="4" borderId="0" xfId="0" applyNumberFormat="1" applyFont="1" applyFill="1" applyAlignment="1">
      <alignment horizontal="right" wrapText="1"/>
    </xf>
    <xf numFmtId="3" fontId="16" fillId="4" borderId="3" xfId="0" applyNumberFormat="1" applyFont="1" applyFill="1" applyBorder="1" applyAlignment="1">
      <alignment horizontal="right" wrapText="1"/>
    </xf>
    <xf numFmtId="3" fontId="16" fillId="9" borderId="3" xfId="0" applyNumberFormat="1" applyFont="1" applyFill="1" applyBorder="1" applyAlignment="1" applyProtection="1">
      <alignment horizontal="right" wrapText="1"/>
      <protection locked="0"/>
    </xf>
    <xf numFmtId="3" fontId="17" fillId="0" borderId="3" xfId="0" quotePrefix="1" applyNumberFormat="1" applyFont="1" applyBorder="1" applyAlignment="1">
      <alignment horizontal="right" wrapText="1"/>
    </xf>
    <xf numFmtId="0" fontId="49" fillId="16" borderId="0" xfId="0" applyFont="1" applyFill="1"/>
    <xf numFmtId="165" fontId="17" fillId="0" borderId="0" xfId="0" applyNumberFormat="1" applyFont="1" applyAlignment="1">
      <alignment horizontal="right" wrapText="1"/>
    </xf>
    <xf numFmtId="165" fontId="17" fillId="0" borderId="3" xfId="0" applyNumberFormat="1" applyFont="1" applyBorder="1" applyAlignment="1">
      <alignment horizontal="right" wrapText="1"/>
    </xf>
    <xf numFmtId="165" fontId="17" fillId="4" borderId="0" xfId="0" applyNumberFormat="1" applyFont="1" applyFill="1" applyAlignment="1">
      <alignment horizontal="right" wrapText="1"/>
    </xf>
    <xf numFmtId="0" fontId="34" fillId="4" borderId="10" xfId="0" applyFont="1" applyFill="1" applyBorder="1" applyAlignment="1">
      <alignment horizontal="left" vertical="top"/>
    </xf>
    <xf numFmtId="1" fontId="0" fillId="0" borderId="0" xfId="0" applyNumberFormat="1"/>
    <xf numFmtId="174" fontId="54" fillId="4" borderId="0" xfId="6796" applyNumberFormat="1" applyFont="1" applyFill="1" applyAlignment="1" applyProtection="1">
      <alignment vertical="top" wrapText="1"/>
      <protection locked="0"/>
    </xf>
    <xf numFmtId="0" fontId="5" fillId="5" borderId="0" xfId="0" applyFont="1" applyFill="1" applyAlignment="1">
      <alignment horizontal="left" vertical="center" wrapText="1"/>
    </xf>
    <xf numFmtId="0" fontId="19" fillId="4" borderId="0" xfId="0" applyFont="1" applyFill="1" applyAlignment="1">
      <alignment horizontal="left" vertical="top" wrapText="1"/>
    </xf>
    <xf numFmtId="0" fontId="20" fillId="4" borderId="0" xfId="0" applyFont="1" applyFill="1" applyAlignment="1">
      <alignment horizontal="left" vertical="top" wrapText="1"/>
    </xf>
    <xf numFmtId="0" fontId="24" fillId="0" borderId="0" xfId="0" applyFont="1" applyAlignment="1">
      <alignment horizontal="center" vertical="center"/>
    </xf>
    <xf numFmtId="0" fontId="24" fillId="4" borderId="0" xfId="0" applyFont="1" applyFill="1" applyAlignment="1">
      <alignment horizontal="center" vertical="center"/>
    </xf>
    <xf numFmtId="0" fontId="24" fillId="4" borderId="3" xfId="0" applyFont="1" applyFill="1" applyBorder="1" applyAlignment="1">
      <alignment horizontal="center" vertical="center"/>
    </xf>
    <xf numFmtId="0" fontId="24" fillId="0" borderId="0" xfId="0" applyFont="1" applyAlignment="1">
      <alignment horizontal="center"/>
    </xf>
    <xf numFmtId="0" fontId="24" fillId="0" borderId="3" xfId="0" applyFont="1" applyBorder="1" applyAlignment="1">
      <alignment horizontal="center" vertical="center"/>
    </xf>
    <xf numFmtId="0" fontId="24" fillId="0" borderId="3" xfId="0" applyFont="1" applyBorder="1" applyAlignment="1">
      <alignment horizontal="center"/>
    </xf>
    <xf numFmtId="0" fontId="24" fillId="4" borderId="0" xfId="0" applyFont="1" applyFill="1" applyAlignment="1">
      <alignment horizontal="center"/>
    </xf>
    <xf numFmtId="0" fontId="24" fillId="4" borderId="3" xfId="0" applyFont="1" applyFill="1" applyBorder="1" applyAlignment="1">
      <alignment horizontal="center"/>
    </xf>
    <xf numFmtId="0" fontId="50" fillId="4" borderId="0" xfId="6792" applyFont="1" applyFill="1" applyAlignment="1">
      <alignment horizontal="left" vertical="top" wrapText="1"/>
    </xf>
    <xf numFmtId="0" fontId="25" fillId="4" borderId="0" xfId="6792" applyFont="1" applyFill="1" applyAlignment="1">
      <alignment horizontal="left" vertical="top" wrapText="1"/>
    </xf>
    <xf numFmtId="0" fontId="61" fillId="4" borderId="21" xfId="0" applyFont="1" applyFill="1" applyBorder="1" applyAlignment="1">
      <alignment horizontal="left" vertical="top" wrapText="1"/>
    </xf>
    <xf numFmtId="0" fontId="61" fillId="4" borderId="0" xfId="0" applyFont="1" applyFill="1" applyAlignment="1">
      <alignment horizontal="left" vertical="top" wrapText="1"/>
    </xf>
    <xf numFmtId="0" fontId="165" fillId="0" borderId="21" xfId="0" applyFont="1" applyBorder="1" applyAlignment="1">
      <alignment horizontal="center" vertical="top" wrapText="1"/>
    </xf>
    <xf numFmtId="0" fontId="165" fillId="0" borderId="10" xfId="0" applyFont="1" applyBorder="1" applyAlignment="1">
      <alignment horizontal="center" vertical="top" wrapText="1"/>
    </xf>
    <xf numFmtId="0" fontId="55" fillId="18" borderId="0" xfId="0" applyFont="1" applyFill="1" applyAlignment="1">
      <alignment horizontal="left" vertical="top" wrapText="1"/>
    </xf>
  </cellXfs>
  <cellStyles count="6797">
    <cellStyle name="_Bank Draft-May 08" xfId="2" xr:uid="{B09CA5D9-1EC4-475E-8227-806CA29EA94F}"/>
    <cellStyle name="_Book3" xfId="3" xr:uid="{0D95C005-365F-48E0-9FDE-FBE28CAF5736}"/>
    <cellStyle name="_Book4" xfId="4" xr:uid="{CA9E6159-88B4-4167-A70F-B90C3D6F46D3}"/>
    <cellStyle name="_Finance OH Allocation-B 2009-V1" xfId="5" xr:uid="{86FCE2D0-782A-40BB-91A8-5024BE0EAAA1}"/>
    <cellStyle name="_Heading" xfId="6" xr:uid="{9629E60D-4E22-48E7-A2C9-8F7DBFA5BBBA}"/>
    <cellStyle name="_Jack-BI" xfId="7" xr:uid="{233D3AEE-D1B2-41C3-89D4-542863E022F3}"/>
    <cellStyle name="_James-BI" xfId="8" xr:uid="{5CB02052-2D42-41BE-B25B-49C18AD2395C}"/>
    <cellStyle name="_Leslie-BI" xfId="9" xr:uid="{372611D1-1222-4ED3-B25F-8190021DA777}"/>
    <cellStyle name="_Material Purchase-Jan 2009" xfId="10" xr:uid="{1ED2F56B-0AD4-4F4D-A154-2E4F30E0F412}"/>
    <cellStyle name="_OH FYF information-Aug 08" xfId="11" xr:uid="{20E22CB2-B36C-4BE0-8703-9188746866CA}"/>
    <cellStyle name="_Operation report-Aug 08" xfId="12" xr:uid="{70338EDB-5A9E-4EA5-A2E8-FAE9720924DE}"/>
    <cellStyle name="_Overheads Format" xfId="13" xr:uid="{403A0FE7-1681-4931-97CC-F6C32B583D66}"/>
    <cellStyle name="_Overheads-Nov-2007" xfId="14" xr:uid="{5E946F53-4B34-4342-8083-2727143F41B8}"/>
    <cellStyle name="_Raymond-BI" xfId="15" xr:uid="{8800FC44-B67B-4F89-88F0-6FFF8CE357BE}"/>
    <cellStyle name="_Salary- B 2009-V1" xfId="16" xr:uid="{1ED3A720-F3B3-4C39-B618-74524CFE17AD}"/>
    <cellStyle name="_Sales-B 2009-V2" xfId="17" xr:uid="{30F30280-71BA-4441-B885-4701ABBAEA10}"/>
    <cellStyle name="_TableHead" xfId="18" xr:uid="{0DACC83C-7A20-4D2E-9032-A5DC60CF76EC}"/>
    <cellStyle name="_TableHead_evdre" xfId="19" xr:uid="{D50A24C3-D5D9-4DB0-A0E4-466A2A65ADEA}"/>
    <cellStyle name="_TableSuperHead" xfId="20" xr:uid="{D59F9A80-B8F9-4F3C-A313-8B20D203084D}"/>
    <cellStyle name="_Total-BI" xfId="21" xr:uid="{0EA9A8C9-7439-4B4E-9285-5F7756DF7B69}"/>
    <cellStyle name="_Wendy-BI" xfId="22" xr:uid="{2257F479-9389-44EB-B20C-58CB98812127}"/>
    <cellStyle name="_Yangmin-BI" xfId="23" xr:uid="{847232CA-3C42-441B-AE70-42DE3E6B06FD}"/>
    <cellStyle name="%_j" xfId="1" xr:uid="{CE4E7C39-FC77-4B0C-BCFB-37D060F8F642}"/>
    <cellStyle name="0_j" xfId="26" xr:uid="{CFD885A3-AB64-4A09-95F3-9B4C35F31CAB}"/>
    <cellStyle name="0,0_j" xfId="24" xr:uid="{D4E6E941-8C29-4131-8299-D83CF2068217}"/>
    <cellStyle name="0,00_j" xfId="25" xr:uid="{DE0FF6A9-4012-4273-BAA1-7A0A0CCA5E47}"/>
    <cellStyle name="20 % - Accent1" xfId="27" xr:uid="{0883CCAD-B740-4D5D-9D7F-E97D8CB91FD6}"/>
    <cellStyle name="20 % - Accent2" xfId="28" xr:uid="{D40E1DC2-D4FC-4B36-A0C6-9FA167613A70}"/>
    <cellStyle name="20 % - Accent3" xfId="29" xr:uid="{0342054F-BE7B-4F32-99DC-59B1B83D0EED}"/>
    <cellStyle name="20 % - Accent4" xfId="30" xr:uid="{32A93C44-C6D7-4F63-A69A-EBC549D9945B}"/>
    <cellStyle name="20 % - Accent5" xfId="31" xr:uid="{C3B49C7C-0050-4DF3-A272-1B04E93B9AFA}"/>
    <cellStyle name="20 % - Accent6" xfId="32" xr:uid="{D4A06197-25D5-4DB5-83CE-E0BB80DCD9BC}"/>
    <cellStyle name="20% - Accent1 10" xfId="33" xr:uid="{189DE684-48BD-4700-B189-4311C459D9EA}"/>
    <cellStyle name="20% - Accent1 11" xfId="34" xr:uid="{12C55C9E-C1AD-47B6-BF54-E6CB79ABE59A}"/>
    <cellStyle name="20% - Accent1 12" xfId="35" xr:uid="{EE525758-CC55-4733-9601-6D9EE414D1A9}"/>
    <cellStyle name="20% - Accent1 13" xfId="36" xr:uid="{1006D48F-326C-4B47-8BA6-B908B3E68A3C}"/>
    <cellStyle name="20% - Accent1 2" xfId="37" xr:uid="{8778B4CD-E893-41DA-A75F-54B426A55D44}"/>
    <cellStyle name="20% - Accent1 2 10" xfId="38" xr:uid="{71873A3D-C03E-4B24-9DEC-0397CC3D1DF5}"/>
    <cellStyle name="20% - Accent1 2 10 2" xfId="39" xr:uid="{F621F72B-5BAD-48D2-9E55-7B41E3426E03}"/>
    <cellStyle name="20% - Accent1 2 10 2 2" xfId="40" xr:uid="{8575D6D6-2F29-411F-A62F-5812F09DB08E}"/>
    <cellStyle name="20% - Accent1 2 10 3" xfId="41" xr:uid="{6E33AD80-F44D-46C5-8D77-417A2BD02083}"/>
    <cellStyle name="20% - Accent1 2 11" xfId="42" xr:uid="{5AEC5EFC-0D90-4A4F-BEB7-7A53BF63B1C0}"/>
    <cellStyle name="20% - Accent1 2 11 2" xfId="43" xr:uid="{471873B5-0D66-424E-9231-E23B24F8CA2B}"/>
    <cellStyle name="20% - Accent1 2 11 2 2" xfId="44" xr:uid="{BA4067D4-CAF6-4F6E-A0AE-C6F2EAC5E369}"/>
    <cellStyle name="20% - Accent1 2 11 3" xfId="45" xr:uid="{4B7C1D90-7DC8-4C47-818B-270156916211}"/>
    <cellStyle name="20% - Accent1 2 12 2" xfId="46" xr:uid="{4B265B3E-1FE0-42BC-BDB0-0F205A7DC8C8}"/>
    <cellStyle name="20% - Accent1 2 12 2 2" xfId="47" xr:uid="{87695DA4-B510-48EA-AAE8-C050E895DEDE}"/>
    <cellStyle name="20% - Accent1 2 12 3" xfId="48" xr:uid="{BF726EA9-047F-4913-AF60-B0972AD75C1C}"/>
    <cellStyle name="20% - Accent1 2 13" xfId="49" xr:uid="{F645DFDC-7226-4E85-84AD-30F0F4ED4451}"/>
    <cellStyle name="20% - Accent1 2 13 2" xfId="50" xr:uid="{F5F488F0-6EDA-4FCF-8A07-F26954CAF3A2}"/>
    <cellStyle name="20% - Accent1 2 13 2 2" xfId="51" xr:uid="{B3E0561E-0067-4CC8-9CD8-7410495EFD0B}"/>
    <cellStyle name="20% - Accent1 2 13 3" xfId="52" xr:uid="{E5B4F504-62B7-40B8-8C88-B5BE304B3CCA}"/>
    <cellStyle name="20% - Accent1 2 14" xfId="53" xr:uid="{360E954D-9D8A-4CA1-9F3B-AF310CF9BB24}"/>
    <cellStyle name="20% - Accent1 2 15" xfId="54" xr:uid="{9465BEC6-9619-4E69-9EC6-9D9511CD12AC}"/>
    <cellStyle name="20% - Accent1 2 16" xfId="55" xr:uid="{B02FD72B-1852-4F1A-97DE-3F0D3AADE216}"/>
    <cellStyle name="20% - Accent1 2 17" xfId="56" xr:uid="{D1726271-A2B4-42DF-A6FC-D025CC40072C}"/>
    <cellStyle name="20% - Accent1 2 18" xfId="57" xr:uid="{260902BF-7AE3-42CC-8E12-A02E3A4C2735}"/>
    <cellStyle name="20% - Accent1 2 19" xfId="58" xr:uid="{B56240F2-CC5E-43C9-AA37-42959ACB73D5}"/>
    <cellStyle name="20% - Accent1 2 19 2" xfId="59" xr:uid="{4AF7129D-5431-49BD-81B9-511DE8952FF2}"/>
    <cellStyle name="20% - Accent1 2 2" xfId="60" xr:uid="{8B4F8546-3937-4A84-955C-ED7AA636E515}"/>
    <cellStyle name="20% - Accent1 2 2 2" xfId="61" xr:uid="{40416DF7-A8A9-4EDF-88E7-572EE992A3AA}"/>
    <cellStyle name="20% - Accent1 2 2 3" xfId="62" xr:uid="{CF92900C-BB04-4477-AF19-29979A72F414}"/>
    <cellStyle name="20% - Accent1 2 2 4" xfId="63" xr:uid="{83B92A3D-ED97-48AE-B78A-A184A65DC7B9}"/>
    <cellStyle name="20% - Accent1 2 2 5" xfId="64" xr:uid="{7A190284-007F-44F8-84C8-7B890118A207}"/>
    <cellStyle name="20% - Accent1 2 2 6" xfId="65" xr:uid="{88F2EEA8-47C7-432E-932E-109F643C44F6}"/>
    <cellStyle name="20% - Accent1 2 2 7" xfId="66" xr:uid="{CB1C2E0A-22A6-4D62-B2B2-D75DED733E0B}"/>
    <cellStyle name="20% - Accent1 2 2 8" xfId="67" xr:uid="{9FC21D02-2D70-405E-BAC3-ACE2E4ECE0A8}"/>
    <cellStyle name="20% - Accent1 2 2 8 2" xfId="68" xr:uid="{7BF7C843-FD3B-419D-B459-FFF474BC15A7}"/>
    <cellStyle name="20% - Accent1 2 2 9" xfId="69" xr:uid="{F1874C47-F587-4ED8-923F-EE7DBB85547E}"/>
    <cellStyle name="20% - Accent1 2 2_EQU" xfId="70" xr:uid="{5862480A-FA8F-4905-A5BC-593DA3605DC2}"/>
    <cellStyle name="20% - Accent1 2 3" xfId="71" xr:uid="{43F90B30-ABAF-4FFB-83F2-BA168E4511DD}"/>
    <cellStyle name="20% - Accent1 2 3 10" xfId="72" xr:uid="{D8B824D4-F91B-405A-851F-5ABC80850E71}"/>
    <cellStyle name="20% - Accent1 2 3 11" xfId="73" xr:uid="{B8B3E030-2E74-4853-866F-DD249116E1DC}"/>
    <cellStyle name="20% - Accent1 2 3 12" xfId="74" xr:uid="{6C9B4B5D-6F91-4986-897D-ED32FA3131A3}"/>
    <cellStyle name="20% - Accent1 2 3 13" xfId="75" xr:uid="{6FD8255A-5096-4C17-BFC4-A72B7EB9BCC5}"/>
    <cellStyle name="20% - Accent1 2 3 14" xfId="76" xr:uid="{CA800E75-BE67-4241-96A7-71E448BC370D}"/>
    <cellStyle name="20% - Accent1 2 3 15" xfId="77" xr:uid="{934F73DB-CB36-4D03-AC1D-48CCB190751B}"/>
    <cellStyle name="20% - Accent1 2 3 16" xfId="78" xr:uid="{4F04CC3C-196A-4C77-A85E-7BAFFC41EC45}"/>
    <cellStyle name="20% - Accent1 2 3 17" xfId="79" xr:uid="{908F5B85-1EC3-4F19-9934-254B2B7D1214}"/>
    <cellStyle name="20% - Accent1 2 3 18" xfId="80" xr:uid="{1B4A698C-050E-4FFA-9E0B-42F689B11657}"/>
    <cellStyle name="20% - Accent1 2 3 18 2" xfId="81" xr:uid="{76145EA9-8EBA-4017-8540-DE97CB1BB0D2}"/>
    <cellStyle name="20% - Accent1 2 3 19" xfId="82" xr:uid="{3A7E8181-818B-4DFC-B5D4-AE5E8E76B168}"/>
    <cellStyle name="20% - Accent1 2 3 2" xfId="83" xr:uid="{A8116619-333F-49B4-924E-9F9AE95FAEA8}"/>
    <cellStyle name="20% - Accent1 2 3 2 10" xfId="84" xr:uid="{7BE80774-B45B-4525-9770-D47AB1EA10D9}"/>
    <cellStyle name="20% - Accent1 2 3 2 11" xfId="85" xr:uid="{FF66F821-1A92-4BAF-8944-9E3CCBDA3A59}"/>
    <cellStyle name="20% - Accent1 2 3 2 12" xfId="86" xr:uid="{A2713B42-4CA1-4E80-A23B-CBDAA2EF3012}"/>
    <cellStyle name="20% - Accent1 2 3 2 2" xfId="87" xr:uid="{B1567161-104F-402B-A5D1-6EA2A2D948FB}"/>
    <cellStyle name="20% - Accent1 2 3 2 3" xfId="88" xr:uid="{77F87A01-E2B5-4DC7-8F5F-8506D583AE1A}"/>
    <cellStyle name="20% - Accent1 2 3 2 4" xfId="89" xr:uid="{C64BBFC7-BAF3-4C9F-9D41-82B169814701}"/>
    <cellStyle name="20% - Accent1 2 3 2 5" xfId="90" xr:uid="{4743DA8D-64CD-468C-BF79-892A05F8D8B1}"/>
    <cellStyle name="20% - Accent1 2 3 2 6" xfId="91" xr:uid="{948392C3-B20D-49A9-8B22-993873D2CE49}"/>
    <cellStyle name="20% - Accent1 2 3 2 7" xfId="92" xr:uid="{111CB17F-DCB8-4B9D-AA1C-A87D65C1FBB5}"/>
    <cellStyle name="20% - Accent1 2 3 2 8" xfId="93" xr:uid="{727644D1-77FE-4277-9D50-C7E1DEB123D8}"/>
    <cellStyle name="20% - Accent1 2 3 2 9" xfId="94" xr:uid="{436AB47A-8CA6-4297-BCF8-459D97A4641A}"/>
    <cellStyle name="20% - Accent1 2 3 3" xfId="95" xr:uid="{7DD688A8-8A32-496F-8892-8C2E561F1F94}"/>
    <cellStyle name="20% - Accent1 2 3 4" xfId="96" xr:uid="{7E90EF4A-5ABA-4DDA-A9F8-C0B92B100473}"/>
    <cellStyle name="20% - Accent1 2 3 5" xfId="97" xr:uid="{040EA595-1858-4EC6-9C02-21FC9525DA37}"/>
    <cellStyle name="20% - Accent1 2 3 6" xfId="98" xr:uid="{21F88126-80C2-4A37-889D-81D5B70D46DE}"/>
    <cellStyle name="20% - Accent1 2 3 7" xfId="99" xr:uid="{BB8DA15D-0C81-4ADE-BCF7-30C8B0C576E0}"/>
    <cellStyle name="20% - Accent1 2 3 8" xfId="100" xr:uid="{CF3DEAC2-FBD4-4355-A879-0A954F245313}"/>
    <cellStyle name="20% - Accent1 2 3 9" xfId="101" xr:uid="{BDC1DE54-4F1B-4C38-AF51-A951D7DFA57E}"/>
    <cellStyle name="20% - Accent1 2 3_Derivatives" xfId="102" xr:uid="{78EA5F34-F143-4323-AC3F-AA9439AA22A3}"/>
    <cellStyle name="20% - Accent1 2 4" xfId="103" xr:uid="{76C6BAAB-26FF-49AF-962C-94C2531FCD88}"/>
    <cellStyle name="20% - Accent1 2 4 2" xfId="104" xr:uid="{82FB851C-FFAE-4953-86C4-1C619F206846}"/>
    <cellStyle name="20% - Accent1 2 4 2 2" xfId="105" xr:uid="{C8999538-4C67-4C12-B7A7-E87A46E04DF8}"/>
    <cellStyle name="20% - Accent1 2 4 3" xfId="106" xr:uid="{97E8BB1A-E7ED-4B1D-B265-F0786C6769AD}"/>
    <cellStyle name="20% - Accent1 2 4_EQU" xfId="107" xr:uid="{D1BC16C1-7719-41F8-AB69-4A343E50CA3B}"/>
    <cellStyle name="20% - Accent1 2 5" xfId="108" xr:uid="{F40071A6-90A6-4790-B506-F0BE2ED153FD}"/>
    <cellStyle name="20% - Accent1 2 5 2" xfId="109" xr:uid="{E73538E0-0A58-4B58-8D66-BCEEBC952AD4}"/>
    <cellStyle name="20% - Accent1 2 5 2 2" xfId="110" xr:uid="{9AEE8C51-9FD6-4FCC-B985-15C7966FE78C}"/>
    <cellStyle name="20% - Accent1 2 5 3" xfId="111" xr:uid="{C4892BDD-FEFC-4714-8DDC-C1BCED4B4F78}"/>
    <cellStyle name="20% - Accent1 2 5_Derivatives" xfId="112" xr:uid="{F8A20AD3-6AFB-4DBF-8EC7-4F64CF970C43}"/>
    <cellStyle name="20% - Accent1 2 6" xfId="113" xr:uid="{C9712BEF-8244-47E7-8EAD-FD7F8FA74456}"/>
    <cellStyle name="20% - Accent1 2 6 2" xfId="114" xr:uid="{32643C07-CBBA-4D8E-99C6-7AEC6A9F9395}"/>
    <cellStyle name="20% - Accent1 2 6 2 2" xfId="115" xr:uid="{4F25E2A1-AA6A-4C8F-A0AE-E0053AAAEDEE}"/>
    <cellStyle name="20% - Accent1 2 6 3" xfId="116" xr:uid="{7B7E648B-52BE-4877-819B-2CA7F4F45992}"/>
    <cellStyle name="20% - Accent1 2 6_Derivatives" xfId="117" xr:uid="{4319930D-9BCD-4735-BEA7-300FBF53FE28}"/>
    <cellStyle name="20% - Accent1 2 7" xfId="118" xr:uid="{9BB3011D-D3EB-4ACA-848A-D6D97E644DD0}"/>
    <cellStyle name="20% - Accent1 2 7 2" xfId="119" xr:uid="{CE7BC73B-AC71-44C9-AD24-B623EC2FD1FC}"/>
    <cellStyle name="20% - Accent1 2 7 2 2" xfId="120" xr:uid="{2C930824-1201-42E5-898F-10E918C2A6B7}"/>
    <cellStyle name="20% - Accent1 2 7 3" xfId="121" xr:uid="{7AA3EAFE-E5E1-4F96-968E-B37648F0654F}"/>
    <cellStyle name="20% - Accent1 2 7_Derivatives" xfId="122" xr:uid="{24C4A636-0B22-413C-BE99-192BFD8AEA20}"/>
    <cellStyle name="20% - Accent1 2 8" xfId="123" xr:uid="{E9115428-9A00-40F5-9DA5-7C1AEBF517AA}"/>
    <cellStyle name="20% - Accent1 2 8 2" xfId="124" xr:uid="{F6E3F1E7-C082-4510-AD06-6AAB22B9BCA4}"/>
    <cellStyle name="20% - Accent1 2 8 2 2" xfId="125" xr:uid="{C3FBA06A-F697-41FC-9CA4-44DF7F47D277}"/>
    <cellStyle name="20% - Accent1 2 8 3" xfId="126" xr:uid="{ECE4A0EE-E35A-4A74-89ED-38800381380B}"/>
    <cellStyle name="20% - Accent1 2 8_Derivatives" xfId="127" xr:uid="{B5ED6074-1D6C-4110-9E0D-546F60031524}"/>
    <cellStyle name="20% - Accent1 2 9" xfId="128" xr:uid="{DCB3DD5B-FFF0-4D77-B3B6-B000DF37CFA8}"/>
    <cellStyle name="20% - Accent1 2 9 2" xfId="129" xr:uid="{661B2802-DDA0-4837-935A-5C643F0C8C60}"/>
    <cellStyle name="20% - Accent1 2 9 2 2" xfId="130" xr:uid="{F2A97F78-E523-4971-B1B2-6CDA1FCF5B2D}"/>
    <cellStyle name="20% - Accent1 2 9 3" xfId="131" xr:uid="{312BDA33-9364-4BAC-8042-97A21765C08D}"/>
    <cellStyle name="20% - Accent1 2_5130_new" xfId="132" xr:uid="{720D2AA9-8831-4B0E-9BD8-798934BB4546}"/>
    <cellStyle name="20% - Accent1 3" xfId="133" xr:uid="{0B28F13E-EE61-440D-9C68-1AF94469562B}"/>
    <cellStyle name="20% - Accent1 3 10" xfId="134" xr:uid="{BB6EEF3C-2F2D-4E2B-BCAF-9F951CADBE7E}"/>
    <cellStyle name="20% - Accent1 3 2" xfId="135" xr:uid="{826FA6A1-F937-4F8A-8182-10CD7E7DB39B}"/>
    <cellStyle name="20% - Accent1 3 2 2" xfId="136" xr:uid="{03D2F563-4271-4916-8129-6E74D2EA8913}"/>
    <cellStyle name="20% - Accent1 3 2 2 2" xfId="137" xr:uid="{D8587D65-4272-4B3B-9926-9D3FF97BF0BF}"/>
    <cellStyle name="20% - Accent1 3 2 3" xfId="138" xr:uid="{5E593D36-AEEF-45A2-A6C3-A05127A44ADA}"/>
    <cellStyle name="20% - Accent1 3 2_Derivatives" xfId="139" xr:uid="{31ED3A23-C777-4099-9338-86510254FF10}"/>
    <cellStyle name="20% - Accent1 3 3" xfId="140" xr:uid="{C4FC0D94-F4FC-44FE-98E0-91AAE75A5F5B}"/>
    <cellStyle name="20% - Accent1 3 4" xfId="141" xr:uid="{2EAD459C-8644-4207-8943-6A2DE561E79B}"/>
    <cellStyle name="20% - Accent1 3 5" xfId="142" xr:uid="{D57A5E70-210D-49A2-9142-3B6BBD6A7560}"/>
    <cellStyle name="20% - Accent1 3 6" xfId="143" xr:uid="{722456C7-E37C-4CAB-92F9-F67C5AB9DD5C}"/>
    <cellStyle name="20% - Accent1 3 7" xfId="144" xr:uid="{51FB5BB0-9765-46B4-B377-A745B56464AA}"/>
    <cellStyle name="20% - Accent1 3 8" xfId="145" xr:uid="{3E446D07-BC42-4465-AC19-743D08C5AFA1}"/>
    <cellStyle name="20% - Accent1 3 9" xfId="146" xr:uid="{609CCA80-5284-4174-9500-7383EB8DFBF6}"/>
    <cellStyle name="20% - Accent1 3 9 2" xfId="147" xr:uid="{A28D35D5-9B50-4D8C-AE94-96F01E44D6B0}"/>
    <cellStyle name="20% - Accent1 3_EQU" xfId="148" xr:uid="{37EC728B-F960-4A13-A499-CECFFD21698F}"/>
    <cellStyle name="20% - Accent1 4" xfId="149" xr:uid="{6189FAC0-5D98-4E4D-8DA5-1452AD322E9D}"/>
    <cellStyle name="20% - Accent1 4 10" xfId="150" xr:uid="{D98D0BFD-245B-4BE2-BF01-AEBD27170BBB}"/>
    <cellStyle name="20% - Accent1 4 2" xfId="151" xr:uid="{A353B8F9-D396-4DB2-BF6B-1DC657CBC2DB}"/>
    <cellStyle name="20% - Accent1 4 2 2" xfId="152" xr:uid="{7FE77EB0-93A1-40F9-AC2F-E4FAB7CC8A79}"/>
    <cellStyle name="20% - Accent1 4 2 2 2" xfId="153" xr:uid="{1E6DD128-C132-4DCB-B9CC-46DE1C759A7B}"/>
    <cellStyle name="20% - Accent1 4 2 3" xfId="154" xr:uid="{772268E8-1DF7-48DE-9122-CDC85A2F0601}"/>
    <cellStyle name="20% - Accent1 4 2_EQU" xfId="155" xr:uid="{35508F3F-D097-4BFA-9D15-5F601E01B11F}"/>
    <cellStyle name="20% - Accent1 4 3" xfId="156" xr:uid="{D0EE557F-9483-41EE-9757-21637033D768}"/>
    <cellStyle name="20% - Accent1 4 4" xfId="157" xr:uid="{54432B39-15FE-4DD9-88D9-C04C7B2B1378}"/>
    <cellStyle name="20% - Accent1 4 5" xfId="158" xr:uid="{9EE6CC9D-145F-448B-8CAB-6551B2756C06}"/>
    <cellStyle name="20% - Accent1 4 6" xfId="159" xr:uid="{F4D8A853-8D23-4342-A97A-6BD3F51A35BA}"/>
    <cellStyle name="20% - Accent1 4 7" xfId="160" xr:uid="{BD0154D8-679E-4921-A07A-57B903AD8616}"/>
    <cellStyle name="20% - Accent1 4 8" xfId="161" xr:uid="{300A349A-0720-4A20-B04A-48B470682F36}"/>
    <cellStyle name="20% - Accent1 4 9" xfId="162" xr:uid="{D036AA35-6AE8-4FF1-97A4-7668D77E3827}"/>
    <cellStyle name="20% - Accent1 4 9 2" xfId="163" xr:uid="{BD6C6558-943A-4044-B3E1-696AF78A715E}"/>
    <cellStyle name="20% - Accent1 4_EQU" xfId="164" xr:uid="{7EC94F87-E89C-4A00-8123-DA9B027E5972}"/>
    <cellStyle name="20% - Accent1 5" xfId="165" xr:uid="{63864E45-9692-423A-89B1-2EBBD264F58A}"/>
    <cellStyle name="20% - Accent1 5 2" xfId="166" xr:uid="{AC295CBE-1A18-4D02-B990-C66CA8765BE2}"/>
    <cellStyle name="20% - Accent1 5 2 2" xfId="167" xr:uid="{9D1B74A3-778A-4105-9A58-7D6F341EBDA3}"/>
    <cellStyle name="20% - Accent1 5 2 2 2" xfId="168" xr:uid="{A0A3E90C-B1EC-4BD7-94FB-07EF6EF8B595}"/>
    <cellStyle name="20% - Accent1 5 2 3" xfId="169" xr:uid="{2EF66DC0-AE40-42E5-B577-9D5B5BD23202}"/>
    <cellStyle name="20% - Accent1 5 3" xfId="170" xr:uid="{076D96B5-761F-4E24-8436-38D45597AC8A}"/>
    <cellStyle name="20% - Accent1 5 3 2" xfId="171" xr:uid="{9240793A-A5F2-4312-B237-87562A3093E6}"/>
    <cellStyle name="20% - Accent1 5 4" xfId="172" xr:uid="{07FF7A49-A378-473E-92B0-2F0A0FF382FD}"/>
    <cellStyle name="20% - Accent1 5_Derivatives" xfId="173" xr:uid="{B80D6DEB-CA4B-4ABF-A356-C5AE04F1C5D2}"/>
    <cellStyle name="20% - Accent1 6" xfId="174" xr:uid="{AD26BDAB-DD0F-4612-9E77-D4168AC706A8}"/>
    <cellStyle name="20% - Accent1 6 2" xfId="175" xr:uid="{AA5D6C43-0DCD-4D59-80C1-2DA9C8E0058F}"/>
    <cellStyle name="20% - Accent1 6 2 2" xfId="176" xr:uid="{A4A1E497-6997-4F35-9866-8D267383EAB5}"/>
    <cellStyle name="20% - Accent1 6 2 2 2" xfId="177" xr:uid="{0AA29D53-0086-4921-9B6E-4F283F572923}"/>
    <cellStyle name="20% - Accent1 6 2 3" xfId="178" xr:uid="{C6BC0C65-FDCC-4ED2-AD3A-B921B0555D6E}"/>
    <cellStyle name="20% - Accent1 6 3" xfId="179" xr:uid="{1E42A2BE-1091-41D4-AE69-75D0F43BE6A6}"/>
    <cellStyle name="20% - Accent1 6 3 2" xfId="180" xr:uid="{F0742B94-60AB-475F-ADFF-17D2B3550E1A}"/>
    <cellStyle name="20% - Accent1 6 4" xfId="181" xr:uid="{5AA07522-B0D4-41F0-ADA0-D5CDF486DB72}"/>
    <cellStyle name="20% - Accent1 6_EQU" xfId="182" xr:uid="{C121A6E0-DA4E-42AA-8DD9-77D68971D0E1}"/>
    <cellStyle name="20% - Accent1 7" xfId="183" xr:uid="{98BD917B-DC1D-49EF-90D7-1D4E3BD8FE22}"/>
    <cellStyle name="20% - Accent1 7 2" xfId="184" xr:uid="{E9BE40E4-04C4-4A2E-9652-C9E0595D680B}"/>
    <cellStyle name="20% - Accent1 7 2 2" xfId="185" xr:uid="{D8DF807D-745B-4B81-9AA0-D86E89ABD53E}"/>
    <cellStyle name="20% - Accent1 7 3" xfId="186" xr:uid="{F9FCFB8E-59F9-4ED6-9517-1D3DAE581E37}"/>
    <cellStyle name="20% - Accent1 7_EQU" xfId="187" xr:uid="{1AC57567-FCD5-48ED-A6E1-DDFBED40A3A8}"/>
    <cellStyle name="20% - Accent1 8" xfId="188" xr:uid="{2F57EE70-43C5-449E-B280-7E455B15FCD7}"/>
    <cellStyle name="20% - Accent1 9" xfId="189" xr:uid="{70C680A0-4B84-47B7-B948-D41C25A6F748}"/>
    <cellStyle name="20% - Accent2 10" xfId="190" xr:uid="{A225AC8C-576C-4D5E-868B-75DE34404AD7}"/>
    <cellStyle name="20% - Accent2 11" xfId="191" xr:uid="{8DD72FB1-A132-42D0-A957-98F15FECD70A}"/>
    <cellStyle name="20% - Accent2 12" xfId="192" xr:uid="{B77ACB3A-649A-4855-BB54-BACD3D6BDCC4}"/>
    <cellStyle name="20% - Accent2 13" xfId="193" xr:uid="{910BCED7-887A-470D-942D-3D75F08AC086}"/>
    <cellStyle name="20% - Accent2 2" xfId="194" xr:uid="{6CB44D55-AF22-40B9-9445-5802979EAED1}"/>
    <cellStyle name="20% - Accent2 2 10" xfId="195" xr:uid="{6F92DF7D-424D-4D75-ADD0-6E70AF0E874B}"/>
    <cellStyle name="20% - Accent2 2 10 2" xfId="196" xr:uid="{330CBFF0-8B7F-4BD1-A222-14A922940FA8}"/>
    <cellStyle name="20% - Accent2 2 10 2 2" xfId="197" xr:uid="{D1C338E7-3B2D-4DD0-835B-33D623A324AB}"/>
    <cellStyle name="20% - Accent2 2 10 3" xfId="198" xr:uid="{A0222117-5842-4990-B0EB-DA24789FCC79}"/>
    <cellStyle name="20% - Accent2 2 11" xfId="199" xr:uid="{DA665004-6825-4BF2-B881-23E21DB05782}"/>
    <cellStyle name="20% - Accent2 2 11 2" xfId="200" xr:uid="{0B6E5902-5ED2-410B-8C33-3AA7AFF3E235}"/>
    <cellStyle name="20% - Accent2 2 11 2 2" xfId="201" xr:uid="{9463DA09-64D3-449B-BCC4-2CA5AB1B0507}"/>
    <cellStyle name="20% - Accent2 2 11 3" xfId="202" xr:uid="{940E21AE-23D4-46A0-8157-C62EA2F7689E}"/>
    <cellStyle name="20% - Accent2 2 12" xfId="203" xr:uid="{AC1874AF-2F4D-460A-8427-54D8EF554671}"/>
    <cellStyle name="20% - Accent2 2 12 2" xfId="204" xr:uid="{9FA11D8A-4288-4321-BEE4-9B4D3FD07C7B}"/>
    <cellStyle name="20% - Accent2 2 12 2 2" xfId="205" xr:uid="{D6A3D03D-5ECB-40D8-8522-862C8BE3F256}"/>
    <cellStyle name="20% - Accent2 2 12 3" xfId="206" xr:uid="{B1A0E88B-A114-40D6-962B-DFE0DCBD5E13}"/>
    <cellStyle name="20% - Accent2 2 13" xfId="207" xr:uid="{EC7CDD0E-81D1-4378-BA59-4AE86195A398}"/>
    <cellStyle name="20% - Accent2 2 13 2" xfId="208" xr:uid="{A9659649-5999-4655-A64A-4EE5FB8B4DB9}"/>
    <cellStyle name="20% - Accent2 2 13 2 2" xfId="209" xr:uid="{6210E68F-B220-4E08-ACA5-82C646B4168B}"/>
    <cellStyle name="20% - Accent2 2 13 3" xfId="210" xr:uid="{FD196416-8900-4909-A3EE-5C08C2C547F4}"/>
    <cellStyle name="20% - Accent2 2 14" xfId="211" xr:uid="{AC2F032F-0EC6-43BB-AE1A-62B006912DC4}"/>
    <cellStyle name="20% - Accent2 2 15" xfId="212" xr:uid="{F49231F4-0755-4500-84D4-8F3B3EB98FFD}"/>
    <cellStyle name="20% - Accent2 2 16" xfId="213" xr:uid="{840772D5-250F-4708-9D93-FBA1CCD90644}"/>
    <cellStyle name="20% - Accent2 2 17" xfId="214" xr:uid="{D7AB0FAF-636C-472D-838E-1E3D47F79968}"/>
    <cellStyle name="20% - Accent2 2 18" xfId="215" xr:uid="{977AC2C5-FDB1-4B44-9079-3A663AC3D014}"/>
    <cellStyle name="20% - Accent2 2 19" xfId="216" xr:uid="{1B267204-4BAD-448D-B460-ADDB8F7D1652}"/>
    <cellStyle name="20% - Accent2 2 19 2" xfId="217" xr:uid="{702C6506-7214-431B-908A-E9A05DD92972}"/>
    <cellStyle name="20% - Accent2 2 2" xfId="218" xr:uid="{C5123FAE-6989-4872-B427-B59272B99FD0}"/>
    <cellStyle name="20% - Accent2 2 2 2" xfId="219" xr:uid="{EF93F938-4891-47B8-80E8-8FB13943B014}"/>
    <cellStyle name="20% - Accent2 2 2 3" xfId="220" xr:uid="{63C1935F-D6BB-410F-91F4-8DBF80702AF5}"/>
    <cellStyle name="20% - Accent2 2 2 4" xfId="221" xr:uid="{3D46EFAD-9548-4A6C-AFB8-7E14743184BB}"/>
    <cellStyle name="20% - Accent2 2 2 5" xfId="222" xr:uid="{B4F6E93B-5056-4067-A137-A39EAEBA6D78}"/>
    <cellStyle name="20% - Accent2 2 2 6" xfId="223" xr:uid="{138CD934-19BC-4040-AD51-0C9347A350FC}"/>
    <cellStyle name="20% - Accent2 2 2 7" xfId="224" xr:uid="{3B3E46CE-60B5-49A6-A9C3-43731E50D208}"/>
    <cellStyle name="20% - Accent2 2 2 8" xfId="225" xr:uid="{9B063CF8-C2D1-4754-8A22-587FC38381E6}"/>
    <cellStyle name="20% - Accent2 2 2 8 2" xfId="226" xr:uid="{1B71D3F9-5A9D-4323-B8B6-5C4CEC1EC729}"/>
    <cellStyle name="20% - Accent2 2 2 9" xfId="227" xr:uid="{37BF0A68-5DA2-4578-86BD-3C408158A403}"/>
    <cellStyle name="20% - Accent2 2 2_EQU" xfId="228" xr:uid="{EDD1328C-F268-43F3-B31B-7B1D96DC3F57}"/>
    <cellStyle name="20% - Accent2 2 3" xfId="229" xr:uid="{18E483A3-14E9-442D-AD5C-BDE319A44F66}"/>
    <cellStyle name="20% - Accent2 2 3 10" xfId="230" xr:uid="{57D7E359-8ECF-46F3-8604-00E45584F077}"/>
    <cellStyle name="20% - Accent2 2 3 11" xfId="231" xr:uid="{4172080F-6C26-4E33-81BD-EEC5F03D57C7}"/>
    <cellStyle name="20% - Accent2 2 3 12" xfId="232" xr:uid="{C31CBF8E-3545-40BA-8725-5F9026446A63}"/>
    <cellStyle name="20% - Accent2 2 3 13" xfId="233" xr:uid="{064DA2FD-1D52-4CAE-8E9F-2ACFDC5E88BB}"/>
    <cellStyle name="20% - Accent2 2 3 14" xfId="234" xr:uid="{3777285C-8E48-47F4-A4ED-71796A618AA8}"/>
    <cellStyle name="20% - Accent2 2 3 15" xfId="235" xr:uid="{2D9E6470-D32C-4A76-9C1E-050E36D8069B}"/>
    <cellStyle name="20% - Accent2 2 3 16" xfId="236" xr:uid="{AD3F8727-3C76-4F94-BCAA-75BBAFC76173}"/>
    <cellStyle name="20% - Accent2 2 3 17" xfId="237" xr:uid="{55777DC4-CF6C-4236-9977-3B2C0705D7AE}"/>
    <cellStyle name="20% - Accent2 2 3 18" xfId="238" xr:uid="{2829A1CB-3DC6-4779-BC89-594F58D8E0F3}"/>
    <cellStyle name="20% - Accent2 2 3 18 2" xfId="239" xr:uid="{CCBAFADB-C44A-4BFA-9C05-24CB722562F6}"/>
    <cellStyle name="20% - Accent2 2 3 19" xfId="240" xr:uid="{4E6CA55E-9F4E-4BB5-972D-21127B90316A}"/>
    <cellStyle name="20% - Accent2 2 3 2" xfId="241" xr:uid="{BE30DA7C-E5D9-4F54-A881-1CCAF019B6D0}"/>
    <cellStyle name="20% - Accent2 2 3 2 10" xfId="242" xr:uid="{97CD9FF3-6642-4FEE-949F-3B88345AB32D}"/>
    <cellStyle name="20% - Accent2 2 3 2 11" xfId="243" xr:uid="{963E1412-14E6-47C7-A02D-7366B252A45A}"/>
    <cellStyle name="20% - Accent2 2 3 2 12" xfId="244" xr:uid="{9A554B4D-25D0-4CFF-AFC1-C274938DC008}"/>
    <cellStyle name="20% - Accent2 2 3 2 2" xfId="245" xr:uid="{AF640628-2B27-4D34-824C-D6F91F9AF315}"/>
    <cellStyle name="20% - Accent2 2 3 2 3" xfId="246" xr:uid="{878311C6-A81D-42A4-86B3-1158C8E88329}"/>
    <cellStyle name="20% - Accent2 2 3 2 4" xfId="247" xr:uid="{50CAD50F-CCF3-40E5-BE89-B40AB7E7DE1A}"/>
    <cellStyle name="20% - Accent2 2 3 2 5" xfId="248" xr:uid="{A1860CF7-2F74-4FE2-90D8-B0EED5263449}"/>
    <cellStyle name="20% - Accent2 2 3 2 6" xfId="249" xr:uid="{13180A3F-9B6D-434A-997A-374C192937F3}"/>
    <cellStyle name="20% - Accent2 2 3 2 7" xfId="250" xr:uid="{91FE1680-1535-47D3-8838-CB844B0F0D89}"/>
    <cellStyle name="20% - Accent2 2 3 2 8" xfId="251" xr:uid="{105BD335-5B72-4126-9B49-3449C46A9952}"/>
    <cellStyle name="20% - Accent2 2 3 2 9" xfId="252" xr:uid="{F0AF6BBA-2A93-4819-8F9E-CACB16233E5C}"/>
    <cellStyle name="20% - Accent2 2 3 3" xfId="253" xr:uid="{18F9591B-F30B-4142-A3C7-89638DA8C073}"/>
    <cellStyle name="20% - Accent2 2 3 4" xfId="254" xr:uid="{22E553E4-2343-4E04-8DBE-1764C52190F7}"/>
    <cellStyle name="20% - Accent2 2 3 5" xfId="255" xr:uid="{97E6DC36-46FE-46EC-AAE2-6E87AB2D4CC6}"/>
    <cellStyle name="20% - Accent2 2 3 6" xfId="256" xr:uid="{AF6F0AE3-F6FC-41D1-906E-8A78A10152E4}"/>
    <cellStyle name="20% - Accent2 2 3 7" xfId="257" xr:uid="{1D1A95A7-674F-429D-AD1A-BE10D1F94C1B}"/>
    <cellStyle name="20% - Accent2 2 3 8" xfId="258" xr:uid="{D2C2E7F2-B31B-4B76-9117-5D40E894307B}"/>
    <cellStyle name="20% - Accent2 2 3 9" xfId="259" xr:uid="{F7C36189-5CFC-4055-915B-8C33C71849CE}"/>
    <cellStyle name="20% - Accent2 2 3_Derivatives" xfId="260" xr:uid="{0FD7B1DC-3826-4BF1-AF65-BDB1AE9E2D9F}"/>
    <cellStyle name="20% - Accent2 2 4" xfId="261" xr:uid="{9139CA64-171A-4C6D-BB14-72B95247A6CF}"/>
    <cellStyle name="20% - Accent2 2 4 2" xfId="262" xr:uid="{6137ED4D-2EB2-4902-A557-0F1F1F172D5B}"/>
    <cellStyle name="20% - Accent2 2 4 2 2" xfId="263" xr:uid="{AD4FBAE9-E731-4ED2-865B-AB52F69F7057}"/>
    <cellStyle name="20% - Accent2 2 4 3" xfId="264" xr:uid="{4DCA752B-A8BE-4C49-B97D-0AE9405CE52B}"/>
    <cellStyle name="20% - Accent2 2 4_EQU" xfId="265" xr:uid="{16AD7DEE-AC7B-4DA9-9826-E2AF9484636D}"/>
    <cellStyle name="20% - Accent2 2 5" xfId="266" xr:uid="{F3283218-FA5A-4C50-91CE-71AFB864FE96}"/>
    <cellStyle name="20% - Accent2 2 5 2" xfId="267" xr:uid="{4571D405-3E7C-4318-B3C0-A55A63582F8B}"/>
    <cellStyle name="20% - Accent2 2 5 2 2" xfId="268" xr:uid="{FB35EBC8-43FE-4ACE-8819-F1FF46E1729C}"/>
    <cellStyle name="20% - Accent2 2 5 3" xfId="269" xr:uid="{37F9A544-7923-40B7-ADC0-42315177178D}"/>
    <cellStyle name="20% - Accent2 2 5_Derivatives" xfId="270" xr:uid="{E29A06F6-71AB-410A-A285-2CC05BDD26AD}"/>
    <cellStyle name="20% - Accent2 2 6" xfId="271" xr:uid="{0AA688DD-3251-4DB1-80DA-E0D3403147A1}"/>
    <cellStyle name="20% - Accent2 2 6 2" xfId="272" xr:uid="{73B267F9-5DF7-4D62-AA25-964980A933EB}"/>
    <cellStyle name="20% - Accent2 2 6 2 2" xfId="273" xr:uid="{33DACF8A-9579-42A3-8A67-368E9A1808FD}"/>
    <cellStyle name="20% - Accent2 2 6 3" xfId="274" xr:uid="{5EDADFEE-E4D6-45F4-A5A4-621C156E63CB}"/>
    <cellStyle name="20% - Accent2 2 6_Derivatives" xfId="275" xr:uid="{15F8EED6-ABE9-4B31-B16D-6A9D76D68F05}"/>
    <cellStyle name="20% - Accent2 2 7" xfId="276" xr:uid="{C64818BA-01C2-4C27-A6DD-E6A6239C89E2}"/>
    <cellStyle name="20% - Accent2 2 7 2" xfId="277" xr:uid="{54F2E60D-3B18-4DDC-B93C-8BDC75AFAEA2}"/>
    <cellStyle name="20% - Accent2 2 7 2 2" xfId="278" xr:uid="{4EBDE4BB-AF15-460F-94FF-0DB8C6FA2D46}"/>
    <cellStyle name="20% - Accent2 2 7 3" xfId="279" xr:uid="{5BD610D9-4B62-4561-BDD8-C6F17BA526E9}"/>
    <cellStyle name="20% - Accent2 2 7_Derivatives" xfId="280" xr:uid="{36B5906F-382A-4C4D-9A5C-90B4481F866E}"/>
    <cellStyle name="20% - Accent2 2 8" xfId="281" xr:uid="{ABA1D0D2-B1F6-472C-B3C3-C81161EC54F0}"/>
    <cellStyle name="20% - Accent2 2 8 2" xfId="282" xr:uid="{AB768D0E-255E-47C9-A828-2BE6A6AF6D46}"/>
    <cellStyle name="20% - Accent2 2 8 2 2" xfId="283" xr:uid="{26104AB1-4488-4A97-A8EC-863C4003A373}"/>
    <cellStyle name="20% - Accent2 2 8 3" xfId="284" xr:uid="{3433C985-F8F2-4617-98CA-B96026E709FD}"/>
    <cellStyle name="20% - Accent2 2 8_Derivatives" xfId="285" xr:uid="{1516A4B4-CB32-4948-B387-1602212D5458}"/>
    <cellStyle name="20% - Accent2 2 9" xfId="286" xr:uid="{E4B68AC1-0F1A-4F41-A28E-98748D6F5B08}"/>
    <cellStyle name="20% - Accent2 2 9 2" xfId="287" xr:uid="{BD7CB534-526C-417D-B9DF-4CB3AA652F75}"/>
    <cellStyle name="20% - Accent2 2 9 2 2" xfId="288" xr:uid="{54304A90-003B-42F5-9EDA-BDCD124A5D84}"/>
    <cellStyle name="20% - Accent2 2 9 3" xfId="289" xr:uid="{6E55337F-8962-4487-AFA5-994FA938E838}"/>
    <cellStyle name="20% - Accent2 2_5130_new" xfId="290" xr:uid="{B5B21811-B6F0-4E56-8F39-3594FCEA115B}"/>
    <cellStyle name="20% - Accent2 3" xfId="291" xr:uid="{51A7E3BA-75EA-4D97-8879-5522BD4216EC}"/>
    <cellStyle name="20% - Accent2 3 10" xfId="292" xr:uid="{E2DC3744-1D1B-4773-9899-50F273DBC087}"/>
    <cellStyle name="20% - Accent2 3 2" xfId="293" xr:uid="{BAC8F3A3-C880-494B-BDFC-AE5CC26A6778}"/>
    <cellStyle name="20% - Accent2 3 2 2" xfId="294" xr:uid="{F55A043C-FAF1-4B25-8875-A3C88F7F330D}"/>
    <cellStyle name="20% - Accent2 3 2 2 2" xfId="295" xr:uid="{2730628E-11DE-4DEC-9994-126B606558FD}"/>
    <cellStyle name="20% - Accent2 3 2 3" xfId="296" xr:uid="{D3699863-ECD0-4955-8C0C-BCC12F8AA6CA}"/>
    <cellStyle name="20% - Accent2 3 2_Derivatives" xfId="297" xr:uid="{1A5B896D-E1E6-4E9F-B7BC-139A14CCC891}"/>
    <cellStyle name="20% - Accent2 3 3" xfId="298" xr:uid="{AEBCC28B-487E-4F1A-84E8-795A24E1C590}"/>
    <cellStyle name="20% - Accent2 3 4" xfId="299" xr:uid="{9BD29C06-BE94-4FE4-A3FE-F502066D76F3}"/>
    <cellStyle name="20% - Accent2 3 5" xfId="300" xr:uid="{DD953739-97BC-4223-89D7-8154715E39FA}"/>
    <cellStyle name="20% - Accent2 3 6" xfId="301" xr:uid="{CA840A3D-026F-4489-AA33-EC5005886E7F}"/>
    <cellStyle name="20% - Accent2 3 7" xfId="302" xr:uid="{859F3A96-05BE-494E-886A-FE5A19DA2876}"/>
    <cellStyle name="20% - Accent2 3 8" xfId="303" xr:uid="{53ABCE57-20CC-4FF6-BAEB-4BF6DC0531C6}"/>
    <cellStyle name="20% - Accent2 3 9" xfId="304" xr:uid="{ED6F0F28-DEB7-4E6D-AFA8-7C739982341B}"/>
    <cellStyle name="20% - Accent2 3 9 2" xfId="305" xr:uid="{C62A268C-CBE7-4ECA-B5A4-5527484CF503}"/>
    <cellStyle name="20% - Accent2 3_EQU" xfId="306" xr:uid="{033DCED2-2816-4FBF-9485-2CFF7369780B}"/>
    <cellStyle name="20% - Accent2 4" xfId="307" xr:uid="{EB533B94-9EFE-4F8B-8BE2-BF4935A4A4E0}"/>
    <cellStyle name="20% - Accent2 4 10" xfId="308" xr:uid="{6A20D549-67DF-4F4A-8028-1D3BC7284C40}"/>
    <cellStyle name="20% - Accent2 4 2" xfId="309" xr:uid="{05BD5E34-0274-4A9D-BBE8-F47CC0DC6DDD}"/>
    <cellStyle name="20% - Accent2 4 2 2" xfId="310" xr:uid="{812751F6-7311-48EF-AA8D-067E7AE74CE2}"/>
    <cellStyle name="20% - Accent2 4 2 2 2" xfId="311" xr:uid="{79DA9BCC-DCB5-447B-A63C-A2B61C6430C5}"/>
    <cellStyle name="20% - Accent2 4 2 3" xfId="312" xr:uid="{F4B50C7F-CAE8-4CC3-8AA0-FD8946868A3B}"/>
    <cellStyle name="20% - Accent2 4 2_EQU" xfId="313" xr:uid="{89924989-AD8D-4DBF-9350-827696CC6394}"/>
    <cellStyle name="20% - Accent2 4 3" xfId="314" xr:uid="{29DCEB49-A9F8-42AE-9D5B-E5806562FD27}"/>
    <cellStyle name="20% - Accent2 4 4" xfId="315" xr:uid="{5B1EE699-7D33-486E-8172-4C2250E7C7F2}"/>
    <cellStyle name="20% - Accent2 4 5" xfId="316" xr:uid="{D4629012-5937-47A3-8E31-09A48A5BB924}"/>
    <cellStyle name="20% - Accent2 4 6" xfId="317" xr:uid="{7A583FD8-1E29-47BC-BEF0-C0D504FDE559}"/>
    <cellStyle name="20% - Accent2 4 7" xfId="318" xr:uid="{D533DCE3-88C1-4FF7-89DE-5B12CAE9A478}"/>
    <cellStyle name="20% - Accent2 4 8" xfId="319" xr:uid="{5889640A-9B64-4302-9C44-7411B386357F}"/>
    <cellStyle name="20% - Accent2 4 9" xfId="320" xr:uid="{A5BAA30F-F609-4AEE-AF67-C0E207A4D25E}"/>
    <cellStyle name="20% - Accent2 4 9 2" xfId="321" xr:uid="{06ED5461-2AA6-45FF-8BEB-4909D2FA520E}"/>
    <cellStyle name="20% - Accent2 4_EQU" xfId="322" xr:uid="{0E92C3B7-69F5-48A2-98BA-5BECC4AD6A86}"/>
    <cellStyle name="20% - Accent2 5" xfId="323" xr:uid="{3710CE7D-5BFE-4678-B05C-314B8000CE12}"/>
    <cellStyle name="20% - Accent2 5 2" xfId="324" xr:uid="{E26AB528-311B-43ED-9FCC-D514523696E9}"/>
    <cellStyle name="20% - Accent2 5 2 2" xfId="325" xr:uid="{86006EC7-8467-4465-86AB-0796B046475E}"/>
    <cellStyle name="20% - Accent2 5 2 2 2" xfId="326" xr:uid="{0944B9E3-B8EB-4DF3-8E56-17889D890FC1}"/>
    <cellStyle name="20% - Accent2 5 2 3" xfId="327" xr:uid="{C6563C3D-2711-4B78-98CC-2CE876D0A43B}"/>
    <cellStyle name="20% - Accent2 5 3" xfId="328" xr:uid="{8AE1CC1D-B113-4C7D-AEE6-FB809DF0E389}"/>
    <cellStyle name="20% - Accent2 5 3 2" xfId="329" xr:uid="{2196467A-5486-45EE-B3E9-31E5C67FFFDF}"/>
    <cellStyle name="20% - Accent2 5 4" xfId="330" xr:uid="{CBE59607-9D85-40F6-8F9F-D4F9BA4EF60E}"/>
    <cellStyle name="20% - Accent2 5_Derivatives" xfId="331" xr:uid="{4F6CA155-C4D6-4525-972F-DB7F3460D323}"/>
    <cellStyle name="20% - Accent2 6" xfId="332" xr:uid="{25B710EE-2232-4662-B44F-603A7D2907CB}"/>
    <cellStyle name="20% - Accent2 6 2" xfId="333" xr:uid="{9CDCBDFA-87F5-4ECC-9342-A3D334B01C3E}"/>
    <cellStyle name="20% - Accent2 6 2 2" xfId="334" xr:uid="{D93AEF9E-B0C0-4F2C-9150-5AC9AD412F40}"/>
    <cellStyle name="20% - Accent2 6 2 2 2" xfId="335" xr:uid="{C420755E-8462-47D3-8156-7FEB994177B5}"/>
    <cellStyle name="20% - Accent2 6 2 3" xfId="336" xr:uid="{D18CF79B-5B60-4704-BEEA-41E0B1FF84B0}"/>
    <cellStyle name="20% - Accent2 6 3" xfId="337" xr:uid="{71FF1BDA-C519-430A-BFD9-BDBEAE90179C}"/>
    <cellStyle name="20% - Accent2 6 3 2" xfId="338" xr:uid="{D3EB26F5-B234-4AA5-8F67-0433F7CB5DD1}"/>
    <cellStyle name="20% - Accent2 6 4" xfId="339" xr:uid="{449EF2E3-6914-4FC2-B1CD-BE03E73215EF}"/>
    <cellStyle name="20% - Accent2 6_EQU" xfId="340" xr:uid="{D9CFE490-8C35-4A0B-9478-0547F0471DE6}"/>
    <cellStyle name="20% - Accent2 7" xfId="341" xr:uid="{B2052971-39FB-47CF-BE11-6AE404EE9BCF}"/>
    <cellStyle name="20% - Accent2 7 2" xfId="342" xr:uid="{5B0D91F7-B5DB-4782-B94F-38ABC5E8188B}"/>
    <cellStyle name="20% - Accent2 7 2 2" xfId="343" xr:uid="{F451A88F-A045-411B-9729-DD5AA4289247}"/>
    <cellStyle name="20% - Accent2 7 3" xfId="344" xr:uid="{DF6ADACE-82D7-4B17-AB5D-8789F4339B0B}"/>
    <cellStyle name="20% - Accent2 7_EQU" xfId="345" xr:uid="{3A1D8CBB-1DD0-4AD6-88A9-735B31F38B9A}"/>
    <cellStyle name="20% - Accent2 8" xfId="346" xr:uid="{51E6C9AD-AB51-41A9-ABA1-6019D367DAA0}"/>
    <cellStyle name="20% - Accent2 9" xfId="347" xr:uid="{6F9FB2B6-5996-4E66-957C-C97EB941C4F9}"/>
    <cellStyle name="20% - Accent3 10" xfId="348" xr:uid="{746B1F59-5F5A-43D5-AA47-5EEDCDAD64C7}"/>
    <cellStyle name="20% - Accent3 11" xfId="349" xr:uid="{CA70D111-8B37-4A74-8D83-9DB2FC47C088}"/>
    <cellStyle name="20% - Accent3 12" xfId="350" xr:uid="{0CBF2445-005E-48A0-9F9D-6EDD955BEBE0}"/>
    <cellStyle name="20% - Accent3 13" xfId="351" xr:uid="{69DE7717-85BF-45C2-B27C-5AA99C6333C6}"/>
    <cellStyle name="20% - Accent3 2" xfId="352" xr:uid="{75456379-1DB5-485D-B8E2-3398F3F1C9AB}"/>
    <cellStyle name="20% - Accent3 2 10" xfId="353" xr:uid="{09458439-B79E-4344-A1C3-EA2DEF381859}"/>
    <cellStyle name="20% - Accent3 2 10 2" xfId="354" xr:uid="{461E88F4-A089-4025-9BBA-76BD209454B1}"/>
    <cellStyle name="20% - Accent3 2 10 2 2" xfId="355" xr:uid="{E2C5B10D-1C37-41FD-AF32-90FD5F6ACC60}"/>
    <cellStyle name="20% - Accent3 2 10 3" xfId="356" xr:uid="{ECEDE235-AEF0-408A-B4FF-4DE1FB5076BD}"/>
    <cellStyle name="20% - Accent3 2 11" xfId="357" xr:uid="{198BCE04-A0B9-4A17-8072-01C25D2F54AB}"/>
    <cellStyle name="20% - Accent3 2 11 2" xfId="358" xr:uid="{9CA1859E-9F13-4973-92D1-60131AB1A9F6}"/>
    <cellStyle name="20% - Accent3 2 11 2 2" xfId="359" xr:uid="{36969D05-8F4C-4869-8612-1DC5AD0CD836}"/>
    <cellStyle name="20% - Accent3 2 11 3" xfId="360" xr:uid="{18FDF39D-24F1-46AA-A671-60805816FBDA}"/>
    <cellStyle name="20% - Accent3 2 12" xfId="361" xr:uid="{0AEC5832-45B4-4600-B9F8-4FCB29E6777E}"/>
    <cellStyle name="20% - Accent3 2 12 2" xfId="362" xr:uid="{5E76E941-F58E-451C-9DB3-4C8527B27A91}"/>
    <cellStyle name="20% - Accent3 2 12 2 2" xfId="363" xr:uid="{AF1A684B-C618-4A7C-A579-2D070EC81F8E}"/>
    <cellStyle name="20% - Accent3 2 12 3" xfId="364" xr:uid="{FAF18190-E106-4349-B675-5DC48593FCF0}"/>
    <cellStyle name="20% - Accent3 2 13" xfId="365" xr:uid="{39624C37-5909-432B-BFD7-D95E66DBEC9E}"/>
    <cellStyle name="20% - Accent3 2 13 2" xfId="366" xr:uid="{6A3DFF7E-EE59-4499-8B75-411D34AD520B}"/>
    <cellStyle name="20% - Accent3 2 13 2 2" xfId="367" xr:uid="{909C352E-C586-46A7-BAB9-03A60644DC9C}"/>
    <cellStyle name="20% - Accent3 2 13 3" xfId="368" xr:uid="{DC394135-8C2A-47A1-97E8-332798FA2E21}"/>
    <cellStyle name="20% - Accent3 2 14" xfId="369" xr:uid="{D44272A3-DC01-404C-928A-923947807B80}"/>
    <cellStyle name="20% - Accent3 2 15" xfId="370" xr:uid="{81597521-EF84-4462-A0EA-99F85103F8C0}"/>
    <cellStyle name="20% - Accent3 2 16" xfId="371" xr:uid="{57E26093-CB77-49A8-98F7-CA7F497DBF9C}"/>
    <cellStyle name="20% - Accent3 2 17" xfId="372" xr:uid="{4844AECA-22CF-469A-932C-D55636566CD0}"/>
    <cellStyle name="20% - Accent3 2 18" xfId="373" xr:uid="{489393AD-C965-4ECE-A3AC-105563598739}"/>
    <cellStyle name="20% - Accent3 2 19" xfId="374" xr:uid="{63314C2C-ABBF-41E2-8D7F-6BD34C16E575}"/>
    <cellStyle name="20% - Accent3 2 19 2" xfId="375" xr:uid="{0DA15225-330A-413B-AFBE-9B479163211D}"/>
    <cellStyle name="20% - Accent3 2 2" xfId="376" xr:uid="{1EE977FE-C958-4CAD-96CA-F84DA57E4BAE}"/>
    <cellStyle name="20% - Accent3 2 2 2" xfId="377" xr:uid="{5D9FA31D-816B-4FDC-A967-9E8388E3CF79}"/>
    <cellStyle name="20% - Accent3 2 2 3" xfId="378" xr:uid="{88823345-4BF9-4947-8E83-395CF7776D3B}"/>
    <cellStyle name="20% - Accent3 2 2 4" xfId="379" xr:uid="{7981F6A8-3DB3-48C7-8147-E00ADCC3D704}"/>
    <cellStyle name="20% - Accent3 2 2 5" xfId="380" xr:uid="{B0B2B7ED-B91D-4630-AC86-8908863505F8}"/>
    <cellStyle name="20% - Accent3 2 2 6" xfId="381" xr:uid="{BAACA275-79B8-48C5-B0D1-2623084400BE}"/>
    <cellStyle name="20% - Accent3 2 2 7" xfId="382" xr:uid="{0517AE20-A93E-443A-961E-4FAC59B281E9}"/>
    <cellStyle name="20% - Accent3 2 2 8" xfId="383" xr:uid="{DCACEEC5-DB1E-43F8-822C-95E91CC5EB1E}"/>
    <cellStyle name="20% - Accent3 2 2 8 2" xfId="384" xr:uid="{02B5AC20-C5D0-46F1-AD7A-0F40F77C6C5E}"/>
    <cellStyle name="20% - Accent3 2 2 9" xfId="385" xr:uid="{A8DCFC15-97B2-4827-9E95-DFE25F3B1D94}"/>
    <cellStyle name="20% - Accent3 2 2_EQU" xfId="386" xr:uid="{6A58306F-6108-4A5C-9A96-4444D7179108}"/>
    <cellStyle name="20% - Accent3 2 3" xfId="387" xr:uid="{BBCD7515-FBD6-4774-890C-40E94BB96E0F}"/>
    <cellStyle name="20% - Accent3 2 3 10" xfId="388" xr:uid="{78F87671-48AE-48EF-A2A8-256D76F56691}"/>
    <cellStyle name="20% - Accent3 2 3 11" xfId="389" xr:uid="{636F5589-C2F8-460A-B91A-0A328FDB7D92}"/>
    <cellStyle name="20% - Accent3 2 3 12" xfId="390" xr:uid="{A49734AD-1E87-4667-A813-71B9ADD4C4DF}"/>
    <cellStyle name="20% - Accent3 2 3 13" xfId="391" xr:uid="{4955F6F1-7727-4DCD-8335-FFBA144E28C3}"/>
    <cellStyle name="20% - Accent3 2 3 14" xfId="392" xr:uid="{0DC16F10-3A3D-46B6-995D-F63654D27FD0}"/>
    <cellStyle name="20% - Accent3 2 3 15" xfId="393" xr:uid="{D2E58C03-8BDC-48E8-B6E7-84D1DE9FFD14}"/>
    <cellStyle name="20% - Accent3 2 3 16" xfId="394" xr:uid="{3329611D-E214-40C2-B99B-8CBA80144F0B}"/>
    <cellStyle name="20% - Accent3 2 3 17" xfId="395" xr:uid="{4D404C8E-4547-43B4-BD53-C648CB21AE5B}"/>
    <cellStyle name="20% - Accent3 2 3 18" xfId="396" xr:uid="{8FF565F8-0877-488C-8296-35077DF939B2}"/>
    <cellStyle name="20% - Accent3 2 3 18 2" xfId="397" xr:uid="{44DC38B1-982A-48CE-A50F-A1A26F4DD4EA}"/>
    <cellStyle name="20% - Accent3 2 3 19" xfId="398" xr:uid="{F2C4D2D9-CC98-46E2-B90B-3EE6FAB8AE3D}"/>
    <cellStyle name="20% - Accent3 2 3 2" xfId="399" xr:uid="{0E3AC868-57E1-4BAC-9BCC-B4E116ED9D33}"/>
    <cellStyle name="20% - Accent3 2 3 2 10" xfId="400" xr:uid="{324EF88D-4C86-41F0-A487-2F67AA5CBD65}"/>
    <cellStyle name="20% - Accent3 2 3 2 11" xfId="401" xr:uid="{49ECDC49-6FB7-4952-86E8-D427CEB025EE}"/>
    <cellStyle name="20% - Accent3 2 3 2 12" xfId="402" xr:uid="{28E31C2A-FBEA-474D-A959-C345B5631E94}"/>
    <cellStyle name="20% - Accent3 2 3 2 2" xfId="403" xr:uid="{DA52FEEA-02FF-4642-9560-FF3F6974200D}"/>
    <cellStyle name="20% - Accent3 2 3 2 3" xfId="404" xr:uid="{4747AB24-38E5-4066-AE77-CD481F9E54AD}"/>
    <cellStyle name="20% - Accent3 2 3 2 4" xfId="405" xr:uid="{15A7FF19-F2A5-491C-AFC0-80FD08B9CF94}"/>
    <cellStyle name="20% - Accent3 2 3 2 5" xfId="406" xr:uid="{A1B63CF0-B427-4CE0-8D25-6601DF4140EA}"/>
    <cellStyle name="20% - Accent3 2 3 2 6" xfId="407" xr:uid="{2C7C9898-1B8E-4D25-814B-0A091F01BA82}"/>
    <cellStyle name="20% - Accent3 2 3 2 7" xfId="408" xr:uid="{01DD5011-6DB4-4C8A-BFDD-C6DDF0F3FFB9}"/>
    <cellStyle name="20% - Accent3 2 3 2 8" xfId="409" xr:uid="{B4507A4F-2DF6-4CE2-9CB5-CCBE707AA98D}"/>
    <cellStyle name="20% - Accent3 2 3 2 9" xfId="410" xr:uid="{435772BE-DDFF-4B5F-94C4-ED6DC399DBF0}"/>
    <cellStyle name="20% - Accent3 2 3 3" xfId="411" xr:uid="{098531CC-93BF-4DA6-89C6-C15C7D966A02}"/>
    <cellStyle name="20% - Accent3 2 3 4" xfId="412" xr:uid="{D47667EF-D096-408F-A6F2-1DD4E47B8B29}"/>
    <cellStyle name="20% - Accent3 2 3 5" xfId="413" xr:uid="{321009A8-7BCA-4AB4-ABAC-CF25FE72BF08}"/>
    <cellStyle name="20% - Accent3 2 3 6" xfId="414" xr:uid="{8311776C-C7D7-4DC0-B2FC-31F401E5F3BE}"/>
    <cellStyle name="20% - Accent3 2 3 7" xfId="415" xr:uid="{D1FD3B29-1ADB-4D02-9C6D-891CA34B11B6}"/>
    <cellStyle name="20% - Accent3 2 3 8" xfId="416" xr:uid="{EEEAAE82-325C-4BB6-858E-B1E9FF604C9C}"/>
    <cellStyle name="20% - Accent3 2 3 9" xfId="417" xr:uid="{35849202-50AA-4458-A993-D4C457F6BCD1}"/>
    <cellStyle name="20% - Accent3 2 3_Derivatives" xfId="418" xr:uid="{11DBA312-4150-4B4D-861B-F59E7CA8CC4C}"/>
    <cellStyle name="20% - Accent3 2 4" xfId="419" xr:uid="{97BA74E6-2380-4008-96C3-1F66554BA31A}"/>
    <cellStyle name="20% - Accent3 2 4 2" xfId="420" xr:uid="{07A82F05-86E2-4B3D-AE93-41CF2F7967BE}"/>
    <cellStyle name="20% - Accent3 2 4 2 2" xfId="421" xr:uid="{E573EBF4-E37A-4143-8880-5F5EBCE7959C}"/>
    <cellStyle name="20% - Accent3 2 4 3" xfId="422" xr:uid="{5A1B9E3B-D592-419D-BA96-8DD374A7722A}"/>
    <cellStyle name="20% - Accent3 2 4_EQU" xfId="423" xr:uid="{77001D7E-EF8E-473B-8035-D6B1745F668E}"/>
    <cellStyle name="20% - Accent3 2 5" xfId="424" xr:uid="{A66D9AD2-8420-476E-9888-1B7BF4834756}"/>
    <cellStyle name="20% - Accent3 2 5 2" xfId="425" xr:uid="{8AC3C8CB-3676-47C5-A79D-B2720B09056A}"/>
    <cellStyle name="20% - Accent3 2 5 2 2" xfId="426" xr:uid="{89206FA7-B275-41CE-AFC5-62657F1A2284}"/>
    <cellStyle name="20% - Accent3 2 5 3" xfId="427" xr:uid="{48FFD038-44A0-4D9B-8376-ADE0ABBDE6ED}"/>
    <cellStyle name="20% - Accent3 2 5_Derivatives" xfId="428" xr:uid="{C817C20F-02FD-4506-812A-EADD46C37BBE}"/>
    <cellStyle name="20% - Accent3 2 6" xfId="429" xr:uid="{1025A64C-EAC1-421C-8E5E-F942537ED9AE}"/>
    <cellStyle name="20% - Accent3 2 6 2" xfId="430" xr:uid="{8E84BB01-D7D5-412F-87D6-73B44349F42B}"/>
    <cellStyle name="20% - Accent3 2 6 2 2" xfId="431" xr:uid="{5FE47799-0713-40E3-9B2D-EC4F299F6960}"/>
    <cellStyle name="20% - Accent3 2 6 3" xfId="432" xr:uid="{CED53E1E-177A-4F5E-9117-D30FC0AEC051}"/>
    <cellStyle name="20% - Accent3 2 6_Derivatives" xfId="433" xr:uid="{4AFA9458-43C5-4BDD-B446-A3551A9B9063}"/>
    <cellStyle name="20% - Accent3 2 7" xfId="434" xr:uid="{0316FEAE-4465-4455-8AA7-42A04220D74A}"/>
    <cellStyle name="20% - Accent3 2 7 2" xfId="435" xr:uid="{C29877A0-C69C-47A6-B850-7F6CCFABB98A}"/>
    <cellStyle name="20% - Accent3 2 7 2 2" xfId="436" xr:uid="{C000CD41-94C9-4987-8414-811A0A4EB21D}"/>
    <cellStyle name="20% - Accent3 2 7 3" xfId="437" xr:uid="{7653B0D7-3E50-4C04-8E40-EA9146D7E477}"/>
    <cellStyle name="20% - Accent3 2 7_Derivatives" xfId="438" xr:uid="{66A2334B-3A8D-4E2D-99AB-63ECECB84D2B}"/>
    <cellStyle name="20% - Accent3 2 8" xfId="439" xr:uid="{AD8654B9-DECE-4568-B815-B73F98C2D905}"/>
    <cellStyle name="20% - Accent3 2 8 2" xfId="440" xr:uid="{7C2A7140-3878-4B4C-952E-E94D97F5A750}"/>
    <cellStyle name="20% - Accent3 2 8 2 2" xfId="441" xr:uid="{F844C4BB-5CF8-43A1-B3F0-FCDB102D90F2}"/>
    <cellStyle name="20% - Accent3 2 8 3" xfId="442" xr:uid="{B612AB82-1ADD-49F4-B7E9-56C1E228E4F2}"/>
    <cellStyle name="20% - Accent3 2 8_Derivatives" xfId="443" xr:uid="{40D78794-042A-4D84-A5B7-6B9AC99B59D2}"/>
    <cellStyle name="20% - Accent3 2 9" xfId="444" xr:uid="{858594BF-2C9F-4185-B10E-95C7E7B6D35F}"/>
    <cellStyle name="20% - Accent3 2 9 2" xfId="445" xr:uid="{B417757A-68A7-4873-8201-ADE44ADCCAC9}"/>
    <cellStyle name="20% - Accent3 2 9 2 2" xfId="446" xr:uid="{E31CB705-F140-4F14-9497-1BCDEDB0F725}"/>
    <cellStyle name="20% - Accent3 2 9 3" xfId="447" xr:uid="{E6C27D33-3CE1-4AD1-A846-0CF0B8EC4C44}"/>
    <cellStyle name="20% - Accent3 2_5130_new" xfId="448" xr:uid="{5867B40B-A42B-4C70-BA3A-E2FCC8305FD1}"/>
    <cellStyle name="20% - Accent3 3" xfId="449" xr:uid="{DCDDFBF7-4FA2-489E-B3F0-7E7E3FEE3555}"/>
    <cellStyle name="20% - Accent3 3 10" xfId="450" xr:uid="{6B3F6E55-3320-4A42-9A61-B21630E70C7C}"/>
    <cellStyle name="20% - Accent3 3 2" xfId="451" xr:uid="{17A0F412-15A7-4854-AD75-A44AB1819D50}"/>
    <cellStyle name="20% - Accent3 3 2 2" xfId="452" xr:uid="{9EAA9DBF-B41B-4AF6-A3D3-110D68A7BBE5}"/>
    <cellStyle name="20% - Accent3 3 2 2 2" xfId="453" xr:uid="{A7F47D8D-9E72-4996-9DD2-5B2DF30EFA72}"/>
    <cellStyle name="20% - Accent3 3 2 3" xfId="454" xr:uid="{BDA89784-2B61-4A4D-9FAB-7E03C0E97F1C}"/>
    <cellStyle name="20% - Accent3 3 2_Derivatives" xfId="455" xr:uid="{6AFA9E8C-4923-4BF3-93FB-644FF1F41913}"/>
    <cellStyle name="20% - Accent3 3 3" xfId="456" xr:uid="{B66564D3-A58B-4235-AF4F-D1ED5B4BB6F4}"/>
    <cellStyle name="20% - Accent3 3 4" xfId="457" xr:uid="{E3DF953F-9CDF-407B-9369-87E24171F310}"/>
    <cellStyle name="20% - Accent3 3 5" xfId="458" xr:uid="{4EC17070-A132-468D-A39F-A4CE99ACB541}"/>
    <cellStyle name="20% - Accent3 3 6" xfId="459" xr:uid="{FC9F9305-07C1-4958-8927-881985B240C0}"/>
    <cellStyle name="20% - Accent3 3 7" xfId="460" xr:uid="{284E304A-E723-44C0-A4AF-A10CC3C7B6B1}"/>
    <cellStyle name="20% - Accent3 3 8" xfId="461" xr:uid="{5508E1D1-1AEA-4DEC-83E3-81AEFA9014D6}"/>
    <cellStyle name="20% - Accent3 3 9" xfId="462" xr:uid="{A41D63DA-D7D7-4EC9-9A1C-3126DB2A2BD9}"/>
    <cellStyle name="20% - Accent3 3 9 2" xfId="463" xr:uid="{D68BE5D0-765F-4AF1-86B7-B0BAE8ADC080}"/>
    <cellStyle name="20% - Accent3 3_EQU" xfId="464" xr:uid="{71CF61F6-8C63-40CB-8432-865C445011AB}"/>
    <cellStyle name="20% - Accent3 4" xfId="465" xr:uid="{08935024-5234-46EE-8786-8BFD8DB8821F}"/>
    <cellStyle name="20% - Accent3 4 10" xfId="466" xr:uid="{626E7096-2C62-44E4-B687-C80F6430AA33}"/>
    <cellStyle name="20% - Accent3 4 2" xfId="467" xr:uid="{43CB8A12-CF11-4F13-A394-DF21D26912BA}"/>
    <cellStyle name="20% - Accent3 4 2 2" xfId="468" xr:uid="{1CDE4942-710A-425A-A1D0-0538B8ECC75D}"/>
    <cellStyle name="20% - Accent3 4 2 2 2" xfId="469" xr:uid="{0935E528-EC85-4B16-9024-9D5C697DB59B}"/>
    <cellStyle name="20% - Accent3 4 2 3" xfId="470" xr:uid="{3527B2F1-4B7E-40E4-9397-16DC48D15703}"/>
    <cellStyle name="20% - Accent3 4 2_EQU" xfId="471" xr:uid="{F6A9CA6F-D7DD-473E-A57F-D52F1C36E02D}"/>
    <cellStyle name="20% - Accent3 4 3" xfId="472" xr:uid="{E3589F42-B3AD-4813-805D-CD2C95205FBF}"/>
    <cellStyle name="20% - Accent3 4 4" xfId="473" xr:uid="{BA9F0FB2-0328-480E-986C-B597DCE98C64}"/>
    <cellStyle name="20% - Accent3 4 5" xfId="474" xr:uid="{7058EAC4-A7EC-4B2F-BCC7-64BF285C5280}"/>
    <cellStyle name="20% - Accent3 4 6" xfId="475" xr:uid="{1DC52FAE-7F59-469F-B7C2-A7A13E3E7B19}"/>
    <cellStyle name="20% - Accent3 4 7" xfId="476" xr:uid="{1A288751-B871-481F-BCAE-F1C633973449}"/>
    <cellStyle name="20% - Accent3 4 8" xfId="477" xr:uid="{6A77488C-10B8-44AD-8D63-7030825C02D4}"/>
    <cellStyle name="20% - Accent3 4 9" xfId="478" xr:uid="{548A20FE-6185-4FD3-A638-6DCF4BBAAB2E}"/>
    <cellStyle name="20% - Accent3 4 9 2" xfId="479" xr:uid="{AA7D69FA-671D-4DE6-AB97-40FD93DFEA77}"/>
    <cellStyle name="20% - Accent3 4_EQU" xfId="480" xr:uid="{58481A7A-8422-4CE6-82C6-086023010576}"/>
    <cellStyle name="20% - Accent3 5" xfId="481" xr:uid="{E7713B67-CBD9-4731-94CF-C793A1F2A155}"/>
    <cellStyle name="20% - Accent3 5 2" xfId="482" xr:uid="{E70A3EDC-DC35-4DCB-8019-98E51E10759D}"/>
    <cellStyle name="20% - Accent3 5 2 2" xfId="483" xr:uid="{99248EA2-B572-43B0-85B6-76E2EF989726}"/>
    <cellStyle name="20% - Accent3 5 2 2 2" xfId="484" xr:uid="{EF9FD025-16AA-4EBF-A5FC-9D7CFCB2E557}"/>
    <cellStyle name="20% - Accent3 5 2 3" xfId="485" xr:uid="{BBA7D6ED-C051-47DC-AB46-FB172483286C}"/>
    <cellStyle name="20% - Accent3 5 3" xfId="486" xr:uid="{C821D710-5E94-479B-9299-BADB9EC882DD}"/>
    <cellStyle name="20% - Accent3 5 3 2" xfId="487" xr:uid="{C30F9787-FC48-48D5-8EEC-9D634C73B02B}"/>
    <cellStyle name="20% - Accent3 5 4" xfId="488" xr:uid="{241BF459-6DE6-40E5-8205-2918AB0AB292}"/>
    <cellStyle name="20% - Accent3 5_Derivatives" xfId="489" xr:uid="{06BA6E2E-4D2C-499A-B87E-64E861211FF3}"/>
    <cellStyle name="20% - Accent3 6" xfId="490" xr:uid="{EF797D10-EE72-4BF9-9AA6-F1778AB086E0}"/>
    <cellStyle name="20% - Accent3 6 2" xfId="491" xr:uid="{7A93DEE5-7290-46E4-99D8-1B9DC8EF246A}"/>
    <cellStyle name="20% - Accent3 6 2 2" xfId="492" xr:uid="{3CA3DDD8-103F-4814-845D-E30E101CF0E9}"/>
    <cellStyle name="20% - Accent3 6 2 2 2" xfId="493" xr:uid="{10A6D824-194F-407C-A045-2841390848A9}"/>
    <cellStyle name="20% - Accent3 6 2 3" xfId="494" xr:uid="{2F901BEE-C689-41B1-B42C-40CE49EAA2CB}"/>
    <cellStyle name="20% - Accent3 6 3" xfId="495" xr:uid="{B662E1DB-BC88-4D30-9C9D-5330E98EC8DA}"/>
    <cellStyle name="20% - Accent3 6 3 2" xfId="496" xr:uid="{1161F259-BB5A-4BF1-AD7A-AB3478FE31EB}"/>
    <cellStyle name="20% - Accent3 6 4" xfId="497" xr:uid="{9EA05B90-0195-48F4-9FDE-7456BAD8233B}"/>
    <cellStyle name="20% - Accent3 6_EQU" xfId="498" xr:uid="{8166CE5E-3DA4-4484-8AC4-E510D7076A5E}"/>
    <cellStyle name="20% - Accent3 7" xfId="499" xr:uid="{50D16CBC-CC6F-4755-9619-CE6252D86E27}"/>
    <cellStyle name="20% - Accent3 7 2" xfId="500" xr:uid="{C7D20DA6-F956-4C47-9107-1581527E3826}"/>
    <cellStyle name="20% - Accent3 7 2 2" xfId="501" xr:uid="{B23C98D8-F33C-4B25-8687-DEF6DB0EFB01}"/>
    <cellStyle name="20% - Accent3 7 3" xfId="502" xr:uid="{6B2E7509-7973-4E23-BA7E-20594632BD80}"/>
    <cellStyle name="20% - Accent3 7_EQU" xfId="503" xr:uid="{7852C9FF-0ECC-4220-9867-0C1A4DE26C0B}"/>
    <cellStyle name="20% - Accent3 8" xfId="504" xr:uid="{A6EB9832-2D46-4D02-A8B1-634F327F9266}"/>
    <cellStyle name="20% - Accent3 9" xfId="505" xr:uid="{238F0496-78EB-4AB7-AE99-01B36DAF43EE}"/>
    <cellStyle name="20% - Accent4 10" xfId="506" xr:uid="{48173E5D-D51F-4541-AB10-B6055A092A03}"/>
    <cellStyle name="20% - Accent4 11" xfId="507" xr:uid="{1EB5612B-4693-415E-AD6D-0752EF664B8A}"/>
    <cellStyle name="20% - Accent4 12" xfId="508" xr:uid="{1C3DB20B-4C64-48BA-99B7-40757E4F5EA1}"/>
    <cellStyle name="20% - Accent4 13" xfId="509" xr:uid="{DDEED0FA-86B5-4F7C-BDF0-58B21F847DCA}"/>
    <cellStyle name="20% - Accent4 2" xfId="510" xr:uid="{4FF32E4A-C488-4240-A460-D5204A1BB375}"/>
    <cellStyle name="20% - Accent4 2 10" xfId="511" xr:uid="{CF16D3C3-2018-4A7B-932B-4678A36B839F}"/>
    <cellStyle name="20% - Accent4 2 10 2" xfId="512" xr:uid="{BB64A615-100E-49CC-A616-85DD161B3A8D}"/>
    <cellStyle name="20% - Accent4 2 10 2 2" xfId="513" xr:uid="{02FE0EA7-47CA-4DF2-A768-CE726CB3BDCC}"/>
    <cellStyle name="20% - Accent4 2 10 3" xfId="514" xr:uid="{EF562EC9-D203-49CC-8D32-6E94B937B887}"/>
    <cellStyle name="20% - Accent4 2 11" xfId="515" xr:uid="{A93B5BFE-3220-4A52-8296-7DCCF3FD491B}"/>
    <cellStyle name="20% - Accent4 2 11 2" xfId="516" xr:uid="{F80CAFBE-C696-4848-A08C-A180E0832F04}"/>
    <cellStyle name="20% - Accent4 2 11 2 2" xfId="517" xr:uid="{8C3CC158-E0FA-41F9-9791-AE2EA1181A37}"/>
    <cellStyle name="20% - Accent4 2 11 3" xfId="518" xr:uid="{08341DA0-96E7-47FA-851B-260E676A3D76}"/>
    <cellStyle name="20% - Accent4 2 12" xfId="519" xr:uid="{7B04A7ED-1791-492A-B123-16BCA1A69BE1}"/>
    <cellStyle name="20% - Accent4 2 12 2" xfId="520" xr:uid="{08E67C54-3EB4-4299-AF2B-9B181C2DDDAB}"/>
    <cellStyle name="20% - Accent4 2 12 2 2" xfId="521" xr:uid="{CD072CA4-F398-4B37-A2B5-218ECFB818CF}"/>
    <cellStyle name="20% - Accent4 2 12 3" xfId="522" xr:uid="{4E6B5399-65BF-43C3-A62F-ADCD2B366B83}"/>
    <cellStyle name="20% - Accent4 2 13" xfId="523" xr:uid="{5120F907-083F-40C7-82AE-DB6047C8EC62}"/>
    <cellStyle name="20% - Accent4 2 13 2" xfId="524" xr:uid="{DFA89BAA-E93F-4F3E-AB16-C307249A8CD1}"/>
    <cellStyle name="20% - Accent4 2 13 2 2" xfId="525" xr:uid="{517870CE-EE7F-42F5-B6D0-D79C704D316B}"/>
    <cellStyle name="20% - Accent4 2 13 3" xfId="526" xr:uid="{1A8DBD1D-9DE8-4F25-A93E-A77F5EB8E2A5}"/>
    <cellStyle name="20% - Accent4 2 14" xfId="527" xr:uid="{8E668752-0508-41D9-B7A5-EDA24ECC8496}"/>
    <cellStyle name="20% - Accent4 2 15" xfId="528" xr:uid="{5D378736-10AF-4B48-8663-0327A52DFDF9}"/>
    <cellStyle name="20% - Accent4 2 16" xfId="529" xr:uid="{77E8BAE7-341B-4C6D-9725-4D2815C8553A}"/>
    <cellStyle name="20% - Accent4 2 17" xfId="530" xr:uid="{52DF3BC9-DE78-431A-BA9C-88F8206416F0}"/>
    <cellStyle name="20% - Accent4 2 18" xfId="531" xr:uid="{46DB57EE-2D2F-464C-9572-38EFA2A0F380}"/>
    <cellStyle name="20% - Accent4 2 19" xfId="532" xr:uid="{3A0A7234-4215-44AD-8182-E497D8B446A5}"/>
    <cellStyle name="20% - Accent4 2 19 2" xfId="533" xr:uid="{0E9EC945-A406-4CA9-8BCF-989AF31D553B}"/>
    <cellStyle name="20% - Accent4 2 2" xfId="534" xr:uid="{469338DE-52A9-4D5A-9A0A-09D47E80F4CD}"/>
    <cellStyle name="20% - Accent4 2 2 2" xfId="535" xr:uid="{68C18E78-771E-4249-96B7-8C3723A8BA82}"/>
    <cellStyle name="20% - Accent4 2 2 3" xfId="536" xr:uid="{8F7D17CB-F754-40B1-8AD5-547C6770FA13}"/>
    <cellStyle name="20% - Accent4 2 2 4" xfId="537" xr:uid="{57A53592-C5C2-437F-98B5-E75E768438BC}"/>
    <cellStyle name="20% - Accent4 2 2 5" xfId="538" xr:uid="{AE78EC7E-22DE-4994-8A44-1FBCD53D4C47}"/>
    <cellStyle name="20% - Accent4 2 2 6" xfId="539" xr:uid="{3100F9A8-7D30-4B22-B47A-FB4F2052B9FD}"/>
    <cellStyle name="20% - Accent4 2 2 7" xfId="540" xr:uid="{3201A7A0-4E98-48DB-9995-C4B635BEE44B}"/>
    <cellStyle name="20% - Accent4 2 2 8" xfId="541" xr:uid="{D1FEDB85-0AEC-4834-BE69-368AFCA378A1}"/>
    <cellStyle name="20% - Accent4 2 2 8 2" xfId="542" xr:uid="{7F1ACF79-D6E9-438A-812E-7975821F0642}"/>
    <cellStyle name="20% - Accent4 2 2 9" xfId="543" xr:uid="{D9AB7861-642B-4B3F-84C4-A1C9CF5CDA31}"/>
    <cellStyle name="20% - Accent4 2 2_EQU" xfId="544" xr:uid="{0F021E88-9824-45D5-BA06-FFF61B09575F}"/>
    <cellStyle name="20% - Accent4 2 3" xfId="545" xr:uid="{A41B089B-E9C4-4233-865F-B8F3D75D2108}"/>
    <cellStyle name="20% - Accent4 2 3 10" xfId="546" xr:uid="{C6F0CC77-6205-4369-9198-BDD7CAE58D36}"/>
    <cellStyle name="20% - Accent4 2 3 11" xfId="547" xr:uid="{0B6A33F6-B75F-4E64-A888-D698AC4C7129}"/>
    <cellStyle name="20% - Accent4 2 3 12" xfId="548" xr:uid="{69459641-F6C9-4E54-8F74-EA54EB2E00C1}"/>
    <cellStyle name="20% - Accent4 2 3 13" xfId="549" xr:uid="{2773A904-7BDC-4C7A-8E2F-4CE7D0E3DA9E}"/>
    <cellStyle name="20% - Accent4 2 3 13 2" xfId="550" xr:uid="{2BD0EB53-74F2-41E8-8760-F9D33380AC96}"/>
    <cellStyle name="20% - Accent4 2 3 14" xfId="551" xr:uid="{A94E593D-DDA1-4EB7-ABE8-B8F2C55221F9}"/>
    <cellStyle name="20% - Accent4 2 3 2" xfId="552" xr:uid="{D554D70F-25BA-4584-B141-4C84226612CE}"/>
    <cellStyle name="20% - Accent4 2 3 3" xfId="553" xr:uid="{5D557FDE-EBA4-4A69-B13C-45C8160EB6F7}"/>
    <cellStyle name="20% - Accent4 2 3 4" xfId="554" xr:uid="{CA7CC812-3C91-4B4B-B69E-B559A9F26383}"/>
    <cellStyle name="20% - Accent4 2 3 5" xfId="555" xr:uid="{EE41D771-7C16-4FCA-A176-0876D6B078D5}"/>
    <cellStyle name="20% - Accent4 2 3 6" xfId="556" xr:uid="{CAA44B84-C2FB-4ECE-9039-0A6F167BF81E}"/>
    <cellStyle name="20% - Accent4 2 3 7" xfId="557" xr:uid="{9F52E6AD-A664-44A8-BBEB-BEF25E6C5AD8}"/>
    <cellStyle name="20% - Accent4 2 3 8" xfId="558" xr:uid="{8BD08D2E-1A4E-4667-8F3C-59DCE46AC0B3}"/>
    <cellStyle name="20% - Accent4 2 3 9" xfId="559" xr:uid="{23908019-8CD2-4023-B0EB-9A7DA308488A}"/>
    <cellStyle name="20% - Accent4 2 3_Derivatives" xfId="560" xr:uid="{359D1793-C8F9-45EC-AC7C-C98998C0CB26}"/>
    <cellStyle name="20% - Accent4 2 4" xfId="561" xr:uid="{9FE167A7-4E16-468C-B069-6D5CFDDFEBD3}"/>
    <cellStyle name="20% - Accent4 2 4 2" xfId="562" xr:uid="{501C10B8-0992-4FCB-B689-71E6D2364A38}"/>
    <cellStyle name="20% - Accent4 2 4 2 2" xfId="563" xr:uid="{41EA3071-D408-4892-A791-93201F8FDCCC}"/>
    <cellStyle name="20% - Accent4 2 4 3" xfId="564" xr:uid="{1904D2E5-13DF-4B45-A0DB-BF21D679F1C3}"/>
    <cellStyle name="20% - Accent4 2 4_EQU" xfId="565" xr:uid="{2E14258B-2526-4AD3-B90B-2F22BC7D12C3}"/>
    <cellStyle name="20% - Accent4 2 5" xfId="566" xr:uid="{6F9C8F3F-C259-4D36-836D-B8B470354AFD}"/>
    <cellStyle name="20% - Accent4 2 5 2" xfId="567" xr:uid="{2F492311-3ACE-4DFA-B8E6-5B3FD467B72F}"/>
    <cellStyle name="20% - Accent4 2 5 2 2" xfId="568" xr:uid="{2928E133-B52E-4E6C-8CC4-F5E9EA3F90C2}"/>
    <cellStyle name="20% - Accent4 2 5 3" xfId="569" xr:uid="{74392C11-8F4F-4BCE-B15F-B7ED7EDA50C7}"/>
    <cellStyle name="20% - Accent4 2 5_Derivatives" xfId="570" xr:uid="{9B75F16F-DA50-4BB8-98DF-9BDAF269E878}"/>
    <cellStyle name="20% - Accent4 2 6" xfId="571" xr:uid="{703BDAB8-BD85-4F2A-9377-92D58ED0C2C4}"/>
    <cellStyle name="20% - Accent4 2 6 2" xfId="572" xr:uid="{D4CDEA18-FBF2-440B-8178-EC11479AFB14}"/>
    <cellStyle name="20% - Accent4 2 6 2 2" xfId="573" xr:uid="{335CCE92-1149-4B33-8AA7-81A5A2E4A3F0}"/>
    <cellStyle name="20% - Accent4 2 6 3" xfId="574" xr:uid="{3516CA08-F985-48B5-B977-F2A0DEB8FD6C}"/>
    <cellStyle name="20% - Accent4 2 6_Derivatives" xfId="575" xr:uid="{82D88BB0-9797-4976-87B4-503303151237}"/>
    <cellStyle name="20% - Accent4 2 7" xfId="576" xr:uid="{8516FA9D-C2C8-47D2-B902-EDBFBD36F6FF}"/>
    <cellStyle name="20% - Accent4 2 7 2" xfId="577" xr:uid="{3B36EC8D-8B93-4F92-B64E-EA7346E7CC5D}"/>
    <cellStyle name="20% - Accent4 2 7 2 2" xfId="578" xr:uid="{B0B3FB90-6DD1-46D6-87F4-7B754AF65DF9}"/>
    <cellStyle name="20% - Accent4 2 7 3" xfId="579" xr:uid="{5CFDCBA3-2290-40CB-977B-664AF14F9944}"/>
    <cellStyle name="20% - Accent4 2 7_Derivatives" xfId="580" xr:uid="{9FCD293C-3CB9-4A55-8F41-936F7DCC98B2}"/>
    <cellStyle name="20% - Accent4 2 8" xfId="581" xr:uid="{36B86D8C-8198-42EF-B495-927AAFE946EA}"/>
    <cellStyle name="20% - Accent4 2 8 2" xfId="582" xr:uid="{DFD26DE9-8B49-433B-8917-9678CD101581}"/>
    <cellStyle name="20% - Accent4 2 8 2 2" xfId="583" xr:uid="{A1A15637-7805-4A5C-9AC0-985C40076735}"/>
    <cellStyle name="20% - Accent4 2 8 3" xfId="584" xr:uid="{352D0D72-F4A2-4580-927B-BF2E8F282D9D}"/>
    <cellStyle name="20% - Accent4 2 8_Derivatives" xfId="585" xr:uid="{37FA5EA4-D047-445A-B741-B34C92BDECE0}"/>
    <cellStyle name="20% - Accent4 2 9" xfId="586" xr:uid="{2C11D1AE-05E2-46CC-8547-3119185D2638}"/>
    <cellStyle name="20% - Accent4 2 9 2" xfId="587" xr:uid="{D40DC5F7-DB77-442A-BE43-4BD4F86B6054}"/>
    <cellStyle name="20% - Accent4 2 9 2 2" xfId="588" xr:uid="{8B23A966-5406-4C2E-B342-D63247376960}"/>
    <cellStyle name="20% - Accent4 2 9 3" xfId="589" xr:uid="{7577A70F-1ADA-4F9B-85D3-91785DDE3EF5}"/>
    <cellStyle name="20% - Accent4 2_5130_new" xfId="590" xr:uid="{75C74C0E-DBD3-4849-89E3-03B5D58277F5}"/>
    <cellStyle name="20% - Accent4 3" xfId="591" xr:uid="{529AFEDA-FBD3-4640-8A94-8F5D7EE1F6A6}"/>
    <cellStyle name="20% - Accent4 3 10" xfId="592" xr:uid="{CCB8B651-786A-45E4-B472-B30FB8F6A2FB}"/>
    <cellStyle name="20% - Accent4 3 2" xfId="593" xr:uid="{9BB48AEC-A5E6-4AB9-9C63-33F60851E3F8}"/>
    <cellStyle name="20% - Accent4 3 2 2" xfId="594" xr:uid="{316766BD-99D6-4307-8845-A760611B16A6}"/>
    <cellStyle name="20% - Accent4 3 2 2 2" xfId="595" xr:uid="{EBC14F31-6DF9-418D-BF04-6E3B3DF6C3AD}"/>
    <cellStyle name="20% - Accent4 3 2 3" xfId="596" xr:uid="{11B327EE-A90D-4813-A76A-14A28F3ED6DE}"/>
    <cellStyle name="20% - Accent4 3 2_Derivatives" xfId="597" xr:uid="{F733F728-51AA-4E89-81D3-4263B0F8CC56}"/>
    <cellStyle name="20% - Accent4 3 3" xfId="598" xr:uid="{36E636AF-0C79-4358-9C27-6D14DF1210E2}"/>
    <cellStyle name="20% - Accent4 3 4" xfId="599" xr:uid="{3B566881-D658-479E-B4ED-BB90AE705792}"/>
    <cellStyle name="20% - Accent4 3 5" xfId="600" xr:uid="{0D755662-09BD-4F4E-9461-B11AE220C1E3}"/>
    <cellStyle name="20% - Accent4 3 6" xfId="601" xr:uid="{AE47F52B-CC9F-4123-831D-69B2D1C29ED3}"/>
    <cellStyle name="20% - Accent4 3 7" xfId="602" xr:uid="{379D86A9-C565-4050-B6D2-A2E1C28E1984}"/>
    <cellStyle name="20% - Accent4 3 8" xfId="603" xr:uid="{4B1E59F0-BC3B-4677-BA91-174677331E75}"/>
    <cellStyle name="20% - Accent4 3 9" xfId="604" xr:uid="{0B246235-6677-44C7-BFA9-D974281A7A79}"/>
    <cellStyle name="20% - Accent4 3 9 2" xfId="605" xr:uid="{B65FCBCE-7EBA-43CB-9562-541D3091AB66}"/>
    <cellStyle name="20% - Accent4 3_EQU" xfId="606" xr:uid="{A392F1BD-2A88-43C5-B6B7-BED0C009DF0B}"/>
    <cellStyle name="20% - Accent4 4" xfId="607" xr:uid="{222F233C-5204-4EC9-947B-B648E73F38EF}"/>
    <cellStyle name="20% - Accent4 4 10" xfId="608" xr:uid="{9A577081-5436-4AE0-896D-8E80EEA86EE8}"/>
    <cellStyle name="20% - Accent4 4 2" xfId="609" xr:uid="{4EAE2299-523D-45D6-B153-F8BCD82E6E34}"/>
    <cellStyle name="20% - Accent4 4 2 2" xfId="610" xr:uid="{A9E4E26B-9229-4EE0-9FA1-B51B9D757109}"/>
    <cellStyle name="20% - Accent4 4 2 2 2" xfId="611" xr:uid="{3AD3FDD5-7722-44A4-8F0E-8EE5E02481B2}"/>
    <cellStyle name="20% - Accent4 4 2 3" xfId="612" xr:uid="{AC494D38-32A5-44E3-9DFD-FC012CAE5397}"/>
    <cellStyle name="20% - Accent4 4 2_EQU" xfId="613" xr:uid="{42B9A36B-4026-439A-A6E2-30B358252084}"/>
    <cellStyle name="20% - Accent4 4 3" xfId="614" xr:uid="{03B7C711-5807-417C-B209-22E5F251D15B}"/>
    <cellStyle name="20% - Accent4 4 4" xfId="615" xr:uid="{FE2CC503-8E2D-4327-A978-1399DB9491B7}"/>
    <cellStyle name="20% - Accent4 4 5" xfId="616" xr:uid="{3E6F90B2-6625-4953-BA01-356BD0C5777B}"/>
    <cellStyle name="20% - Accent4 4 6" xfId="617" xr:uid="{D7C13CA6-8DA6-4293-A2BF-CE9FBB78785A}"/>
    <cellStyle name="20% - Accent4 4 7" xfId="618" xr:uid="{2260D269-37F4-4FFE-A1D7-A82258BECC8F}"/>
    <cellStyle name="20% - Accent4 4 8" xfId="619" xr:uid="{FF045AA5-18E5-4181-B00E-FDFEF4AFFBAC}"/>
    <cellStyle name="20% - Accent4 4 9" xfId="620" xr:uid="{55C8A7F4-B4A3-4C2E-8B85-31B559E78CA6}"/>
    <cellStyle name="20% - Accent4 4 9 2" xfId="621" xr:uid="{499CB3C0-3DD4-47B5-A589-7E04F354D166}"/>
    <cellStyle name="20% - Accent4 4_EQU" xfId="622" xr:uid="{AB720065-4EC0-488F-A680-AA53757457A6}"/>
    <cellStyle name="20% - Accent4 5" xfId="623" xr:uid="{FF0A0116-9324-48B3-9B49-5A81BF003DF3}"/>
    <cellStyle name="20% - Accent4 5 2" xfId="624" xr:uid="{309C9537-6128-42F7-B5F5-D3470B63D732}"/>
    <cellStyle name="20% - Accent4 5 2 2" xfId="625" xr:uid="{2B58E4B1-D9D3-40D2-A6CE-674BFCB107F9}"/>
    <cellStyle name="20% - Accent4 5 2 2 2" xfId="626" xr:uid="{99BE8E1E-5468-45CD-8B1D-A7C4F33F799B}"/>
    <cellStyle name="20% - Accent4 5 2 3" xfId="627" xr:uid="{2748C960-9490-449B-9319-A134ABD7C475}"/>
    <cellStyle name="20% - Accent4 5 3" xfId="628" xr:uid="{1FEF3BE8-A046-442E-BB6D-49ACD1298947}"/>
    <cellStyle name="20% - Accent4 5 3 2" xfId="629" xr:uid="{7661B3B2-640C-49D7-9398-7032FEF8C74B}"/>
    <cellStyle name="20% - Accent4 5 4" xfId="630" xr:uid="{9A5A9792-6B63-4D12-8F05-EDBCC1E364C4}"/>
    <cellStyle name="20% - Accent4 5_Derivatives" xfId="631" xr:uid="{0A7A8FB3-6CB1-4348-BAD2-792B59731D0B}"/>
    <cellStyle name="20% - Accent4 6" xfId="632" xr:uid="{79664E39-8086-47B4-BFAA-CA82DC675F1F}"/>
    <cellStyle name="20% - Accent4 6 2" xfId="633" xr:uid="{FFE18C54-08F5-4A3F-ADB8-9061574B4D39}"/>
    <cellStyle name="20% - Accent4 6 2 2" xfId="634" xr:uid="{8F5FD56E-1EB9-4168-86E8-405B164936BF}"/>
    <cellStyle name="20% - Accent4 6 2 2 2" xfId="635" xr:uid="{ACE86C09-3077-477E-A0D1-CA0B0A260422}"/>
    <cellStyle name="20% - Accent4 6 2 3" xfId="636" xr:uid="{1AF695DC-87C3-4345-B747-6516647797C5}"/>
    <cellStyle name="20% - Accent4 6 3" xfId="637" xr:uid="{3403BDAA-0E5D-4EE1-8BDE-112500BD3E22}"/>
    <cellStyle name="20% - Accent4 6 3 2" xfId="638" xr:uid="{EA0FD4F8-51FB-4B7A-AC57-6639D1BF7C50}"/>
    <cellStyle name="20% - Accent4 6 4" xfId="639" xr:uid="{341B8722-378C-45DC-AAB5-ED0498E556AC}"/>
    <cellStyle name="20% - Accent4 6_EQU" xfId="640" xr:uid="{D2122A09-CFD3-4E94-B594-4789EFDA3BE5}"/>
    <cellStyle name="20% - Accent4 7" xfId="641" xr:uid="{01E6CA67-CFAC-492C-8BB5-1937392584F9}"/>
    <cellStyle name="20% - Accent4 7 2" xfId="642" xr:uid="{38B33E2E-9EA3-494D-BD99-EF0EFA21C4B6}"/>
    <cellStyle name="20% - Accent4 7 2 2" xfId="643" xr:uid="{B3D59A58-564A-479C-A4DD-6B632EB3F37E}"/>
    <cellStyle name="20% - Accent4 7 3" xfId="644" xr:uid="{9BF8953B-EB8B-4061-8F92-23FC5AE3F7A1}"/>
    <cellStyle name="20% - Accent4 7_EQU" xfId="645" xr:uid="{4BECC5AD-69D4-42CB-A0D5-3D8611C183A9}"/>
    <cellStyle name="20% - Accent4 8" xfId="646" xr:uid="{F927BBE9-CA37-4CDF-8F6E-4B39E5734DF8}"/>
    <cellStyle name="20% - Accent4 9" xfId="647" xr:uid="{E831517E-63A1-4C42-802C-A60637A3282A}"/>
    <cellStyle name="20% - Accent5 10" xfId="648" xr:uid="{0CFBF002-8F59-4F4D-A59E-400100819F1D}"/>
    <cellStyle name="20% - Accent5 11" xfId="649" xr:uid="{F3781488-782D-460A-A2DD-43A643C536B2}"/>
    <cellStyle name="20% - Accent5 12" xfId="650" xr:uid="{D3889D46-56D8-4FC4-A36F-C785CF71B34A}"/>
    <cellStyle name="20% - Accent5 13" xfId="651" xr:uid="{63DEC97F-0AC9-43A4-9FF5-0893FF1E5A81}"/>
    <cellStyle name="20% - Accent5 2" xfId="652" xr:uid="{7B31B002-B851-4433-AAB6-473E5BFF2656}"/>
    <cellStyle name="20% - Accent5 2 10" xfId="653" xr:uid="{594EC402-D03E-4468-98BE-92BD3BA08B03}"/>
    <cellStyle name="20% - Accent5 2 11" xfId="654" xr:uid="{C0D0540A-A2BB-4382-96FD-4FC4499D20D9}"/>
    <cellStyle name="20% - Accent5 2 12" xfId="655" xr:uid="{8CA4E2BA-787B-4ECE-8818-DFA5CDED27C6}"/>
    <cellStyle name="20% - Accent5 2 13" xfId="656" xr:uid="{33743189-EDE3-438D-ACB0-85DE1E911078}"/>
    <cellStyle name="20% - Accent5 2 14" xfId="657" xr:uid="{4683835F-3DC9-49CE-8E5E-BEC52FDACB77}"/>
    <cellStyle name="20% - Accent5 2 15" xfId="658" xr:uid="{4016ED59-3406-4BDC-ABB5-159E6E7BD328}"/>
    <cellStyle name="20% - Accent5 2 16" xfId="659" xr:uid="{D45D2B45-B953-4256-AD0C-2D4D010CCA44}"/>
    <cellStyle name="20% - Accent5 2 17" xfId="660" xr:uid="{14E85D40-AF1B-4E87-8A31-88CAA0F809ED}"/>
    <cellStyle name="20% - Accent5 2 18" xfId="661" xr:uid="{2A3D1881-105A-460A-9F23-20CF04224C8C}"/>
    <cellStyle name="20% - Accent5 2 2" xfId="662" xr:uid="{614ADF39-7AC5-492C-A328-DD9E2C156390}"/>
    <cellStyle name="20% - Accent5 2 2 2" xfId="663" xr:uid="{300C197C-9DFC-4CB1-B379-7C8AA3F24750}"/>
    <cellStyle name="20% - Accent5 2 2 3" xfId="664" xr:uid="{BB658E75-8836-476B-92BC-25AC4CDD9308}"/>
    <cellStyle name="20% - Accent5 2 2 4" xfId="665" xr:uid="{19E50361-9705-4580-9838-8728C56E3525}"/>
    <cellStyle name="20% - Accent5 2 2 5" xfId="666" xr:uid="{49CB4E6D-4046-4FD4-92C7-F9269AF9483E}"/>
    <cellStyle name="20% - Accent5 2 2 6" xfId="667" xr:uid="{73E0FBAE-131E-4860-8DE7-21793147549C}"/>
    <cellStyle name="20% - Accent5 2 2 7" xfId="668" xr:uid="{C9E9EF25-83F1-4B1D-A3A7-09040F80F32D}"/>
    <cellStyle name="20% - Accent5 2 2 8" xfId="669" xr:uid="{089246E9-010E-49E9-86DE-6C23B73DC64D}"/>
    <cellStyle name="20% - Accent5 2 2_EQU" xfId="670" xr:uid="{FA96519F-BB17-4D2A-AF91-52B2B740B995}"/>
    <cellStyle name="20% - Accent5 2 3" xfId="671" xr:uid="{90D2EB66-A1ED-491D-9AF1-EAA68E045DBC}"/>
    <cellStyle name="20% - Accent5 2 3 10" xfId="672" xr:uid="{F68DE51D-AE7C-4A55-AB6E-1BC6FA4C4A3A}"/>
    <cellStyle name="20% - Accent5 2 3 11" xfId="673" xr:uid="{05A665E6-86D3-4D95-A188-40FA8B8A0D44}"/>
    <cellStyle name="20% - Accent5 2 3 12" xfId="674" xr:uid="{CDBFAFA6-DA9A-44B2-B836-4D1B0ADF4AB3}"/>
    <cellStyle name="20% - Accent5 2 3 2" xfId="675" xr:uid="{FD6CD0B1-9D1A-428F-B16E-53408041C58B}"/>
    <cellStyle name="20% - Accent5 2 3 3" xfId="676" xr:uid="{A03BC2A6-2B16-43E4-B8C2-374A1444DCE3}"/>
    <cellStyle name="20% - Accent5 2 3 4" xfId="677" xr:uid="{B25FD247-074B-42B2-B961-225D2EB913F8}"/>
    <cellStyle name="20% - Accent5 2 3 5" xfId="678" xr:uid="{BA07F231-3711-47C8-9E2C-042014772D81}"/>
    <cellStyle name="20% - Accent5 2 3 6" xfId="679" xr:uid="{789130DA-A7EB-4347-87C0-190128105F7A}"/>
    <cellStyle name="20% - Accent5 2 3 7" xfId="680" xr:uid="{C24D0442-FBCD-4B32-B58B-65859E25988B}"/>
    <cellStyle name="20% - Accent5 2 3 8" xfId="681" xr:uid="{5B0AF7D1-6124-4862-ABAF-EB214E46F356}"/>
    <cellStyle name="20% - Accent5 2 3 9" xfId="682" xr:uid="{CD44287F-8DFA-4ADD-9DD9-04C1B2ABF359}"/>
    <cellStyle name="20% - Accent5 2 3_Derivatives" xfId="683" xr:uid="{4C1DE9C1-CF7B-45EA-9261-2183C9DCA24F}"/>
    <cellStyle name="20% - Accent5 2 4" xfId="684" xr:uid="{2A7C1943-8ADD-4169-9396-EE3DB7AB0C62}"/>
    <cellStyle name="20% - Accent5 2 5" xfId="685" xr:uid="{03AB03CE-837C-4CDA-B4E2-D3603D0041DD}"/>
    <cellStyle name="20% - Accent5 2 6" xfId="686" xr:uid="{493869E8-F594-46A3-8A8E-E125C3127BA1}"/>
    <cellStyle name="20% - Accent5 2 7" xfId="687" xr:uid="{BD833122-77D2-48DE-83DE-22AA346E9471}"/>
    <cellStyle name="20% - Accent5 2 8" xfId="688" xr:uid="{BCE3FA04-AC05-4083-9AFB-EA51143213E2}"/>
    <cellStyle name="20% - Accent5 2 9" xfId="689" xr:uid="{A5AF8818-3F82-40E0-B81C-82E1BC3AFD4D}"/>
    <cellStyle name="20% - Accent5 2_5130_new" xfId="690" xr:uid="{F9426110-D46B-4030-A459-4C3C182ED0DA}"/>
    <cellStyle name="20% - Accent5 3" xfId="691" xr:uid="{0735736E-A60A-412F-8EEB-EF221AC437FB}"/>
    <cellStyle name="20% - Accent5 3 2" xfId="692" xr:uid="{94C739BF-F324-4378-99DC-A498EE6038B4}"/>
    <cellStyle name="20% - Accent5 3 3" xfId="693" xr:uid="{77DA6694-C4C8-4D74-9B24-8E3237D5A38C}"/>
    <cellStyle name="20% - Accent5 3 4" xfId="694" xr:uid="{5C0DB8A2-95F7-4184-A575-8D2DFBBA5F12}"/>
    <cellStyle name="20% - Accent5 3 5" xfId="695" xr:uid="{E3CD506B-68A1-4E04-A1F6-3B61B5543775}"/>
    <cellStyle name="20% - Accent5 3 6" xfId="696" xr:uid="{A60E33BB-928C-4D7A-B138-33FA6F16D9C3}"/>
    <cellStyle name="20% - Accent5 3 7" xfId="697" xr:uid="{A3911548-C9E6-445F-836C-65D782B12757}"/>
    <cellStyle name="20% - Accent5 3 8" xfId="698" xr:uid="{8BC7CF48-C23F-4C82-8564-D34CA2735726}"/>
    <cellStyle name="20% - Accent5 3 9" xfId="699" xr:uid="{CFFD9A02-BD05-45CB-8955-9A7D4CA615A3}"/>
    <cellStyle name="20% - Accent5 3_EQU" xfId="700" xr:uid="{6C3D1491-B315-429E-8804-3D1AD5CEB0B2}"/>
    <cellStyle name="20% - Accent5 4" xfId="701" xr:uid="{09BCE37E-4CC0-44C6-A3E2-9555C0A1D903}"/>
    <cellStyle name="20% - Accent5 4 2" xfId="702" xr:uid="{63C57ED8-ACFA-4C2E-BC7A-CE6468FFC6BD}"/>
    <cellStyle name="20% - Accent5 4 3" xfId="703" xr:uid="{711BDEC6-0968-4B7D-9E21-B299A3CC8997}"/>
    <cellStyle name="20% - Accent5 4 4" xfId="704" xr:uid="{739CC900-169D-4CCD-94C2-B5E7EE8FAC9D}"/>
    <cellStyle name="20% - Accent5 4 5" xfId="705" xr:uid="{F2ECC509-4BEF-460A-8A03-9DCF0AA2AE08}"/>
    <cellStyle name="20% - Accent5 4 6" xfId="706" xr:uid="{F756F401-AFFD-4970-B273-F0880DE82692}"/>
    <cellStyle name="20% - Accent5 4 7" xfId="707" xr:uid="{FFAC18E1-1A0A-429A-997F-2E2B1D07F803}"/>
    <cellStyle name="20% - Accent5 4 8" xfId="708" xr:uid="{39305347-7659-4D23-A9E5-409925ACD3C2}"/>
    <cellStyle name="20% - Accent5 4 9" xfId="709" xr:uid="{1276D87C-045D-458D-87FC-E697F64E397A}"/>
    <cellStyle name="20% - Accent5 4_EQU" xfId="710" xr:uid="{C6065202-5FA6-4F00-85E1-FDCC16F61CD8}"/>
    <cellStyle name="20% - Accent5 5" xfId="711" xr:uid="{4D443FB6-5455-496E-8F01-02A8D7DCE849}"/>
    <cellStyle name="20% - Accent5 5 2" xfId="712" xr:uid="{EE224094-AAD4-43E6-9687-4112F8FEE2F9}"/>
    <cellStyle name="20% - Accent5 5_EQU" xfId="713" xr:uid="{EAF73610-BC0B-4B4F-956A-F515086B69A8}"/>
    <cellStyle name="20% - Accent5 6" xfId="714" xr:uid="{06171047-54E0-449D-A96B-F7D0C5FFBD9C}"/>
    <cellStyle name="20% - Accent5 6 2" xfId="715" xr:uid="{C8F58682-1D89-4C72-A906-04400E8AA050}"/>
    <cellStyle name="20% - Accent5 6_EQU" xfId="716" xr:uid="{DFCCB295-A75D-473D-9F39-324EF207A7CD}"/>
    <cellStyle name="20% - Accent5 7" xfId="717" xr:uid="{52136E5B-4319-4823-801B-A7FE22630B0A}"/>
    <cellStyle name="20% - Accent5 8" xfId="718" xr:uid="{3BAA1C85-9051-43AF-9DF1-5ACBD856FD32}"/>
    <cellStyle name="20% - Accent5 9" xfId="719" xr:uid="{0C25EB03-69E1-41F0-8E77-67D06889BEC5}"/>
    <cellStyle name="20% - Accent6 10" xfId="720" xr:uid="{6EDEE1F0-A901-4E64-A5B6-6AA95AF86E5C}"/>
    <cellStyle name="20% - Accent6 11" xfId="721" xr:uid="{CB934B70-6A78-4AA3-993B-0EA2D4E78474}"/>
    <cellStyle name="20% - Accent6 12" xfId="722" xr:uid="{FDA27A45-5C11-4496-8D3B-40BA64796CF6}"/>
    <cellStyle name="20% - Accent6 13" xfId="723" xr:uid="{2EBC80BB-5F68-4877-BAC0-12EA3A8B132A}"/>
    <cellStyle name="20% - Accent6 2" xfId="724" xr:uid="{E180E866-B67D-43D8-8120-C47B7F249C5C}"/>
    <cellStyle name="20% - Accent6 2 10" xfId="725" xr:uid="{0F682678-92DF-478B-BC7D-FA65085DAF44}"/>
    <cellStyle name="20% - Accent6 2 11" xfId="726" xr:uid="{AB0CBFAF-06C6-4BAC-AFFE-C4C36E5DEF2B}"/>
    <cellStyle name="20% - Accent6 2 12" xfId="727" xr:uid="{724F844E-758B-42E7-B35A-3A2935D4CB48}"/>
    <cellStyle name="20% - Accent6 2 13" xfId="728" xr:uid="{3E8B4B59-9578-4A7B-A441-C8428D3F6232}"/>
    <cellStyle name="20% - Accent6 2 14" xfId="729" xr:uid="{9EB77A13-D00A-4A55-8BCA-3D50ECE93CE3}"/>
    <cellStyle name="20% - Accent6 2 15" xfId="730" xr:uid="{3B3E3771-2247-421A-9D92-B596DB92BAE7}"/>
    <cellStyle name="20% - Accent6 2 16" xfId="731" xr:uid="{56F1930C-66DB-4555-86C2-A8FE6122ED3C}"/>
    <cellStyle name="20% - Accent6 2 17" xfId="732" xr:uid="{355C04D0-467F-4F80-B27B-7BB3A5E65939}"/>
    <cellStyle name="20% - Accent6 2 18" xfId="733" xr:uid="{26D47F0D-1F47-420F-BBF5-F36344E4B1DC}"/>
    <cellStyle name="20% - Accent6 2 2" xfId="734" xr:uid="{A2A3001F-A178-42DC-9C58-12F92C19A3A6}"/>
    <cellStyle name="20% - Accent6 2 2 2" xfId="735" xr:uid="{FEFA6338-2E99-4E11-8749-1A0E1CA7361E}"/>
    <cellStyle name="20% - Accent6 2 2 3" xfId="736" xr:uid="{197CA7DE-8A83-4C0A-94BF-96EBFBA8A67B}"/>
    <cellStyle name="20% - Accent6 2 2 4" xfId="737" xr:uid="{1ED2A897-E2CC-4B9E-A5DC-EEA57603CD02}"/>
    <cellStyle name="20% - Accent6 2 2 5" xfId="738" xr:uid="{923D0A91-29FB-4111-BA33-B6FAFFA5762F}"/>
    <cellStyle name="20% - Accent6 2 2 6" xfId="739" xr:uid="{A5747004-428E-4D01-9304-688C7A33A0D7}"/>
    <cellStyle name="20% - Accent6 2 2 7" xfId="740" xr:uid="{E5440EAE-0037-492C-8BD2-05B41ABD2F56}"/>
    <cellStyle name="20% - Accent6 2 2 8" xfId="741" xr:uid="{2C28C334-0002-43FB-AB0D-B7E68D2CAC50}"/>
    <cellStyle name="20% - Accent6 2 2_EQU" xfId="742" xr:uid="{A0B1DA42-F98D-4383-B03D-B299B23C63D2}"/>
    <cellStyle name="20% - Accent6 2 3" xfId="743" xr:uid="{2E739F6B-1467-4502-B0BE-FB8F99E4F484}"/>
    <cellStyle name="20% - Accent6 2 3 10" xfId="744" xr:uid="{83A4EC90-F3F6-461B-A61F-A26FDB2AA12A}"/>
    <cellStyle name="20% - Accent6 2 3 11" xfId="745" xr:uid="{2130EBC4-B137-43A0-A18E-5A7834131B1F}"/>
    <cellStyle name="20% - Accent6 2 3 12" xfId="746" xr:uid="{C10DB696-CDA6-4084-AFF7-4E49D5300E95}"/>
    <cellStyle name="20% - Accent6 2 3 2" xfId="747" xr:uid="{68B405B8-DB4B-49DC-A630-0179A8D84B5C}"/>
    <cellStyle name="20% - Accent6 2 3 3" xfId="748" xr:uid="{7FC23E4D-D549-47FF-B932-BF15E2C62C10}"/>
    <cellStyle name="20% - Accent6 2 3 4" xfId="749" xr:uid="{3F9A9823-BA6A-405B-A361-5C81098CADB0}"/>
    <cellStyle name="20% - Accent6 2 3 5" xfId="750" xr:uid="{3F97F710-2BEC-4F94-9F44-9092DD1D7391}"/>
    <cellStyle name="20% - Accent6 2 3 6" xfId="751" xr:uid="{FA2E50A6-BE14-4839-889C-C4D9F828E481}"/>
    <cellStyle name="20% - Accent6 2 3 7" xfId="752" xr:uid="{05A0939C-AC25-4C46-938F-654E727928EA}"/>
    <cellStyle name="20% - Accent6 2 3 8" xfId="753" xr:uid="{13274598-0DC9-460C-A986-5B87D95FE207}"/>
    <cellStyle name="20% - Accent6 2 3 9" xfId="754" xr:uid="{41986154-A86B-4F26-87ED-1339943A483A}"/>
    <cellStyle name="20% - Accent6 2 3_Derivatives" xfId="755" xr:uid="{4607B44F-6F15-4A01-B361-AA2F13A52C20}"/>
    <cellStyle name="20% - Accent6 2 4" xfId="756" xr:uid="{92146BB2-B930-4018-841F-A2907DA3EE8B}"/>
    <cellStyle name="20% - Accent6 2 5" xfId="757" xr:uid="{BB35AF21-445E-45DF-969E-3301E84A6FAD}"/>
    <cellStyle name="20% - Accent6 2 6" xfId="758" xr:uid="{EB542F9F-B3A9-4176-B2A3-04BAD84A288B}"/>
    <cellStyle name="20% - Accent6 2 7" xfId="759" xr:uid="{A262E6BB-6551-4443-959B-0DDD40E387AB}"/>
    <cellStyle name="20% - Accent6 2 8" xfId="760" xr:uid="{E4A4C4B4-455D-4C61-B96E-1DD713696C4A}"/>
    <cellStyle name="20% - Accent6 2 9" xfId="761" xr:uid="{E92A240A-2BD0-491A-9D4B-F30E4EBABA41}"/>
    <cellStyle name="20% - Accent6 2_5130_new" xfId="762" xr:uid="{9699E951-3BD0-4E1D-AC07-FB51E253FB96}"/>
    <cellStyle name="20% - Accent6 3" xfId="763" xr:uid="{95E34A90-EF7F-4F30-B4B9-89AA57472A1B}"/>
    <cellStyle name="20% - Accent6 3 2" xfId="764" xr:uid="{AC0FB6E4-CC78-4C42-9C16-15E045C99BB8}"/>
    <cellStyle name="20% - Accent6 3 3" xfId="765" xr:uid="{60B80B0B-00C6-4E66-81FD-7E93CC1B1510}"/>
    <cellStyle name="20% - Accent6 3 4" xfId="766" xr:uid="{5375C9F7-009C-44E2-A7F6-4D477CC29866}"/>
    <cellStyle name="20% - Accent6 3 5" xfId="767" xr:uid="{F7D2CACC-5370-4111-81BE-1CDEDA3E8A82}"/>
    <cellStyle name="20% - Accent6 3 6" xfId="768" xr:uid="{20952D2D-68AF-4BD7-A09E-EF9E66E13BB1}"/>
    <cellStyle name="20% - Accent6 3 7" xfId="769" xr:uid="{14ED3E2C-E3F7-468E-977A-410417880B71}"/>
    <cellStyle name="20% - Accent6 3 8" xfId="770" xr:uid="{BBAE0690-9FE1-418C-AC4F-2AFC5E198DC4}"/>
    <cellStyle name="20% - Accent6 3 9" xfId="771" xr:uid="{7E32C270-90C9-41E6-8426-62298E42739B}"/>
    <cellStyle name="20% - Accent6 3_EQU" xfId="772" xr:uid="{02FBF8B3-759E-40EC-8D64-F1D1ADF64517}"/>
    <cellStyle name="20% - Accent6 4" xfId="773" xr:uid="{58EDF3C3-4B56-4258-BB28-C0094D3EE4BB}"/>
    <cellStyle name="20% - Accent6 4 2" xfId="774" xr:uid="{53F31466-E914-4B53-98E7-5EB08AA83108}"/>
    <cellStyle name="20% - Accent6 4 3" xfId="775" xr:uid="{2161AABA-3C12-4E4E-8094-2D92FEBDC027}"/>
    <cellStyle name="20% - Accent6 4 4" xfId="776" xr:uid="{DB6E989D-7194-4D58-B63B-3A6CA0C27DC2}"/>
    <cellStyle name="20% - Accent6 4 5" xfId="777" xr:uid="{7326DE6F-E508-4017-A2DC-29578F507A6A}"/>
    <cellStyle name="20% - Accent6 4 6" xfId="778" xr:uid="{58FF65F8-66FC-4EAC-A06D-DCC4656CE43E}"/>
    <cellStyle name="20% - Accent6 4 7" xfId="779" xr:uid="{C40FDFBA-C655-42DC-99C7-6F070B046EEF}"/>
    <cellStyle name="20% - Accent6 4 8" xfId="780" xr:uid="{FCC4BB61-5AA2-4B73-B5DE-D9CB0AA0D1A3}"/>
    <cellStyle name="20% - Accent6 4 9" xfId="781" xr:uid="{D13D3D4C-D857-4436-A710-631BAB62B43F}"/>
    <cellStyle name="20% - Accent6 4_EQU" xfId="782" xr:uid="{9E9E9F9F-78BD-45FA-98F3-8CB3353B39EB}"/>
    <cellStyle name="20% - Accent6 5" xfId="783" xr:uid="{B78CD187-DD35-4F11-9EDB-595C5E7DBED2}"/>
    <cellStyle name="20% - Accent6 5 2" xfId="784" xr:uid="{24C4DC40-3783-4055-8DBD-E4D41D98EC96}"/>
    <cellStyle name="20% - Accent6 5_EQU" xfId="785" xr:uid="{5E03C207-8450-42C0-BB6D-E1BE806204C3}"/>
    <cellStyle name="20% - Accent6 6" xfId="786" xr:uid="{70204251-8072-4EF7-998F-167ED8AD2EDD}"/>
    <cellStyle name="20% - Accent6 6 2" xfId="787" xr:uid="{8EF723CF-4129-4866-A50F-018A16EAD0EB}"/>
    <cellStyle name="20% - Accent6 6_EQU" xfId="788" xr:uid="{28E5D4A5-BE9C-4030-BFBB-9E3032194DC8}"/>
    <cellStyle name="20% - Accent6 7" xfId="789" xr:uid="{A2AD7B0A-2F99-47B4-B7A2-548CC5D1C677}"/>
    <cellStyle name="20% - Accent6 8" xfId="790" xr:uid="{5AF40174-6A4E-475C-A6CA-60AD5AA5481F}"/>
    <cellStyle name="20% - Accent6 9" xfId="791" xr:uid="{84F21249-772F-4F3B-8229-D5FCDE26E597}"/>
    <cellStyle name="40 % - Accent1" xfId="792" xr:uid="{301A9FC9-FCD5-4956-9012-3D359EFAFDEB}"/>
    <cellStyle name="40 % - Accent2" xfId="793" xr:uid="{46E53306-6CD0-4580-8210-1C12C7311E18}"/>
    <cellStyle name="40 % - Accent3" xfId="794" xr:uid="{51D58C83-4637-48D8-B5A3-2B85BE44A115}"/>
    <cellStyle name="40 % - Accent4" xfId="795" xr:uid="{D54A8366-79E4-4F47-80F2-93769B730D5B}"/>
    <cellStyle name="40 % - Accent5" xfId="796" xr:uid="{ED375E0D-B6B1-4F16-893D-169DBE92A78E}"/>
    <cellStyle name="40 % - Accent6" xfId="797" xr:uid="{4563C113-C2D0-4697-8761-E5E192184155}"/>
    <cellStyle name="40% - Accent1 10" xfId="798" xr:uid="{F7F92E37-1231-4542-8475-66B1816473DC}"/>
    <cellStyle name="40% - Accent1 11" xfId="799" xr:uid="{D3604EB3-09D0-4207-AB3A-BDEDFF25BCB5}"/>
    <cellStyle name="40% - Accent1 12" xfId="800" xr:uid="{A63D6A2B-9ED0-47F2-B32E-1533440FA971}"/>
    <cellStyle name="40% - Accent1 13" xfId="801" xr:uid="{9F820F7D-EF7A-4231-9DEF-C3DD8E9D1E85}"/>
    <cellStyle name="40% - Accent1 2" xfId="802" xr:uid="{048546C6-C4D4-43C7-A447-9A540EF3FB08}"/>
    <cellStyle name="40% - Accent1 2 10" xfId="803" xr:uid="{9CA23887-0232-4ADF-912B-7F4C73A807DE}"/>
    <cellStyle name="40% - Accent1 2 10 2" xfId="804" xr:uid="{732F1E95-68DD-4727-85B3-8784E5ED7C50}"/>
    <cellStyle name="40% - Accent1 2 10 2 2" xfId="805" xr:uid="{A535DDC7-129D-4EFA-9654-2B7372D15187}"/>
    <cellStyle name="40% - Accent1 2 10 3" xfId="806" xr:uid="{EB62E99C-052D-4881-AB4E-DFD0EDF3FF55}"/>
    <cellStyle name="40% - Accent1 2 11" xfId="807" xr:uid="{5496730E-F168-459E-9E38-ED64A2FD45C1}"/>
    <cellStyle name="40% - Accent1 2 11 2" xfId="808" xr:uid="{0ADC4860-3E8E-47AF-ADD3-E6AD16F2B363}"/>
    <cellStyle name="40% - Accent1 2 11 2 2" xfId="809" xr:uid="{92272743-F272-4579-B485-890DD6451EE0}"/>
    <cellStyle name="40% - Accent1 2 11 3" xfId="810" xr:uid="{1B998D93-B62C-4BF6-A6EA-2938D59E46EB}"/>
    <cellStyle name="40% - Accent1 2 12" xfId="811" xr:uid="{342D6007-9C86-48F6-AB05-A13B0DD5D1F2}"/>
    <cellStyle name="40% - Accent1 2 12 2" xfId="812" xr:uid="{864AF7DE-E901-4C66-AAA6-50953F59EDA5}"/>
    <cellStyle name="40% - Accent1 2 12 2 2" xfId="813" xr:uid="{3A510BD3-B06A-45EB-8171-52B40A6622F5}"/>
    <cellStyle name="40% - Accent1 2 12 3" xfId="814" xr:uid="{8C7B8280-2069-4813-A929-3A8753EF155B}"/>
    <cellStyle name="40% - Accent1 2 13" xfId="815" xr:uid="{1D539ECB-A8C1-44AF-8D01-FC5968F28697}"/>
    <cellStyle name="40% - Accent1 2 13 2" xfId="816" xr:uid="{64F6E8DD-973D-4895-906C-5FC52CBCD8C4}"/>
    <cellStyle name="40% - Accent1 2 13 2 2" xfId="817" xr:uid="{FBF2970E-5510-4796-A56A-E9241C783A5A}"/>
    <cellStyle name="40% - Accent1 2 13 3" xfId="818" xr:uid="{C8BE7CA4-D6C9-45CA-9363-764A43A5F251}"/>
    <cellStyle name="40% - Accent1 2 14" xfId="819" xr:uid="{8BBA19F1-4DD4-4CFB-9929-B1180B8D7118}"/>
    <cellStyle name="40% - Accent1 2 15" xfId="820" xr:uid="{DCA2C4D8-F15F-40EF-9848-BA1DDC36BB67}"/>
    <cellStyle name="40% - Accent1 2 16" xfId="821" xr:uid="{00AD99C0-4E94-4C5B-AA53-866BB3DD9717}"/>
    <cellStyle name="40% - Accent1 2 17" xfId="822" xr:uid="{F3B1B443-7D6B-4C19-AA9E-FB299B555875}"/>
    <cellStyle name="40% - Accent1 2 18" xfId="823" xr:uid="{1DAED5AB-B2F7-4E97-87D9-4AAB176E60F0}"/>
    <cellStyle name="40% - Accent1 2 19" xfId="824" xr:uid="{079123EB-0085-4F13-A042-A198367E1A59}"/>
    <cellStyle name="40% - Accent1 2 19 2" xfId="825" xr:uid="{FA6617C4-1E31-47E3-AEEC-3823D576A45B}"/>
    <cellStyle name="40% - Accent1 2 2" xfId="826" xr:uid="{FB0A9075-5ACA-42A8-853C-2F8E57C71D9F}"/>
    <cellStyle name="40% - Accent1 2 2 2" xfId="827" xr:uid="{9DBC0D77-B8DA-4322-A48C-244CF2A312CD}"/>
    <cellStyle name="40% - Accent1 2 2 3" xfId="828" xr:uid="{EC32F2C9-6947-4921-916E-1158E521CE9E}"/>
    <cellStyle name="40% - Accent1 2 2 4" xfId="829" xr:uid="{FED73CC0-ED44-4FCC-8CDD-75F3910F6438}"/>
    <cellStyle name="40% - Accent1 2 2 5" xfId="830" xr:uid="{B56D54A9-C609-4FA7-93CC-CBE7B4A984EB}"/>
    <cellStyle name="40% - Accent1 2 2 6" xfId="831" xr:uid="{FC7F8135-3C32-4560-BD8C-9DC75FD56D3E}"/>
    <cellStyle name="40% - Accent1 2 2 7" xfId="832" xr:uid="{18676506-7673-4752-A16D-D54052743C15}"/>
    <cellStyle name="40% - Accent1 2 2 8" xfId="833" xr:uid="{E034CE37-FF73-473C-96D8-3B3581AC41E8}"/>
    <cellStyle name="40% - Accent1 2 2 8 2" xfId="834" xr:uid="{799D63D7-128E-4D8F-9D4A-1E2FCA5018AF}"/>
    <cellStyle name="40% - Accent1 2 2 9" xfId="835" xr:uid="{6C8F1AB5-8D64-4338-89BA-C7EEE389752F}"/>
    <cellStyle name="40% - Accent1 2 2_EQU" xfId="836" xr:uid="{5B88AF56-8D38-418F-A9AC-A8EDC471872F}"/>
    <cellStyle name="40% - Accent1 2 3" xfId="837" xr:uid="{9B76B023-CBF9-4831-8128-3836D4E5A07A}"/>
    <cellStyle name="40% - Accent1 2 3 10" xfId="838" xr:uid="{B4E6AB14-E354-450A-8816-03555781C2CE}"/>
    <cellStyle name="40% - Accent1 2 3 11" xfId="839" xr:uid="{6D479D9F-84BF-41A3-A304-80F0F2683913}"/>
    <cellStyle name="40% - Accent1 2 3 12" xfId="840" xr:uid="{DCF14118-D5D8-4063-80CF-F6FBD7B8A8E5}"/>
    <cellStyle name="40% - Accent1 2 3 13" xfId="841" xr:uid="{8140E16A-4122-4950-8BF8-1DABB3535623}"/>
    <cellStyle name="40% - Accent1 2 3 14" xfId="842" xr:uid="{6B9C8171-1D45-45E0-91A4-2C3C01145A98}"/>
    <cellStyle name="40% - Accent1 2 3 15" xfId="843" xr:uid="{35222349-0F9B-4E1D-9DDD-202AA1CEF768}"/>
    <cellStyle name="40% - Accent1 2 3 16" xfId="844" xr:uid="{21C78EF7-6CED-456E-B7BA-0075773A365C}"/>
    <cellStyle name="40% - Accent1 2 3 17" xfId="845" xr:uid="{4C9360A6-732C-492B-9754-A78230E810E1}"/>
    <cellStyle name="40% - Accent1 2 3 18" xfId="846" xr:uid="{637C21F0-E8DF-4570-89CD-99322D7F7D23}"/>
    <cellStyle name="40% - Accent1 2 3 18 2" xfId="847" xr:uid="{01AFC259-A1F9-4F27-AC9F-1965B91DCB9A}"/>
    <cellStyle name="40% - Accent1 2 3 19" xfId="848" xr:uid="{3B209791-DF1E-4FD6-A079-F479BE97B70B}"/>
    <cellStyle name="40% - Accent1 2 3 2" xfId="849" xr:uid="{E4734343-0C23-43FB-80B2-1B9C14AACD67}"/>
    <cellStyle name="40% - Accent1 2 3 2 10" xfId="850" xr:uid="{030683B6-8375-417B-AF26-9F3AB21E5FEE}"/>
    <cellStyle name="40% - Accent1 2 3 2 11" xfId="851" xr:uid="{778B500C-90FD-4577-9EDD-17F68AB1C406}"/>
    <cellStyle name="40% - Accent1 2 3 2 12" xfId="852" xr:uid="{B519145E-57B3-45F9-8593-63E3815D92AA}"/>
    <cellStyle name="40% - Accent1 2 3 2 2" xfId="853" xr:uid="{1BCEB2F9-50DE-46A9-9EF6-9E06A414DA07}"/>
    <cellStyle name="40% - Accent1 2 3 2 3" xfId="854" xr:uid="{5C36C12F-422C-4CD4-805D-3874586E67CE}"/>
    <cellStyle name="40% - Accent1 2 3 2 4" xfId="855" xr:uid="{0D0AFD4D-C673-46F2-8D27-73B8EB242450}"/>
    <cellStyle name="40% - Accent1 2 3 2 5" xfId="856" xr:uid="{C7249E6D-7493-499C-B53F-FCB53F0267DC}"/>
    <cellStyle name="40% - Accent1 2 3 2 6" xfId="857" xr:uid="{E693665F-020F-4A33-A7CE-2C6133F6A490}"/>
    <cellStyle name="40% - Accent1 2 3 2 7" xfId="858" xr:uid="{F5ED0297-09A9-4537-846E-77B84EDB8490}"/>
    <cellStyle name="40% - Accent1 2 3 2 8" xfId="859" xr:uid="{597BC0EC-3DB5-4970-B5A5-897FB9611484}"/>
    <cellStyle name="40% - Accent1 2 3 2 9" xfId="860" xr:uid="{ED5BD18C-9AB2-4F19-B07E-203CB390908A}"/>
    <cellStyle name="40% - Accent1 2 3 3" xfId="861" xr:uid="{6EBD9872-0FD2-4310-BE12-DAF739F3EB28}"/>
    <cellStyle name="40% - Accent1 2 3 4" xfId="862" xr:uid="{6D0AB298-B92A-4E65-A41C-82E52B7A5DDF}"/>
    <cellStyle name="40% - Accent1 2 3 5" xfId="863" xr:uid="{A8BC19BB-09BD-4E45-A01C-802188BCB16C}"/>
    <cellStyle name="40% - Accent1 2 3 6" xfId="864" xr:uid="{021595EE-B235-4A71-9065-319BD817F830}"/>
    <cellStyle name="40% - Accent1 2 3 7" xfId="865" xr:uid="{6613F356-1487-42B8-8835-1072C8A7ED4E}"/>
    <cellStyle name="40% - Accent1 2 3 8" xfId="866" xr:uid="{5BE82277-C8F3-4D38-9D69-2C7A5590FEBF}"/>
    <cellStyle name="40% - Accent1 2 3 9" xfId="867" xr:uid="{BCD513D6-F0A8-426A-8E43-B08A52B85CA3}"/>
    <cellStyle name="40% - Accent1 2 3_Derivatives" xfId="868" xr:uid="{35028EBA-6EE8-4AF6-9493-A72FE6E26E7F}"/>
    <cellStyle name="40% - Accent1 2 4" xfId="869" xr:uid="{CFFFC1B9-B6E3-44B9-A3A7-147684F6F8CD}"/>
    <cellStyle name="40% - Accent1 2 4 2" xfId="870" xr:uid="{8FF4428F-62AF-417D-AE2E-BA8A999B6EA0}"/>
    <cellStyle name="40% - Accent1 2 4 2 2" xfId="871" xr:uid="{77CEB8AF-CF85-41A1-BE08-57A9285F5C97}"/>
    <cellStyle name="40% - Accent1 2 4 3" xfId="872" xr:uid="{A6940864-47DC-42B8-BB04-2AB889C69B6A}"/>
    <cellStyle name="40% - Accent1 2 4_EQU" xfId="873" xr:uid="{1837FF73-CC0E-4927-B6D8-4B8A7AC9C13A}"/>
    <cellStyle name="40% - Accent1 2 5" xfId="874" xr:uid="{C8B5705C-78A8-4465-B673-0A98EAB12477}"/>
    <cellStyle name="40% - Accent1 2 5 2" xfId="875" xr:uid="{2280C5DE-9C15-4444-A71B-160EA1C99744}"/>
    <cellStyle name="40% - Accent1 2 5 2 2" xfId="876" xr:uid="{67CFF749-2A00-48F2-B283-A523C6D9E2D3}"/>
    <cellStyle name="40% - Accent1 2 5 3" xfId="877" xr:uid="{59315F41-1CD0-424C-B0D6-8EA8819B2B94}"/>
    <cellStyle name="40% - Accent1 2 5_Derivatives" xfId="878" xr:uid="{E7A826D7-9AE6-4588-9B5F-7AD5C27AC8FC}"/>
    <cellStyle name="40% - Accent1 2 6" xfId="879" xr:uid="{DAB6629C-2BCC-4F9A-8C73-1134E9789B60}"/>
    <cellStyle name="40% - Accent1 2 6 2" xfId="880" xr:uid="{9FAF7900-A42E-43AB-96A8-2A8085D6F8EC}"/>
    <cellStyle name="40% - Accent1 2 6 2 2" xfId="881" xr:uid="{8147CB60-D6E7-4636-BF2A-B20E32398A0E}"/>
    <cellStyle name="40% - Accent1 2 6 3" xfId="882" xr:uid="{C53A9836-22B9-4096-ADD1-59034AC252E6}"/>
    <cellStyle name="40% - Accent1 2 6_Derivatives" xfId="883" xr:uid="{B9E14F2A-6EB0-4022-811E-75FE08FF9395}"/>
    <cellStyle name="40% - Accent1 2 7" xfId="884" xr:uid="{2AF0571E-21C8-4F1C-82C7-15E16EB77604}"/>
    <cellStyle name="40% - Accent1 2 7 2" xfId="885" xr:uid="{12028491-5722-43FA-80DE-383C3F36AB22}"/>
    <cellStyle name="40% - Accent1 2 7 2 2" xfId="886" xr:uid="{04AEFB30-F860-45B7-90B8-5536013564F6}"/>
    <cellStyle name="40% - Accent1 2 7 3" xfId="887" xr:uid="{D954FAEA-06EA-4242-A84F-2E9FD9F52ED4}"/>
    <cellStyle name="40% - Accent1 2 7_Derivatives" xfId="888" xr:uid="{D2E47C9D-67D7-407B-90BA-FB588CED60DA}"/>
    <cellStyle name="40% - Accent1 2 8" xfId="889" xr:uid="{4A19FB58-52E1-4755-955A-1A7CDC752013}"/>
    <cellStyle name="40% - Accent1 2 8 2" xfId="890" xr:uid="{C445CAB8-F152-4F46-85AF-FEDFAF0A18FD}"/>
    <cellStyle name="40% - Accent1 2 8 2 2" xfId="891" xr:uid="{858A445B-DFDC-47A1-9E2C-E65010EA872C}"/>
    <cellStyle name="40% - Accent1 2 8 3" xfId="892" xr:uid="{8BDABAFB-B8CA-4C08-9879-47340BDC2F04}"/>
    <cellStyle name="40% - Accent1 2 8_Derivatives" xfId="893" xr:uid="{3F2485C1-BFC8-4327-9A07-80DB62285B3A}"/>
    <cellStyle name="40% - Accent1 2 9" xfId="894" xr:uid="{71B478F1-616C-439E-A9BD-116F6831C0D8}"/>
    <cellStyle name="40% - Accent1 2 9 2" xfId="895" xr:uid="{174FD691-E6E4-4CF4-951F-2409B28C8250}"/>
    <cellStyle name="40% - Accent1 2 9 2 2" xfId="896" xr:uid="{1D26D813-8F7B-4EED-99DA-48BBFDF64062}"/>
    <cellStyle name="40% - Accent1 2 9 3" xfId="897" xr:uid="{B012D17C-0B6E-4C81-A172-974E6C1681DC}"/>
    <cellStyle name="40% - Accent1 2_5130_new" xfId="898" xr:uid="{AD635BD9-FAF3-43A1-BE58-F8EAE4B09327}"/>
    <cellStyle name="40% - Accent1 3" xfId="899" xr:uid="{DF3A2C86-6758-480A-98D8-1E9F2995BC94}"/>
    <cellStyle name="40% - Accent1 3 10" xfId="900" xr:uid="{8A9FF9D6-1FD5-4E66-84F8-8BA738EAB35B}"/>
    <cellStyle name="40% - Accent1 3 2" xfId="901" xr:uid="{774A8B48-A9B9-4062-A90A-7038EBEEF39F}"/>
    <cellStyle name="40% - Accent1 3 2 2" xfId="902" xr:uid="{AC74DE46-9801-4500-94EB-894E2AA380C0}"/>
    <cellStyle name="40% - Accent1 3 2 2 2" xfId="903" xr:uid="{B14E1A54-91CE-43A2-96B2-DA24422D6AE7}"/>
    <cellStyle name="40% - Accent1 3 2 3" xfId="904" xr:uid="{96B65948-FE4A-4352-BB79-FE401A70377D}"/>
    <cellStyle name="40% - Accent1 3 2_Derivatives" xfId="905" xr:uid="{149A172A-0D2E-4680-9661-BD19820FEFCB}"/>
    <cellStyle name="40% - Accent1 3 3" xfId="906" xr:uid="{E098A5F2-EF0C-46B0-9B6E-4A07F5A18F3E}"/>
    <cellStyle name="40% - Accent1 3 4" xfId="907" xr:uid="{BCBF2DD6-4E87-4500-BDD1-E9EDEBF540D9}"/>
    <cellStyle name="40% - Accent1 3 5" xfId="908" xr:uid="{46907802-1892-44C0-B5CD-22DD4C41E2F2}"/>
    <cellStyle name="40% - Accent1 3 6" xfId="909" xr:uid="{65C7416A-4AF8-4A41-B15D-CF23C718A612}"/>
    <cellStyle name="40% - Accent1 3 7" xfId="910" xr:uid="{1E2EFF88-AF0F-4A97-B865-D067FE528380}"/>
    <cellStyle name="40% - Accent1 3 8" xfId="911" xr:uid="{E4B1BB2D-EA04-4B78-8513-5187ECEE0A48}"/>
    <cellStyle name="40% - Accent1 3 9" xfId="912" xr:uid="{A2E595AE-4320-471E-9205-0C47EE3D979A}"/>
    <cellStyle name="40% - Accent1 3 9 2" xfId="913" xr:uid="{818AC34A-72C0-4A6A-B6F1-1A74EA6BD3EE}"/>
    <cellStyle name="40% - Accent1 3_EQU" xfId="914" xr:uid="{6C38245B-1593-4331-914D-80BE08C774DC}"/>
    <cellStyle name="40% - Accent1 4" xfId="915" xr:uid="{7CEBD038-97DA-48A1-A51C-F3E4DF119028}"/>
    <cellStyle name="40% - Accent1 4 10" xfId="916" xr:uid="{ABE20D57-ECC0-4B1C-97E6-53FD320D83DD}"/>
    <cellStyle name="40% - Accent1 4 2" xfId="917" xr:uid="{332CB4C8-2245-42A9-9FD8-F15381968545}"/>
    <cellStyle name="40% - Accent1 4 2 2" xfId="918" xr:uid="{8BB4CF26-AF40-4934-96D6-D02AAA4137B9}"/>
    <cellStyle name="40% - Accent1 4 2 2 2" xfId="919" xr:uid="{CEDC5E97-FEF8-4AE5-887E-83A8D37850BC}"/>
    <cellStyle name="40% - Accent1 4 2 3" xfId="920" xr:uid="{455CBCFC-ADC6-4123-B8A5-5687A6C1D777}"/>
    <cellStyle name="40% - Accent1 4 2_EQU" xfId="921" xr:uid="{714BA160-F932-44D2-B2C8-16684CECE149}"/>
    <cellStyle name="40% - Accent1 4 3" xfId="922" xr:uid="{1C37DB4A-ECDD-4B2B-A430-0F9A4C80AE2E}"/>
    <cellStyle name="40% - Accent1 4 4" xfId="923" xr:uid="{35D9DAEA-9188-4BDE-848F-62EDEFD97874}"/>
    <cellStyle name="40% - Accent1 4 5" xfId="924" xr:uid="{03565A1F-0AB0-423B-91F6-2A62214DA5BE}"/>
    <cellStyle name="40% - Accent1 4 6" xfId="925" xr:uid="{9D923B3B-4E6B-4974-BB2E-88878961B648}"/>
    <cellStyle name="40% - Accent1 4 7" xfId="926" xr:uid="{92A22D6F-28DB-4076-BA89-3C0650F78288}"/>
    <cellStyle name="40% - Accent1 4 8" xfId="927" xr:uid="{100B5F41-0921-43FE-A2BE-89C901B1F163}"/>
    <cellStyle name="40% - Accent1 4 9" xfId="928" xr:uid="{5ACA8832-2E36-4E4B-A52B-4A28406DD1CB}"/>
    <cellStyle name="40% - Accent1 4 9 2" xfId="929" xr:uid="{247AB970-6A32-4CB2-8C1A-1BE8BEED0D36}"/>
    <cellStyle name="40% - Accent1 4_EQU" xfId="930" xr:uid="{0B828671-323E-429D-A5AC-519CC4BF1E19}"/>
    <cellStyle name="40% - Accent1 5" xfId="931" xr:uid="{809234B0-9BF1-467C-AE1E-D6B8CFDEA33B}"/>
    <cellStyle name="40% - Accent1 5 2" xfId="932" xr:uid="{DDC0359C-A684-4B37-876E-1EE19D3153F3}"/>
    <cellStyle name="40% - Accent1 5 2 2" xfId="933" xr:uid="{9DC6C896-EAB9-4234-B6F2-0FADD363914D}"/>
    <cellStyle name="40% - Accent1 5 2 2 2" xfId="934" xr:uid="{7141C090-DE6E-4153-8845-DD96EB0EBEA5}"/>
    <cellStyle name="40% - Accent1 5 2 3" xfId="935" xr:uid="{D0AFB8D7-ACAA-422A-BAA4-AFDC9E4EA3B4}"/>
    <cellStyle name="40% - Accent1 5 3" xfId="936" xr:uid="{709016A0-3EEA-4C84-85BD-C9AD4DBBD665}"/>
    <cellStyle name="40% - Accent1 5 3 2" xfId="937" xr:uid="{4D830C53-9873-4A29-BDDD-0BCD4E783D74}"/>
    <cellStyle name="40% - Accent1 5 4" xfId="938" xr:uid="{E555DB0A-43F6-4267-97CC-CC96B139A4B5}"/>
    <cellStyle name="40% - Accent1 5_Derivatives" xfId="939" xr:uid="{59153BED-ECA1-4941-8A51-8628F4CF81AB}"/>
    <cellStyle name="40% - Accent1 6" xfId="940" xr:uid="{7B926ABB-3C6C-4B92-A9F8-96C6FAE7D3AD}"/>
    <cellStyle name="40% - Accent1 6 2" xfId="941" xr:uid="{0C9FCEF4-6285-4D34-B62B-17250FD57F95}"/>
    <cellStyle name="40% - Accent1 6 2 2" xfId="942" xr:uid="{45E698E5-C24D-4957-8CFB-A5F351720F74}"/>
    <cellStyle name="40% - Accent1 6 2 2 2" xfId="943" xr:uid="{CE0CADB1-A6BF-4135-8F22-47885CAA8C01}"/>
    <cellStyle name="40% - Accent1 6 2 3" xfId="944" xr:uid="{27D41BD3-024A-418B-B240-2E701559AC95}"/>
    <cellStyle name="40% - Accent1 6 3" xfId="945" xr:uid="{05524AB3-D0CA-46EC-A942-918154F2C7FF}"/>
    <cellStyle name="40% - Accent1 6 3 2" xfId="946" xr:uid="{C1FD453F-6FCB-4BE2-821E-EDFA215AFC54}"/>
    <cellStyle name="40% - Accent1 6 4" xfId="947" xr:uid="{A18E66E6-27CF-48F5-8B09-B05F5DF7F64E}"/>
    <cellStyle name="40% - Accent1 6_EQU" xfId="948" xr:uid="{B9A47A30-9107-426C-A162-902F9D71DE6F}"/>
    <cellStyle name="40% - Accent1 7" xfId="949" xr:uid="{45E96C52-FEE7-4125-BE66-E6C6CCD68E77}"/>
    <cellStyle name="40% - Accent1 7 2" xfId="950" xr:uid="{4A792825-2EB4-49A1-9A0A-D1D95ABBA63C}"/>
    <cellStyle name="40% - Accent1 7 2 2" xfId="951" xr:uid="{3ECA9047-4419-4D68-A35D-EADB1F342B90}"/>
    <cellStyle name="40% - Accent1 7 3" xfId="952" xr:uid="{A5F2C38D-CFB6-4563-BA55-31A787A36825}"/>
    <cellStyle name="40% - Accent1 7_EQU" xfId="953" xr:uid="{31E9A9E7-1985-4B68-8452-E1C84F950802}"/>
    <cellStyle name="40% - Accent1 8" xfId="954" xr:uid="{C89A668D-66CA-4A7A-B96F-F73CE97CEB6E}"/>
    <cellStyle name="40% - Accent1 9" xfId="955" xr:uid="{9C06C23E-D0BC-4A5E-8B31-C2F8547A75D5}"/>
    <cellStyle name="40% - Accent2 10" xfId="956" xr:uid="{297B7F95-D86B-455F-B12B-242687ADC01F}"/>
    <cellStyle name="40% - Accent2 11" xfId="957" xr:uid="{D34BFC0C-1A7A-45F8-9530-A5CDF26658D3}"/>
    <cellStyle name="40% - Accent2 12" xfId="958" xr:uid="{35BAE1D4-EE14-43EB-8C57-99E3C62CD8D0}"/>
    <cellStyle name="40% - Accent2 13" xfId="959" xr:uid="{8E47F98C-A82F-4E13-9EBD-7C7E0C42F0B3}"/>
    <cellStyle name="40% - Accent2 2" xfId="960" xr:uid="{D19FED4E-408F-48E9-93BF-541F5CA941E3}"/>
    <cellStyle name="40% - Accent2 2 10" xfId="961" xr:uid="{24E27BFD-AB5C-45E5-A11E-4C2B3FE35079}"/>
    <cellStyle name="40% - Accent2 2 11" xfId="962" xr:uid="{9FEBFCE7-6CED-43F9-B14D-72AA265ADBC8}"/>
    <cellStyle name="40% - Accent2 2 12" xfId="963" xr:uid="{16262CC8-5053-415A-8E99-33C1B062B63B}"/>
    <cellStyle name="40% - Accent2 2 13" xfId="964" xr:uid="{F4743FDC-6341-4C9C-A6C2-3B3FC1716ED8}"/>
    <cellStyle name="40% - Accent2 2 14" xfId="965" xr:uid="{5E1FBB8E-E6D5-4251-9A26-FAF8A23AFE47}"/>
    <cellStyle name="40% - Accent2 2 15" xfId="966" xr:uid="{94B2DF10-38EF-4B30-A710-B2FC73D87424}"/>
    <cellStyle name="40% - Accent2 2 16" xfId="967" xr:uid="{7D2C27F7-8B19-4DA0-A29A-8894C895664A}"/>
    <cellStyle name="40% - Accent2 2 17" xfId="968" xr:uid="{243A13A5-15FC-42BF-8113-640E2FE29E27}"/>
    <cellStyle name="40% - Accent2 2 18" xfId="969" xr:uid="{2A465CA2-28FF-4067-8949-D392F3C96227}"/>
    <cellStyle name="40% - Accent2 2 2" xfId="970" xr:uid="{CC300BC5-268B-4F9E-9850-A6914E3ACC74}"/>
    <cellStyle name="40% - Accent2 2 2 2" xfId="971" xr:uid="{2FC4121D-AAFC-4AAC-8ED9-167F089888E2}"/>
    <cellStyle name="40% - Accent2 2 2 3" xfId="972" xr:uid="{E7DA85C1-25DB-46DB-B9E2-33448FD33139}"/>
    <cellStyle name="40% - Accent2 2 2 4" xfId="973" xr:uid="{7F045F76-CC2A-4FD8-B9A2-A6D7DD7882FB}"/>
    <cellStyle name="40% - Accent2 2 2 5" xfId="974" xr:uid="{AFFD34B9-6AAA-4431-853F-F3E18C9D14D5}"/>
    <cellStyle name="40% - Accent2 2 2 6" xfId="975" xr:uid="{F6726D95-22B4-4C34-A583-66B3E6D24000}"/>
    <cellStyle name="40% - Accent2 2 2 7" xfId="976" xr:uid="{DA54597F-887D-49CD-9208-27C7E5324B6F}"/>
    <cellStyle name="40% - Accent2 2 2 8" xfId="977" xr:uid="{E955671A-E99D-4153-9DDD-E923D1FB4EF8}"/>
    <cellStyle name="40% - Accent2 2 2_EQU" xfId="978" xr:uid="{EC087831-FA27-40E2-A802-4ABCEE5F6310}"/>
    <cellStyle name="40% - Accent2 2 3" xfId="979" xr:uid="{45037125-92F7-4AED-A738-6BE22B07F52A}"/>
    <cellStyle name="40% - Accent2 2 3 10" xfId="980" xr:uid="{124B3E52-CE66-4B88-8F60-FB0134025BCB}"/>
    <cellStyle name="40% - Accent2 2 3 11" xfId="981" xr:uid="{8800A46E-14BF-4649-B087-4D2D2E74BDFE}"/>
    <cellStyle name="40% - Accent2 2 3 12" xfId="982" xr:uid="{AB8A2646-EC0F-4761-BF2F-21D12685BD31}"/>
    <cellStyle name="40% - Accent2 2 3 13" xfId="983" xr:uid="{9C19950B-1742-4558-AFA2-B268CB54C558}"/>
    <cellStyle name="40% - Accent2 2 3 14" xfId="984" xr:uid="{EFF68604-0DA5-474A-A522-E96EBE3C2BF5}"/>
    <cellStyle name="40% - Accent2 2 3 15" xfId="985" xr:uid="{64C23D9C-2A1C-46E4-9350-CB8F55954BDF}"/>
    <cellStyle name="40% - Accent2 2 3 16" xfId="986" xr:uid="{C99A3DBB-E3A0-481D-9286-36283F480830}"/>
    <cellStyle name="40% - Accent2 2 3 17" xfId="987" xr:uid="{ADB3390F-70E6-471D-90FB-9B678C2DE81A}"/>
    <cellStyle name="40% - Accent2 2 3 18" xfId="988" xr:uid="{4877C148-E190-42FC-9706-7FCF47CAD479}"/>
    <cellStyle name="40% - Accent2 2 3 2" xfId="989" xr:uid="{8830EFC9-427B-4C7E-B8C9-A612C8ACEA37}"/>
    <cellStyle name="40% - Accent2 2 3 2 10" xfId="990" xr:uid="{62295A3E-7407-4E23-BD96-B9B55ABA56E9}"/>
    <cellStyle name="40% - Accent2 2 3 2 11" xfId="991" xr:uid="{AB5FD570-669C-4C5B-98CB-95B627BF2554}"/>
    <cellStyle name="40% - Accent2 2 3 2 12" xfId="992" xr:uid="{4125D974-158D-46FA-97DF-7207906DBDD6}"/>
    <cellStyle name="40% - Accent2 2 3 2 2" xfId="993" xr:uid="{E596C760-5C19-415C-B3A3-57FFF33F4AC7}"/>
    <cellStyle name="40% - Accent2 2 3 2 3" xfId="994" xr:uid="{9C34EE24-FD5D-4077-A583-37B7598FA221}"/>
    <cellStyle name="40% - Accent2 2 3 2 4" xfId="995" xr:uid="{821C24B8-D57C-48C6-BE88-EC8772B43C5F}"/>
    <cellStyle name="40% - Accent2 2 3 2 5" xfId="996" xr:uid="{F4B5F48B-5C8E-4137-9D74-552CA4A577EF}"/>
    <cellStyle name="40% - Accent2 2 3 2 6" xfId="997" xr:uid="{A992AC15-8833-443E-BD22-A81EE9552D02}"/>
    <cellStyle name="40% - Accent2 2 3 2 7" xfId="998" xr:uid="{A18001A2-FFAB-4512-9D9D-6DCD98411667}"/>
    <cellStyle name="40% - Accent2 2 3 2 8" xfId="999" xr:uid="{1AF0B44C-1F5E-4B0B-B705-A47D99306854}"/>
    <cellStyle name="40% - Accent2 2 3 2 9" xfId="1000" xr:uid="{90F0EC59-99E6-433E-87B4-032EEB3C87C2}"/>
    <cellStyle name="40% - Accent2 2 3 3" xfId="1001" xr:uid="{6D06FAC6-05B4-4F8F-939A-BD88F6253E88}"/>
    <cellStyle name="40% - Accent2 2 3 4" xfId="1002" xr:uid="{367170F1-A4A5-4319-A86D-3FEC27558251}"/>
    <cellStyle name="40% - Accent2 2 3 5" xfId="1003" xr:uid="{9A8ECBEA-2FC6-42C5-9608-6234990596D3}"/>
    <cellStyle name="40% - Accent2 2 3 6" xfId="1004" xr:uid="{9CDF5948-08B3-4118-A270-808883AB1717}"/>
    <cellStyle name="40% - Accent2 2 3 7" xfId="1005" xr:uid="{32E537AD-5439-41D8-817F-9BEC316EACD2}"/>
    <cellStyle name="40% - Accent2 2 3 8" xfId="1006" xr:uid="{41DB0D4C-E3DA-43A9-86FE-FDABC077B1EB}"/>
    <cellStyle name="40% - Accent2 2 3 9" xfId="1007" xr:uid="{88683B77-3A69-49EB-B9F1-F368F4F2FD4A}"/>
    <cellStyle name="40% - Accent2 2 3_Derivatives" xfId="1008" xr:uid="{77048570-1C15-4FC0-AF8E-A741FB453673}"/>
    <cellStyle name="40% - Accent2 2 4" xfId="1009" xr:uid="{719D1E13-048B-4FAA-AECB-5C2986FC4F22}"/>
    <cellStyle name="40% - Accent2 2 5" xfId="1010" xr:uid="{1245E5CC-8431-477B-9D2A-A2038F8DCAE2}"/>
    <cellStyle name="40% - Accent2 2 6" xfId="1011" xr:uid="{C5917A0C-9D4F-40DD-9F8A-7706BF4091EC}"/>
    <cellStyle name="40% - Accent2 2 7" xfId="1012" xr:uid="{CEFDC728-B5D0-4D0A-B21C-87BFE98B1FB1}"/>
    <cellStyle name="40% - Accent2 2 8" xfId="1013" xr:uid="{53A2179C-B99B-4BA9-B128-5AD57FF34AD1}"/>
    <cellStyle name="40% - Accent2 2 9" xfId="1014" xr:uid="{A61DF354-A429-4EBD-812C-8BFFF048B9CB}"/>
    <cellStyle name="40% - Accent2 2_5130_new" xfId="1015" xr:uid="{B6A482F2-94AB-4E5C-9C1F-0D9328C3E05E}"/>
    <cellStyle name="40% - Accent2 3" xfId="1016" xr:uid="{2CE9F1FC-7A99-42B3-BC9C-3529DBB37657}"/>
    <cellStyle name="40% - Accent2 3 2" xfId="1017" xr:uid="{A7A6CD97-B0A9-457B-9D1D-ADDB571250C2}"/>
    <cellStyle name="40% - Accent2 3 3" xfId="1018" xr:uid="{BFA4955D-C033-42CF-B169-CD9AB058DE73}"/>
    <cellStyle name="40% - Accent2 3 4" xfId="1019" xr:uid="{CC9085E0-AA5A-46AC-B1D5-0A9D44141E68}"/>
    <cellStyle name="40% - Accent2 3 5" xfId="1020" xr:uid="{645C05AD-7FA0-4846-9F13-9468F7D866FF}"/>
    <cellStyle name="40% - Accent2 3 6" xfId="1021" xr:uid="{1B959BF6-6796-4717-A2B0-B7BB1A2C8157}"/>
    <cellStyle name="40% - Accent2 3 7" xfId="1022" xr:uid="{6208ED82-4874-427C-90C6-B902E6552F1A}"/>
    <cellStyle name="40% - Accent2 3 8" xfId="1023" xr:uid="{FABBF840-799B-4450-930D-0F3E1121C9B4}"/>
    <cellStyle name="40% - Accent2 3 9" xfId="1024" xr:uid="{B811A164-7A16-47BE-897A-A7F4727C4B38}"/>
    <cellStyle name="40% - Accent2 3_EQU" xfId="1025" xr:uid="{347D4C0B-19DD-46E3-AA12-B9B0D58766D0}"/>
    <cellStyle name="40% - Accent2 4" xfId="1026" xr:uid="{7D3609D1-D352-4906-B3FA-9058F5D842F6}"/>
    <cellStyle name="40% - Accent2 4 2" xfId="1027" xr:uid="{5D53DDCE-51D1-4CB6-BCB1-08118CF85182}"/>
    <cellStyle name="40% - Accent2 4 3" xfId="1028" xr:uid="{CDD1CE3F-21A2-4A3E-B644-6FE808FCE680}"/>
    <cellStyle name="40% - Accent2 4 4" xfId="1029" xr:uid="{6DFB8EE4-8CFF-4F6F-8EC3-1B6E8DB79DA0}"/>
    <cellStyle name="40% - Accent2 4 5" xfId="1030" xr:uid="{A9B18FF8-8252-4BC3-875E-0CB5B4048588}"/>
    <cellStyle name="40% - Accent2 4 6" xfId="1031" xr:uid="{314E415A-40C1-4DAD-A3A7-B1AAC4608220}"/>
    <cellStyle name="40% - Accent2 4 7" xfId="1032" xr:uid="{55AA9600-8DDF-455B-9569-30DA1C136318}"/>
    <cellStyle name="40% - Accent2 4 8" xfId="1033" xr:uid="{EC881765-B506-4419-863B-D0E900C17996}"/>
    <cellStyle name="40% - Accent2 4 9" xfId="1034" xr:uid="{D2140B33-1A80-4BB8-A7B3-EF7746CD3504}"/>
    <cellStyle name="40% - Accent2 4_EQU" xfId="1035" xr:uid="{D59D6456-8EDD-4091-8FE2-C1F98747D69C}"/>
    <cellStyle name="40% - Accent2 5" xfId="1036" xr:uid="{ED1A73BD-41DB-4DC2-9C1F-F1610198D85D}"/>
    <cellStyle name="40% - Accent2 5 2" xfId="1037" xr:uid="{FAEF9323-81E4-4D1A-8845-1530CF837232}"/>
    <cellStyle name="40% - Accent2 5_EQU" xfId="1038" xr:uid="{9CABDECE-D86A-4FBC-9D9C-CA9F8460E1AF}"/>
    <cellStyle name="40% - Accent2 6" xfId="1039" xr:uid="{726DBA96-D485-4FA1-9E0E-8C16941CA16F}"/>
    <cellStyle name="40% - Accent2 6 2" xfId="1040" xr:uid="{EDB4DB9A-3BE3-45B6-A825-64CEF7FF689B}"/>
    <cellStyle name="40% - Accent2 6_EQU" xfId="1041" xr:uid="{F0AC3626-E990-49E5-A1F8-C8234856DF0A}"/>
    <cellStyle name="40% - Accent2 7" xfId="1042" xr:uid="{0FD33155-CDDD-46E6-ACC2-4E93C139BCED}"/>
    <cellStyle name="40% - Accent2 8" xfId="1043" xr:uid="{40979B09-8B9D-4780-AB35-06E08AEFD9DF}"/>
    <cellStyle name="40% - Accent2 9" xfId="1044" xr:uid="{8FAC8131-65B5-4829-931E-B5304BFF557E}"/>
    <cellStyle name="40% - Accent3 10" xfId="1045" xr:uid="{75C70CB6-BEF3-4021-AD75-7FF260F4ADE7}"/>
    <cellStyle name="40% - Accent3 11" xfId="1046" xr:uid="{F1AE0E47-7F9C-49F5-947D-A36BBCA5FD6F}"/>
    <cellStyle name="40% - Accent3 12" xfId="1047" xr:uid="{1E14C77C-ED37-4F13-A1B2-8B320AE539A4}"/>
    <cellStyle name="40% - Accent3 13" xfId="1048" xr:uid="{5312E2F4-FB6F-49BB-A5D7-C1F10C30639D}"/>
    <cellStyle name="40% - Accent3 2" xfId="1049" xr:uid="{259175F6-6F34-4865-ADD3-D268DB45554B}"/>
    <cellStyle name="40% - Accent3 2 10" xfId="1050" xr:uid="{703ECFFB-53CD-4966-9B5C-C92A1461878B}"/>
    <cellStyle name="40% - Accent3 2 10 2" xfId="1051" xr:uid="{F11D5B9C-0A3A-4664-B28F-310B85528EDD}"/>
    <cellStyle name="40% - Accent3 2 10 2 2" xfId="1052" xr:uid="{03752267-E3EA-44DF-8A63-3436F9A2A0B6}"/>
    <cellStyle name="40% - Accent3 2 10 3" xfId="1053" xr:uid="{1DCD79AD-912A-4BFF-B06B-A273996A486C}"/>
    <cellStyle name="40% - Accent3 2 11" xfId="1054" xr:uid="{36DCEAB7-487A-4B5B-A141-608B85555A46}"/>
    <cellStyle name="40% - Accent3 2 11 2" xfId="1055" xr:uid="{8CA72657-23D5-4C0C-9A2D-674874A4B32E}"/>
    <cellStyle name="40% - Accent3 2 11 2 2" xfId="1056" xr:uid="{A05B10C8-0A83-4863-8ED6-E60BE149C5FE}"/>
    <cellStyle name="40% - Accent3 2 11 3" xfId="1057" xr:uid="{8002A17A-19F9-4FFC-9A8B-5F4347C5321A}"/>
    <cellStyle name="40% - Accent3 2 12" xfId="1058" xr:uid="{D59022C6-6411-4903-AA17-54FA10B4A7E6}"/>
    <cellStyle name="40% - Accent3 2 12 2" xfId="1059" xr:uid="{A3F791C3-4E8E-439E-882B-AA0DB6785EA5}"/>
    <cellStyle name="40% - Accent3 2 12 2 2" xfId="1060" xr:uid="{0250FCC3-6D9F-4942-BFE0-6A46E75BB630}"/>
    <cellStyle name="40% - Accent3 2 12 3" xfId="1061" xr:uid="{0940E90E-6804-499A-AFA2-2A122EDAA7DE}"/>
    <cellStyle name="40% - Accent3 2 13" xfId="1062" xr:uid="{76ED4741-DA28-48CD-8AF9-177385972F62}"/>
    <cellStyle name="40% - Accent3 2 13 2" xfId="1063" xr:uid="{DCDB7D7B-0A02-4907-8D2A-3FCB9BB4A133}"/>
    <cellStyle name="40% - Accent3 2 13 2 2" xfId="1064" xr:uid="{AADFBEC2-9232-482F-8CB6-5F2431DE3D75}"/>
    <cellStyle name="40% - Accent3 2 13 3" xfId="1065" xr:uid="{69B8D1F4-E208-4F12-9676-8F2A78CBA79A}"/>
    <cellStyle name="40% - Accent3 2 14" xfId="1066" xr:uid="{AFCF1DA8-C81E-482C-A18B-1300765EEBCC}"/>
    <cellStyle name="40% - Accent3 2 15" xfId="1067" xr:uid="{3A7402FC-5B2B-4F15-947C-B773D552CDDE}"/>
    <cellStyle name="40% - Accent3 2 16" xfId="1068" xr:uid="{4EC5E6A0-8A1B-41B2-ACE2-1F8B8E0808FD}"/>
    <cellStyle name="40% - Accent3 2 17" xfId="1069" xr:uid="{0781B17E-57E4-4AE3-9CCD-6E016B9423C7}"/>
    <cellStyle name="40% - Accent3 2 18" xfId="1070" xr:uid="{527856A7-5A6E-4495-AEE1-096521991497}"/>
    <cellStyle name="40% - Accent3 2 19" xfId="1071" xr:uid="{8B631FB2-4ED8-4017-A4B7-0ACB9A8668A5}"/>
    <cellStyle name="40% - Accent3 2 19 2" xfId="1072" xr:uid="{6ADB5F1F-E945-47E3-B2FE-2A3230BFE729}"/>
    <cellStyle name="40% - Accent3 2 2" xfId="1073" xr:uid="{52692E8E-408B-468B-B6C1-D23B057A3927}"/>
    <cellStyle name="40% - Accent3 2 2 2" xfId="1074" xr:uid="{6B9AA611-283B-4BE1-AC25-F00F6D3C4C7D}"/>
    <cellStyle name="40% - Accent3 2 2 3" xfId="1075" xr:uid="{2AA3AEA3-BC98-4731-A984-B5A96529BADA}"/>
    <cellStyle name="40% - Accent3 2 2 4" xfId="1076" xr:uid="{E060F969-CF62-498E-ACBA-CE8A16368D53}"/>
    <cellStyle name="40% - Accent3 2 2 5" xfId="1077" xr:uid="{FBA7EA29-E541-4546-B596-E590651579C2}"/>
    <cellStyle name="40% - Accent3 2 2 6" xfId="1078" xr:uid="{1FC8D57D-B9FD-42E6-9527-C933D8594FA6}"/>
    <cellStyle name="40% - Accent3 2 2 7" xfId="1079" xr:uid="{0067B792-5675-4443-980E-D52BFB47E9D0}"/>
    <cellStyle name="40% - Accent3 2 2 8" xfId="1080" xr:uid="{962BC242-EE97-417E-B56F-F8A51790AFCB}"/>
    <cellStyle name="40% - Accent3 2 2 8 2" xfId="1081" xr:uid="{CDA25DBE-E7EC-48DD-B7B2-2819E70823E2}"/>
    <cellStyle name="40% - Accent3 2 2 9" xfId="1082" xr:uid="{69F27871-DCD9-49AE-AD12-C71581A89112}"/>
    <cellStyle name="40% - Accent3 2 2_EQU" xfId="1083" xr:uid="{36D4CF4A-6FA2-4EC0-B61A-890E049FE457}"/>
    <cellStyle name="40% - Accent3 2 3" xfId="1084" xr:uid="{409168DC-3843-4434-8928-170258950126}"/>
    <cellStyle name="40% - Accent3 2 3 10" xfId="1085" xr:uid="{69F37EF6-8C0D-41C7-9F51-6A43FF443DB5}"/>
    <cellStyle name="40% - Accent3 2 3 11" xfId="1086" xr:uid="{907C5A23-7A67-4C78-9D00-C29201FF3DB4}"/>
    <cellStyle name="40% - Accent3 2 3 12" xfId="1087" xr:uid="{5893AB09-6B98-4C9A-95B9-6CD94ED7C4C7}"/>
    <cellStyle name="40% - Accent3 2 3 13" xfId="1088" xr:uid="{C82A3ED0-0FEE-4C9E-9DC8-B97595B054C7}"/>
    <cellStyle name="40% - Accent3 2 3 14" xfId="1089" xr:uid="{1F04F54F-D796-4D50-BE5B-142EE6F5FF13}"/>
    <cellStyle name="40% - Accent3 2 3 15" xfId="1090" xr:uid="{4E6975E6-65D6-4F26-A5DD-B3EF58B649AD}"/>
    <cellStyle name="40% - Accent3 2 3 16" xfId="1091" xr:uid="{247E8D45-C9FF-441C-8FD7-0FB44DCCD44C}"/>
    <cellStyle name="40% - Accent3 2 3 17" xfId="1092" xr:uid="{6A939134-C34F-4B9A-8B3E-7EA33892A2EF}"/>
    <cellStyle name="40% - Accent3 2 3 18" xfId="1093" xr:uid="{029890D6-B752-4738-837A-37B75AFFA606}"/>
    <cellStyle name="40% - Accent3 2 3 18 2" xfId="1094" xr:uid="{42ADCFA0-804B-411B-AD42-B9BA76A7EBB8}"/>
    <cellStyle name="40% - Accent3 2 3 19" xfId="1095" xr:uid="{B180C0B2-7FE0-4CF1-A2FE-EAA4B489B55F}"/>
    <cellStyle name="40% - Accent3 2 3 2" xfId="1096" xr:uid="{38DBDC92-2BD1-4ED1-AACF-7AD73295E079}"/>
    <cellStyle name="40% - Accent3 2 3 2 10" xfId="1097" xr:uid="{CE5E7B5B-61A1-4E89-8C90-1077229D5FAF}"/>
    <cellStyle name="40% - Accent3 2 3 2 11" xfId="1098" xr:uid="{74164513-A18F-42DC-B4E6-84B6F3873368}"/>
    <cellStyle name="40% - Accent3 2 3 2 12" xfId="1099" xr:uid="{FF960D73-4A1E-4AED-8F16-7953804D9A4E}"/>
    <cellStyle name="40% - Accent3 2 3 2 2" xfId="1100" xr:uid="{BEBE16F4-5AD0-4A5C-98B1-A9E4FDF07135}"/>
    <cellStyle name="40% - Accent3 2 3 2 3" xfId="1101" xr:uid="{49BDA7BE-191A-43AC-A587-C953865861E9}"/>
    <cellStyle name="40% - Accent3 2 3 2 4" xfId="1102" xr:uid="{127EE994-94F4-4E01-B034-5D866A1290BD}"/>
    <cellStyle name="40% - Accent3 2 3 2 5" xfId="1103" xr:uid="{70AFA2A7-FE09-4680-BDD5-3EC821CC7A23}"/>
    <cellStyle name="40% - Accent3 2 3 2 6" xfId="1104" xr:uid="{2FD3C1A5-F78A-4B33-8033-97D5AB4DE353}"/>
    <cellStyle name="40% - Accent3 2 3 2 7" xfId="1105" xr:uid="{34E49FE9-BCED-4DB1-998A-C4B27557ABBF}"/>
    <cellStyle name="40% - Accent3 2 3 2 8" xfId="1106" xr:uid="{F7366648-67DC-4216-8B97-14F627A686D6}"/>
    <cellStyle name="40% - Accent3 2 3 2 9" xfId="1107" xr:uid="{DE6BABB5-5479-4F3F-9658-0F2B9CBE3EE8}"/>
    <cellStyle name="40% - Accent3 2 3 3" xfId="1108" xr:uid="{A83B9FA2-2E52-49A3-839B-5A29D45CF01B}"/>
    <cellStyle name="40% - Accent3 2 3 4" xfId="1109" xr:uid="{A35C73DD-211F-4418-89B7-82E52959D45B}"/>
    <cellStyle name="40% - Accent3 2 3 5" xfId="1110" xr:uid="{57AEE517-D16D-4A3E-9DE0-3ED20F964146}"/>
    <cellStyle name="40% - Accent3 2 3 6" xfId="1111" xr:uid="{2E961F4E-9B6A-463A-9381-472635524BBB}"/>
    <cellStyle name="40% - Accent3 2 3 7" xfId="1112" xr:uid="{B5E9EF12-F6AA-4D7F-9D88-42483225D7D5}"/>
    <cellStyle name="40% - Accent3 2 3 8" xfId="1113" xr:uid="{D976BB79-1252-4644-9C72-162122EDDA32}"/>
    <cellStyle name="40% - Accent3 2 3 9" xfId="1114" xr:uid="{55FC7785-E213-4C91-8735-4A8A1253978C}"/>
    <cellStyle name="40% - Accent3 2 3_Derivatives" xfId="1115" xr:uid="{2FADA8C3-BF89-4211-BEB2-FFAACE1D8C08}"/>
    <cellStyle name="40% - Accent3 2 4" xfId="1116" xr:uid="{477A274E-E96E-4B4D-A047-1DF299CDBC4F}"/>
    <cellStyle name="40% - Accent3 2 4 2" xfId="1117" xr:uid="{FEFD5F7E-BC18-4DBE-9A57-AEDCF1EE3D3B}"/>
    <cellStyle name="40% - Accent3 2 4 2 2" xfId="1118" xr:uid="{1B3D9DDC-7710-4420-B6AE-FA1C6A2460B4}"/>
    <cellStyle name="40% - Accent3 2 4 3" xfId="1119" xr:uid="{E4DDB9CC-6925-4165-AAB2-E71C5DD1ADCC}"/>
    <cellStyle name="40% - Accent3 2 4_EQU" xfId="1120" xr:uid="{7BA8B031-7070-4021-97DF-799E57077C91}"/>
    <cellStyle name="40% - Accent3 2 5" xfId="1121" xr:uid="{486FF658-B96C-47D2-A145-174245518AFC}"/>
    <cellStyle name="40% - Accent3 2 5 2" xfId="1122" xr:uid="{5E71B841-4C09-42F1-8BD8-2652F78085E6}"/>
    <cellStyle name="40% - Accent3 2 5 2 2" xfId="1123" xr:uid="{B4961EB8-6474-45D8-BB1C-A164CD6B9A5E}"/>
    <cellStyle name="40% - Accent3 2 5 3" xfId="1124" xr:uid="{5A181FEB-9440-4295-9420-90DE6BF59C4C}"/>
    <cellStyle name="40% - Accent3 2 5_Derivatives" xfId="1125" xr:uid="{2364EAE5-1176-40EF-8F41-5A37151C68B4}"/>
    <cellStyle name="40% - Accent3 2 6" xfId="1126" xr:uid="{D08FDBDC-277D-48A2-B92B-765AE16AB3A4}"/>
    <cellStyle name="40% - Accent3 2 6 2" xfId="1127" xr:uid="{9AD5B342-790E-4C98-AF08-08E48F561308}"/>
    <cellStyle name="40% - Accent3 2 6 2 2" xfId="1128" xr:uid="{96640F96-7260-4B82-9649-C1312811B0CA}"/>
    <cellStyle name="40% - Accent3 2 6 3" xfId="1129" xr:uid="{A6B08739-0C15-4541-9481-90DF227EAA53}"/>
    <cellStyle name="40% - Accent3 2 6_Derivatives" xfId="1130" xr:uid="{A3D7156B-12F5-4B48-84B1-2E57043C3660}"/>
    <cellStyle name="40% - Accent3 2 7" xfId="1131" xr:uid="{871BE23F-7B42-4E11-BDD2-C723A3A6D84F}"/>
    <cellStyle name="40% - Accent3 2 7 2" xfId="1132" xr:uid="{7D6D742C-E504-46D0-B2AC-FB5C1703E67D}"/>
    <cellStyle name="40% - Accent3 2 7 2 2" xfId="1133" xr:uid="{7D642641-C6BF-4A2C-8700-AD1F40055DA6}"/>
    <cellStyle name="40% - Accent3 2 7 3" xfId="1134" xr:uid="{A3312278-E2A9-41F3-800E-A6B93BB775DE}"/>
    <cellStyle name="40% - Accent3 2 7_Derivatives" xfId="1135" xr:uid="{68A87633-6048-4DBF-B162-BF7894C50E61}"/>
    <cellStyle name="40% - Accent3 2 8" xfId="1136" xr:uid="{60F7485B-7539-4E6A-A7ED-22EF35753BE2}"/>
    <cellStyle name="40% - Accent3 2 8 2" xfId="1137" xr:uid="{D803C422-A5D5-403D-8200-AE4E99B466A2}"/>
    <cellStyle name="40% - Accent3 2 8 2 2" xfId="1138" xr:uid="{2F181324-8BBB-4727-A928-8BEC3069AA95}"/>
    <cellStyle name="40% - Accent3 2 8 3" xfId="1139" xr:uid="{8B88C858-39B4-4008-8AB0-D9BF16BD3E28}"/>
    <cellStyle name="40% - Accent3 2 8_Derivatives" xfId="1140" xr:uid="{BA44EF26-2456-4AAB-B9E6-86ACCBD414AF}"/>
    <cellStyle name="40% - Accent3 2 9" xfId="1141" xr:uid="{21F5B0AA-2693-4B8E-B4D3-CDC7847D563C}"/>
    <cellStyle name="40% - Accent3 2 9 2" xfId="1142" xr:uid="{A760FBFF-90AA-4C32-A0F1-5B474E5FC434}"/>
    <cellStyle name="40% - Accent3 2 9 2 2" xfId="1143" xr:uid="{3A1AF64A-C81A-4773-8F8A-017AA4C8C556}"/>
    <cellStyle name="40% - Accent3 2 9 3" xfId="1144" xr:uid="{5FF1029B-593C-4FA5-BAF2-719A3A640272}"/>
    <cellStyle name="40% - Accent3 2_5130_new" xfId="1145" xr:uid="{9F97994D-5406-4CA3-BD7A-036EFB4882C6}"/>
    <cellStyle name="40% - Accent3 3" xfId="1146" xr:uid="{F0CC2BC6-2072-4D98-93FB-2F1908E919DF}"/>
    <cellStyle name="40% - Accent3 3 10" xfId="1147" xr:uid="{54C35BA6-48F3-4A5D-8B0D-D83772F8B3F0}"/>
    <cellStyle name="40% - Accent3 3 2" xfId="1148" xr:uid="{A925DF90-64BE-4A4C-9803-699060CEE587}"/>
    <cellStyle name="40% - Accent3 3 2 2" xfId="1149" xr:uid="{760189EB-B79B-4461-A7A9-E593606806F2}"/>
    <cellStyle name="40% - Accent3 3 2 2 2" xfId="1150" xr:uid="{AF6F7524-5BBC-48BB-9C23-7421B412C4CE}"/>
    <cellStyle name="40% - Accent3 3 2 3" xfId="1151" xr:uid="{41A5CF65-DE04-4A8C-A94B-0534DF8CF076}"/>
    <cellStyle name="40% - Accent3 3 2_Derivatives" xfId="1152" xr:uid="{9BE5FE4B-89DC-41E9-984D-2B0366D4BBF3}"/>
    <cellStyle name="40% - Accent3 3 3" xfId="1153" xr:uid="{87B0F844-40D8-4BA2-8304-DE6A711E85B9}"/>
    <cellStyle name="40% - Accent3 3 4" xfId="1154" xr:uid="{1EBFB70E-FAE6-4248-8489-A2A3C040D117}"/>
    <cellStyle name="40% - Accent3 3 5" xfId="1155" xr:uid="{A4960CB2-2359-4FD9-8725-2AD1225AE035}"/>
    <cellStyle name="40% - Accent3 3 6" xfId="1156" xr:uid="{9D90F4A4-E9F0-4241-96C2-C9C78ECFC3F4}"/>
    <cellStyle name="40% - Accent3 3 7" xfId="1157" xr:uid="{290CF47F-8F3A-4587-863A-3636E15BFA6C}"/>
    <cellStyle name="40% - Accent3 3 8" xfId="1158" xr:uid="{633101F5-5FF7-46C3-A848-BBBD29EF0D55}"/>
    <cellStyle name="40% - Accent3 3 9" xfId="1159" xr:uid="{5069A605-4343-43FC-A34A-635271FD18B2}"/>
    <cellStyle name="40% - Accent3 3 9 2" xfId="1160" xr:uid="{E4BC609D-CBD5-4B84-9524-04620A153C50}"/>
    <cellStyle name="40% - Accent3 3_EQU" xfId="1161" xr:uid="{CDC8DDA5-A0C6-45BA-BBCF-0CECA11E5078}"/>
    <cellStyle name="40% - Accent3 4" xfId="1162" xr:uid="{0A4E553D-1404-4BF7-B8CA-B28727F7740F}"/>
    <cellStyle name="40% - Accent3 4 10" xfId="1163" xr:uid="{7747F756-7024-4DF4-A8D2-D147A3B1AA4D}"/>
    <cellStyle name="40% - Accent3 4 2" xfId="1164" xr:uid="{B7439A11-BD80-4004-AE8A-A2BD7D9091BC}"/>
    <cellStyle name="40% - Accent3 4 2 2" xfId="1165" xr:uid="{35DB22D2-A841-46E2-8D39-3582B9EC0C6A}"/>
    <cellStyle name="40% - Accent3 4 2 2 2" xfId="1166" xr:uid="{173336B6-5B56-432A-AC68-969DFE58F95C}"/>
    <cellStyle name="40% - Accent3 4 2 3" xfId="1167" xr:uid="{BFEDE0A9-41D2-4839-AE7E-7179482777C9}"/>
    <cellStyle name="40% - Accent3 4 2_EQU" xfId="1168" xr:uid="{7CC80D8A-3B7F-4B91-BC88-460F5CA9EE61}"/>
    <cellStyle name="40% - Accent3 4 3" xfId="1169" xr:uid="{6A7A27CA-DF7A-4B2A-B6A6-E2DE95C1FAAD}"/>
    <cellStyle name="40% - Accent3 4 4" xfId="1170" xr:uid="{C96A6164-912B-4A98-85C2-276F191F9F27}"/>
    <cellStyle name="40% - Accent3 4 5" xfId="1171" xr:uid="{BA5E8FF0-8A0E-486F-BE96-D32E0B196C39}"/>
    <cellStyle name="40% - Accent3 4 6" xfId="1172" xr:uid="{C381F19B-D5FF-46E4-AD77-7827AD5DF047}"/>
    <cellStyle name="40% - Accent3 4 7" xfId="1173" xr:uid="{4C5E839E-D09E-41D9-84A3-C51316D6714D}"/>
    <cellStyle name="40% - Accent3 4 8" xfId="1174" xr:uid="{982FA078-E51C-45B6-A690-C7314E95A0DF}"/>
    <cellStyle name="40% - Accent3 4 9" xfId="1175" xr:uid="{822CF855-9307-45B3-83D5-123946750916}"/>
    <cellStyle name="40% - Accent3 4 9 2" xfId="1176" xr:uid="{3212173D-DE63-4329-BE58-4F8341407D00}"/>
    <cellStyle name="40% - Accent3 4_EQU" xfId="1177" xr:uid="{61401921-A0E3-4D30-8A97-79360F42EC37}"/>
    <cellStyle name="40% - Accent3 5" xfId="1178" xr:uid="{EC8B0315-2483-4E78-898C-703331FDB9E9}"/>
    <cellStyle name="40% - Accent3 5 2" xfId="1179" xr:uid="{D2DF50B7-E69A-49EC-BD8C-6C6014916768}"/>
    <cellStyle name="40% - Accent3 5 2 2" xfId="1180" xr:uid="{806FBC83-90E8-4B53-B587-35534BCFA94B}"/>
    <cellStyle name="40% - Accent3 5 2 2 2" xfId="1181" xr:uid="{97EC511F-97B8-4565-A435-7D700E62C1D9}"/>
    <cellStyle name="40% - Accent3 5 2 3" xfId="1182" xr:uid="{484B5918-05DF-4F04-8CE6-15C0AE5464F3}"/>
    <cellStyle name="40% - Accent3 5 3" xfId="1183" xr:uid="{9D32BBC3-6A5A-4F18-A90D-A126200AB5B9}"/>
    <cellStyle name="40% - Accent3 5 3 2" xfId="1184" xr:uid="{59B0AEAD-EF52-42FE-A4F3-F599AAD731DA}"/>
    <cellStyle name="40% - Accent3 5 4" xfId="1185" xr:uid="{30E4D270-995F-45E3-A417-D0A96D4C9B48}"/>
    <cellStyle name="40% - Accent3 5_Derivatives" xfId="1186" xr:uid="{3C3B9132-4539-4B56-BFCA-C259B84F296A}"/>
    <cellStyle name="40% - Accent3 6" xfId="1187" xr:uid="{160DC5A8-C9E1-487E-A01B-3E79E6EE346E}"/>
    <cellStyle name="40% - Accent3 6 2" xfId="1188" xr:uid="{0AFADA1C-1691-43AC-B4E3-C039611D227B}"/>
    <cellStyle name="40% - Accent3 6 2 2" xfId="1189" xr:uid="{25F43D6C-357D-4077-97F4-CEC1D25F0A89}"/>
    <cellStyle name="40% - Accent3 6 2 2 2" xfId="1190" xr:uid="{74625D4B-4ECD-4121-A74C-7B3D150D47C3}"/>
    <cellStyle name="40% - Accent3 6 2 3" xfId="1191" xr:uid="{63AF23AF-CE6C-42FF-AB8E-6551B8FAACB6}"/>
    <cellStyle name="40% - Accent3 6 3" xfId="1192" xr:uid="{0C8A5EA9-EF69-4C2B-9A27-7876E3F75F02}"/>
    <cellStyle name="40% - Accent3 6 3 2" xfId="1193" xr:uid="{62D66472-311E-485E-B5AF-352FB1387E2E}"/>
    <cellStyle name="40% - Accent3 6 4" xfId="1194" xr:uid="{CA633BC7-FD3F-4803-A402-95715098F718}"/>
    <cellStyle name="40% - Accent3 6_EQU" xfId="1195" xr:uid="{81A0A819-06C9-410C-AE33-1453E5A27797}"/>
    <cellStyle name="40% - Accent3 7" xfId="1196" xr:uid="{31A80322-43A0-4537-8A27-F3B318860071}"/>
    <cellStyle name="40% - Accent3 7 2" xfId="1197" xr:uid="{90170586-5917-4581-A6E4-26B2E60A1D70}"/>
    <cellStyle name="40% - Accent3 7 2 2" xfId="1198" xr:uid="{271B3350-1EC8-4270-B39B-31481B22FC72}"/>
    <cellStyle name="40% - Accent3 7 3" xfId="1199" xr:uid="{8F924058-ABC6-471D-ABE4-BA37C2DFE3CF}"/>
    <cellStyle name="40% - Accent3 7_EQU" xfId="1200" xr:uid="{A472C4B6-5015-49A3-8BA6-C1784C4566C4}"/>
    <cellStyle name="40% - Accent3 8" xfId="1201" xr:uid="{38A47586-72AD-4486-9C71-85F1CD164045}"/>
    <cellStyle name="40% - Accent3 9" xfId="1202" xr:uid="{D59A5565-F076-4FDD-A9F6-2F780FE1CBEE}"/>
    <cellStyle name="40% - Accent4 10" xfId="1203" xr:uid="{C2C9119A-C054-496C-A2FB-19159D22D1EC}"/>
    <cellStyle name="40% - Accent4 11" xfId="1204" xr:uid="{BEAB36E2-B312-4E71-9B46-A3041906FE6F}"/>
    <cellStyle name="40% - Accent4 12" xfId="1205" xr:uid="{A8B06745-3508-4FF7-8037-D07E7CB0E3BC}"/>
    <cellStyle name="40% - Accent4 13" xfId="1206" xr:uid="{F3A79D46-7DC6-4224-BD49-EE8741A35A79}"/>
    <cellStyle name="40% - Accent4 2" xfId="1207" xr:uid="{B71A326E-D9AC-44AD-B3EB-CD811068D07B}"/>
    <cellStyle name="40% - Accent4 2 10" xfId="1208" xr:uid="{A90D7006-72CA-42C0-952A-0D908557AE8C}"/>
    <cellStyle name="40% - Accent4 2 10 2" xfId="1209" xr:uid="{A9A68F66-5157-45F3-BF13-F086C3458F8E}"/>
    <cellStyle name="40% - Accent4 2 10 2 2" xfId="1210" xr:uid="{9EADAE80-19F6-4E35-8C94-5C5A5B5636FB}"/>
    <cellStyle name="40% - Accent4 2 10 3" xfId="1211" xr:uid="{C3E7F8D7-2B1A-4D5B-9622-4A851F481158}"/>
    <cellStyle name="40% - Accent4 2 11" xfId="1212" xr:uid="{299C03FA-2205-4658-A1CC-5F4C422D013D}"/>
    <cellStyle name="40% - Accent4 2 11 2" xfId="1213" xr:uid="{6DCEB3F3-96FB-4BD2-90F0-5F4111E0116F}"/>
    <cellStyle name="40% - Accent4 2 11 2 2" xfId="1214" xr:uid="{827939C4-6A6F-4235-908E-0112F6A6BAA2}"/>
    <cellStyle name="40% - Accent4 2 11 3" xfId="1215" xr:uid="{832A9D9D-A774-4EDD-BBFC-A435B41192A6}"/>
    <cellStyle name="40% - Accent4 2 12" xfId="1216" xr:uid="{6EF968F8-55D6-4857-8323-7E555589505C}"/>
    <cellStyle name="40% - Accent4 2 12 2" xfId="1217" xr:uid="{1DD367BC-D0C0-4D3C-851C-AE5488363879}"/>
    <cellStyle name="40% - Accent4 2 12 2 2" xfId="1218" xr:uid="{935416BE-D4A8-4886-A2DA-3FC40245D494}"/>
    <cellStyle name="40% - Accent4 2 12 3" xfId="1219" xr:uid="{636E9BA3-68B1-4BF8-BDA7-7BB93F7E22AA}"/>
    <cellStyle name="40% - Accent4 2 13" xfId="1220" xr:uid="{4AC24524-21CB-4023-BDF4-A668F241C303}"/>
    <cellStyle name="40% - Accent4 2 13 2" xfId="1221" xr:uid="{9F8447C5-E73D-4ECC-A6DE-81C1123BCE54}"/>
    <cellStyle name="40% - Accent4 2 13 2 2" xfId="1222" xr:uid="{48DBDF1A-E1EA-4C28-9EF7-AC133FC977E5}"/>
    <cellStyle name="40% - Accent4 2 13 3" xfId="1223" xr:uid="{8222325A-D7A4-4C54-85A8-6B5654C7C36A}"/>
    <cellStyle name="40% - Accent4 2 14" xfId="1224" xr:uid="{80D131D5-6517-4BB9-A8D4-2DC7998B57B4}"/>
    <cellStyle name="40% - Accent4 2 15" xfId="1225" xr:uid="{AB265BB3-15F1-4B03-8F48-B24C4E7B84E3}"/>
    <cellStyle name="40% - Accent4 2 16" xfId="1226" xr:uid="{1BEB40E3-8144-4ACC-B8D2-BE93304071C0}"/>
    <cellStyle name="40% - Accent4 2 17" xfId="1227" xr:uid="{CACAD24B-FCEE-49DD-A6CB-C9746C6CDFE8}"/>
    <cellStyle name="40% - Accent4 2 18" xfId="1228" xr:uid="{9A6DFEDE-67C4-4E4A-AC5C-8A9F63B72572}"/>
    <cellStyle name="40% - Accent4 2 19" xfId="1229" xr:uid="{9221C5D3-B81C-4989-B3F7-BCBD137D3755}"/>
    <cellStyle name="40% - Accent4 2 19 2" xfId="1230" xr:uid="{FBA21079-6C75-4DD7-901C-2DF8F5453DF4}"/>
    <cellStyle name="40% - Accent4 2 2" xfId="1231" xr:uid="{83F8D5BA-825A-4FF9-BDD0-77C479E07A30}"/>
    <cellStyle name="40% - Accent4 2 2 2" xfId="1232" xr:uid="{06FEBFA5-0393-4218-AD6A-09F078CFB036}"/>
    <cellStyle name="40% - Accent4 2 2 3" xfId="1233" xr:uid="{4AD8E23D-59C3-45E7-8D5D-B818AA8752BF}"/>
    <cellStyle name="40% - Accent4 2 2 4" xfId="1234" xr:uid="{147ADBBC-629A-4BBD-B168-62BD48785E94}"/>
    <cellStyle name="40% - Accent4 2 2 5" xfId="1235" xr:uid="{56EEA3B0-1AA0-404E-9456-EB1B27B7CBC5}"/>
    <cellStyle name="40% - Accent4 2 2 6" xfId="1236" xr:uid="{5FC2F342-5F83-4B0E-89DA-954ED46E27CB}"/>
    <cellStyle name="40% - Accent4 2 2 7" xfId="1237" xr:uid="{9C593442-23D8-436D-AC6F-BE54C3C2883B}"/>
    <cellStyle name="40% - Accent4 2 2 8" xfId="1238" xr:uid="{9433EC71-CD53-487A-A39C-7D0C14A60255}"/>
    <cellStyle name="40% - Accent4 2 2 8 2" xfId="1239" xr:uid="{BD6559BF-32BD-4D54-B897-F749BE947004}"/>
    <cellStyle name="40% - Accent4 2 2 9" xfId="1240" xr:uid="{7AC6024D-D975-42D4-BFA9-D5E0520B513E}"/>
    <cellStyle name="40% - Accent4 2 2_EQU" xfId="1241" xr:uid="{70491B22-ABDC-4EC7-9C73-E18F82866DA9}"/>
    <cellStyle name="40% - Accent4 2 3" xfId="1242" xr:uid="{8E5289E4-8A38-4653-8F0F-0B05EFB45DA8}"/>
    <cellStyle name="40% - Accent4 2 3 10" xfId="1243" xr:uid="{80D27FA1-B82D-439D-9055-9843F78772FA}"/>
    <cellStyle name="40% - Accent4 2 3 11" xfId="1244" xr:uid="{C3460A4F-AE67-497D-9C07-B49F06AB951A}"/>
    <cellStyle name="40% - Accent4 2 3 12" xfId="1245" xr:uid="{339F2643-FE80-4C61-AF6A-ECC24A96DB07}"/>
    <cellStyle name="40% - Accent4 2 3 13" xfId="1246" xr:uid="{5AD3D0CB-9934-484C-AB79-EBAC69990E66}"/>
    <cellStyle name="40% - Accent4 2 3 13 2" xfId="1247" xr:uid="{AC80A931-7365-44FD-BFB5-5FA0BE1BED04}"/>
    <cellStyle name="40% - Accent4 2 3 14" xfId="1248" xr:uid="{493BA1B7-3103-4D8E-A1A8-B40D954F8B5B}"/>
    <cellStyle name="40% - Accent4 2 3 2" xfId="1249" xr:uid="{8FDA37D5-855C-4105-B5B7-972608DE4CCC}"/>
    <cellStyle name="40% - Accent4 2 3 3" xfId="1250" xr:uid="{F1273E80-26B5-4D8F-A74F-0C375F7898FC}"/>
    <cellStyle name="40% - Accent4 2 3 4" xfId="1251" xr:uid="{0072543A-0C2E-4B4A-9BE0-A09016BA1D73}"/>
    <cellStyle name="40% - Accent4 2 3 5" xfId="1252" xr:uid="{C63A75AB-80B1-4922-ACCD-0EE804C626C6}"/>
    <cellStyle name="40% - Accent4 2 3 6" xfId="1253" xr:uid="{CC42CE5B-8261-42B1-A3E2-B2BE53FFF649}"/>
    <cellStyle name="40% - Accent4 2 3 7" xfId="1254" xr:uid="{76B2E190-9AFC-4DAD-AB7E-E8268B8D47DB}"/>
    <cellStyle name="40% - Accent4 2 3 8" xfId="1255" xr:uid="{1B6335CE-6F6E-4695-AC4A-E13B23870A77}"/>
    <cellStyle name="40% - Accent4 2 3 9" xfId="1256" xr:uid="{737E15C3-CC17-4FC4-BC9A-19D4F1AF6612}"/>
    <cellStyle name="40% - Accent4 2 3_Derivatives" xfId="1257" xr:uid="{9300104C-AF29-4F0E-9FEB-942F0F991E58}"/>
    <cellStyle name="40% - Accent4 2 4" xfId="1258" xr:uid="{9A1C69F0-319A-4EE1-8A1B-F576DD819654}"/>
    <cellStyle name="40% - Accent4 2 4 2" xfId="1259" xr:uid="{1CD9AC94-1E7A-432A-A9D0-8615229A5FC8}"/>
    <cellStyle name="40% - Accent4 2 4 2 2" xfId="1260" xr:uid="{A73E7C1D-FDB4-48A9-B068-3ED5C9772C51}"/>
    <cellStyle name="40% - Accent4 2 4 3" xfId="1261" xr:uid="{FE87DC91-4CD6-4DE9-959F-CB0FC9D5D851}"/>
    <cellStyle name="40% - Accent4 2 4_EQU" xfId="1262" xr:uid="{4442C110-97DE-42BB-89CC-1BD290C85E9B}"/>
    <cellStyle name="40% - Accent4 2 5" xfId="1263" xr:uid="{12567113-0999-47E0-8665-A741217E8FF1}"/>
    <cellStyle name="40% - Accent4 2 5 2" xfId="1264" xr:uid="{4C5AAF98-17BB-456A-BAB7-D767F6D03AC3}"/>
    <cellStyle name="40% - Accent4 2 5 2 2" xfId="1265" xr:uid="{40B5BC67-5412-4CED-A7CF-7EC456A4D0AD}"/>
    <cellStyle name="40% - Accent4 2 5 3" xfId="1266" xr:uid="{BC8B0EC4-001E-44F1-8C24-83A1073FC3C5}"/>
    <cellStyle name="40% - Accent4 2 5_Derivatives" xfId="1267" xr:uid="{C966399B-F97A-411E-8528-D3F704A61CB2}"/>
    <cellStyle name="40% - Accent4 2 6" xfId="1268" xr:uid="{BE98CFCE-BE95-451D-ACA2-7DCCA520831B}"/>
    <cellStyle name="40% - Accent4 2 6 2" xfId="1269" xr:uid="{1BCF616E-C642-4E34-B4EF-302E835BBC29}"/>
    <cellStyle name="40% - Accent4 2 6 2 2" xfId="1270" xr:uid="{D7299E67-97EE-404A-A2CB-387B05E32300}"/>
    <cellStyle name="40% - Accent4 2 6 3" xfId="1271" xr:uid="{2A00381C-3B8A-42D0-9FA8-7D4F7CC3FABC}"/>
    <cellStyle name="40% - Accent4 2 6_Derivatives" xfId="1272" xr:uid="{7E76EA54-D8A4-4456-B610-4D2C37568D57}"/>
    <cellStyle name="40% - Accent4 2 7" xfId="1273" xr:uid="{728465B2-2AF4-464B-B018-3DEA47847236}"/>
    <cellStyle name="40% - Accent4 2 7 2" xfId="1274" xr:uid="{5AB88D87-EFD3-4568-BEFA-A07700D91BB9}"/>
    <cellStyle name="40% - Accent4 2 7 2 2" xfId="1275" xr:uid="{48AECE3E-F627-4301-BCD0-948494DF3F88}"/>
    <cellStyle name="40% - Accent4 2 7 3" xfId="1276" xr:uid="{9681FC61-7830-49DD-A1BD-19E744803249}"/>
    <cellStyle name="40% - Accent4 2 7_Derivatives" xfId="1277" xr:uid="{E8864689-4986-4338-AA75-57F2DB099BFD}"/>
    <cellStyle name="40% - Accent4 2 8" xfId="1278" xr:uid="{6A7AF7EA-B285-45AD-9779-095EBEF307C4}"/>
    <cellStyle name="40% - Accent4 2 8 2" xfId="1279" xr:uid="{47892EA1-F852-43E8-9547-0D3B72D9F2A9}"/>
    <cellStyle name="40% - Accent4 2 8 2 2" xfId="1280" xr:uid="{6187889D-B23F-4046-BFE5-8BC1AE1F6D73}"/>
    <cellStyle name="40% - Accent4 2 8 3" xfId="1281" xr:uid="{F30F4064-3E55-4C8A-91A7-D97C8B937C20}"/>
    <cellStyle name="40% - Accent4 2 8_Derivatives" xfId="1282" xr:uid="{7C860E61-484E-4C9C-8704-82AF746F9D57}"/>
    <cellStyle name="40% - Accent4 2 9" xfId="1283" xr:uid="{DDB4C752-30D8-4B8C-B0B1-85AA8BF3582D}"/>
    <cellStyle name="40% - Accent4 2 9 2" xfId="1284" xr:uid="{1E8C8932-1C89-4CBF-B714-AA62D0B84B08}"/>
    <cellStyle name="40% - Accent4 2 9 2 2" xfId="1285" xr:uid="{69525644-FF5B-4C0B-B8CF-CDFCA5684070}"/>
    <cellStyle name="40% - Accent4 2 9 3" xfId="1286" xr:uid="{60D9E599-5A9F-439D-BA06-12C7F328F868}"/>
    <cellStyle name="40% - Accent4 2_5130_new" xfId="1287" xr:uid="{2E8D1ED2-FA78-4ADE-900D-1BD63B527EAE}"/>
    <cellStyle name="40% - Accent4 3" xfId="1288" xr:uid="{3A1D1D67-F826-4A2A-B508-A93D331EF80D}"/>
    <cellStyle name="40% - Accent4 3 10" xfId="1289" xr:uid="{A28B823A-40D4-476F-BD7E-44B2BBA2F9F5}"/>
    <cellStyle name="40% - Accent4 3 2" xfId="1290" xr:uid="{412CA7A9-7BE6-4AC4-817D-A7CB6EB65DF9}"/>
    <cellStyle name="40% - Accent4 3 2 2" xfId="1291" xr:uid="{86C75100-D9F5-477D-8FF9-DD08619F35D7}"/>
    <cellStyle name="40% - Accent4 3 2 2 2" xfId="1292" xr:uid="{6D3F2F94-F2D3-48AE-93EE-8BFA95E3BE3C}"/>
    <cellStyle name="40% - Accent4 3 2 3" xfId="1293" xr:uid="{23AFA8B5-631C-4A4A-A550-7AD6EF9D1930}"/>
    <cellStyle name="40% - Accent4 3 2_Derivatives" xfId="1294" xr:uid="{B27B4AEA-114F-4FB6-BEA1-08AE124D6CC1}"/>
    <cellStyle name="40% - Accent4 3 3" xfId="1295" xr:uid="{E84C0740-2087-49A0-84B6-B3B4F5800A4C}"/>
    <cellStyle name="40% - Accent4 3 4" xfId="1296" xr:uid="{DD73AC09-71B7-4BBC-BB49-EB6FE97744F7}"/>
    <cellStyle name="40% - Accent4 3 5" xfId="1297" xr:uid="{E29D88A4-AE2F-4602-B445-6700DA5D6410}"/>
    <cellStyle name="40% - Accent4 3 6" xfId="1298" xr:uid="{6A50AC1E-8763-4680-976F-966E9861B132}"/>
    <cellStyle name="40% - Accent4 3 7" xfId="1299" xr:uid="{0FA49B99-4AAE-44DA-8429-39D0EDD1833E}"/>
    <cellStyle name="40% - Accent4 3 8" xfId="1300" xr:uid="{D2B4F769-45B7-490E-A7D7-6C580E83CAD1}"/>
    <cellStyle name="40% - Accent4 3 9" xfId="1301" xr:uid="{6C767357-E161-495F-97EC-607AAA18328B}"/>
    <cellStyle name="40% - Accent4 3 9 2" xfId="1302" xr:uid="{5CB01CF3-90E9-480A-A5E3-2F50C5586225}"/>
    <cellStyle name="40% - Accent4 3_EQU" xfId="1303" xr:uid="{2F156916-80C7-4AB8-B385-94F84D890D13}"/>
    <cellStyle name="40% - Accent4 4" xfId="1304" xr:uid="{9165ADA3-1B00-4194-AEFC-9AFF7EA8F53E}"/>
    <cellStyle name="40% - Accent4 4 10" xfId="1305" xr:uid="{CF7801C7-7CAC-4063-91A4-8112E6E0285E}"/>
    <cellStyle name="40% - Accent4 4 2" xfId="1306" xr:uid="{6DA6658F-AD07-4CD8-80FD-003D15D9E726}"/>
    <cellStyle name="40% - Accent4 4 2 2" xfId="1307" xr:uid="{D6670BA7-5543-4A94-9905-942C2628118B}"/>
    <cellStyle name="40% - Accent4 4 2 2 2" xfId="1308" xr:uid="{418197A9-67C7-4919-966B-0E40E41F77CA}"/>
    <cellStyle name="40% - Accent4 4 2 3" xfId="1309" xr:uid="{C7BF23EF-0BF7-44E9-B703-3C341A1E603D}"/>
    <cellStyle name="40% - Accent4 4 2_EQU" xfId="1310" xr:uid="{E3EC1BFC-55FF-48E0-BB78-2DBE2372C7C1}"/>
    <cellStyle name="40% - Accent4 4 3" xfId="1311" xr:uid="{89C2C0AE-C7B4-470D-B521-3F0154EAAD44}"/>
    <cellStyle name="40% - Accent4 4 4" xfId="1312" xr:uid="{15BFBBCE-1F8C-413A-A367-59CF1F4B51A7}"/>
    <cellStyle name="40% - Accent4 4 5" xfId="1313" xr:uid="{363F1B33-334E-459D-A9EB-F596D5D53897}"/>
    <cellStyle name="40% - Accent4 4 6" xfId="1314" xr:uid="{693AB4D8-357F-4252-9F25-27440C165B73}"/>
    <cellStyle name="40% - Accent4 4 7" xfId="1315" xr:uid="{AE243220-91A2-4AFA-80B7-F80EFD2B7351}"/>
    <cellStyle name="40% - Accent4 4 8" xfId="1316" xr:uid="{734E16D0-ECF5-4ED0-B72A-6E8A7AE54AD1}"/>
    <cellStyle name="40% - Accent4 4 9" xfId="1317" xr:uid="{10F42F74-8766-4A04-BFF5-E5E49FA597C6}"/>
    <cellStyle name="40% - Accent4 4 9 2" xfId="1318" xr:uid="{5C604CDC-0E75-45CB-BEC6-8C5BEB5055FD}"/>
    <cellStyle name="40% - Accent4 4_EQU" xfId="1319" xr:uid="{C3B5643E-AA4E-4FB4-B9B4-096EA4594AC0}"/>
    <cellStyle name="40% - Accent4 5" xfId="1320" xr:uid="{B21079F9-7755-4CA7-90D9-A93277C6844F}"/>
    <cellStyle name="40% - Accent4 5 2" xfId="1321" xr:uid="{487FDA4E-EC2F-477C-92DF-02CDDBC46311}"/>
    <cellStyle name="40% - Accent4 5 2 2" xfId="1322" xr:uid="{DC06C457-D28A-41F5-92CF-D15273EC3A44}"/>
    <cellStyle name="40% - Accent4 5 2 2 2" xfId="1323" xr:uid="{25EC76F4-9D62-4C87-8F2C-76870D1B8F21}"/>
    <cellStyle name="40% - Accent4 5 2 3" xfId="1324" xr:uid="{3FEB6579-CD94-47CB-A03C-8164347BD63E}"/>
    <cellStyle name="40% - Accent4 5 3" xfId="1325" xr:uid="{61150076-50AD-40F4-94A7-4FE476EB08F9}"/>
    <cellStyle name="40% - Accent4 5 3 2" xfId="1326" xr:uid="{BC626E85-6C33-45F2-864E-3E30F1F04B0D}"/>
    <cellStyle name="40% - Accent4 5 4" xfId="1327" xr:uid="{A280D1B5-0C8A-4C12-A9BB-5C8D92B7C525}"/>
    <cellStyle name="40% - Accent4 5_Derivatives" xfId="1328" xr:uid="{CA745AF5-C2CB-4531-B091-04CF9A8405C5}"/>
    <cellStyle name="40% - Accent4 6" xfId="1329" xr:uid="{94DF3842-2DBF-45C5-A065-79275CF4DC0D}"/>
    <cellStyle name="40% - Accent4 6 2" xfId="1330" xr:uid="{DC79F329-983F-4EF8-ADC1-9522328D7576}"/>
    <cellStyle name="40% - Accent4 6 2 2" xfId="1331" xr:uid="{7579FC79-5399-4B1F-8051-2B4817C82545}"/>
    <cellStyle name="40% - Accent4 6 2 2 2" xfId="1332" xr:uid="{A1C036EA-E9B8-4ECC-BB9E-72C7EF3D53B1}"/>
    <cellStyle name="40% - Accent4 6 2 3" xfId="1333" xr:uid="{C244FBBC-3126-4D55-B8A3-502FDCCDCC85}"/>
    <cellStyle name="40% - Accent4 6 3" xfId="1334" xr:uid="{963CE68B-9456-47DC-86B2-E4BABAF63C8A}"/>
    <cellStyle name="40% - Accent4 6 3 2" xfId="1335" xr:uid="{A69CC801-220D-4AED-B83C-BFD3CDD2BB24}"/>
    <cellStyle name="40% - Accent4 6 4" xfId="1336" xr:uid="{423E697B-0649-4796-8ABD-B41F50512BF5}"/>
    <cellStyle name="40% - Accent4 6_EQU" xfId="1337" xr:uid="{752DCC47-1F1E-4B41-9325-B7383BC2E955}"/>
    <cellStyle name="40% - Accent4 7" xfId="1338" xr:uid="{2D584872-4F86-4AE9-A406-973EE91408B7}"/>
    <cellStyle name="40% - Accent4 7 2" xfId="1339" xr:uid="{ABFE5870-8B96-4ED9-A175-B412E6A72189}"/>
    <cellStyle name="40% - Accent4 7 2 2" xfId="1340" xr:uid="{93D84967-2E6A-4309-B4F0-06E19E98181D}"/>
    <cellStyle name="40% - Accent4 7 3" xfId="1341" xr:uid="{B30EEA0D-6447-4075-95B2-98724F72F689}"/>
    <cellStyle name="40% - Accent4 7_EQU" xfId="1342" xr:uid="{756F977F-AF70-480F-BE1A-46A04DC59A8C}"/>
    <cellStyle name="40% - Accent4 8" xfId="1343" xr:uid="{E7CCD677-BB34-4E89-B2B5-93687AE33113}"/>
    <cellStyle name="40% - Accent4 9" xfId="1344" xr:uid="{A06AD568-98EF-4E06-AC31-C3B340EE7683}"/>
    <cellStyle name="40% - Accent5 10" xfId="1345" xr:uid="{35AAEDB2-B7B9-4B76-A832-47CB59A971EB}"/>
    <cellStyle name="40% - Accent5 11" xfId="1346" xr:uid="{6D44DA17-49FE-4678-BDDA-D806139B95E6}"/>
    <cellStyle name="40% - Accent5 12" xfId="1347" xr:uid="{280CD143-3A94-4C21-982F-32CA1C0D645B}"/>
    <cellStyle name="40% - Accent5 13" xfId="1348" xr:uid="{BCBBFD29-FBFA-48FE-9DA3-19971E31FDA7}"/>
    <cellStyle name="40% - Accent5 2" xfId="1349" xr:uid="{15122571-F55E-409E-A718-958BE9689DC1}"/>
    <cellStyle name="40% - Accent5 2 10" xfId="1350" xr:uid="{5420AB69-AF54-4E88-9CA5-7B51D0628282}"/>
    <cellStyle name="40% - Accent5 2 11" xfId="1351" xr:uid="{9DAFB1AA-522C-41AB-9A77-879411774CD1}"/>
    <cellStyle name="40% - Accent5 2 12" xfId="1352" xr:uid="{EAD9D8A3-19DC-4633-B503-F0F4A71E71AC}"/>
    <cellStyle name="40% - Accent5 2 13" xfId="1353" xr:uid="{2412CA1A-538C-4B7D-9D5D-4D08AC31B795}"/>
    <cellStyle name="40% - Accent5 2 14" xfId="1354" xr:uid="{7E517A8F-05D0-467E-AF76-AB59EBB0EC9C}"/>
    <cellStyle name="40% - Accent5 2 15" xfId="1355" xr:uid="{2A7C3E46-3E3E-4D58-A6F5-205B4E7C4A24}"/>
    <cellStyle name="40% - Accent5 2 16" xfId="1356" xr:uid="{F3822D80-F75D-49B9-925C-B5E3B3C83A84}"/>
    <cellStyle name="40% - Accent5 2 17" xfId="1357" xr:uid="{8CCB7F53-45C5-4366-9A98-5D6C8F4A9993}"/>
    <cellStyle name="40% - Accent5 2 18" xfId="1358" xr:uid="{DEA627B7-964E-4FA4-9C45-8E0B6D67A0D3}"/>
    <cellStyle name="40% - Accent5 2 2" xfId="1359" xr:uid="{D1555D2B-0D29-46CD-83F3-4FDE42325407}"/>
    <cellStyle name="40% - Accent5 2 2 2" xfId="1360" xr:uid="{13CBFE34-4746-4559-9898-0147FA5873C7}"/>
    <cellStyle name="40% - Accent5 2 2 3" xfId="1361" xr:uid="{2E9DFEF1-6992-4CAB-AD0F-CA7156898AA6}"/>
    <cellStyle name="40% - Accent5 2 2 4" xfId="1362" xr:uid="{6D037A49-AE3C-45A8-82B9-236DF67B5B4D}"/>
    <cellStyle name="40% - Accent5 2 2 5" xfId="1363" xr:uid="{988E4904-DF5C-4997-82AC-2272FFFEDB75}"/>
    <cellStyle name="40% - Accent5 2 2 6" xfId="1364" xr:uid="{552759BB-BC97-4401-BE26-8C22E99DB072}"/>
    <cellStyle name="40% - Accent5 2 2 7" xfId="1365" xr:uid="{48B6DD99-05BC-4153-9598-B09DC97D5A00}"/>
    <cellStyle name="40% - Accent5 2 2 8" xfId="1366" xr:uid="{84C6447F-6E59-477D-BD0F-4DB1244A3BB6}"/>
    <cellStyle name="40% - Accent5 2 2_EQU" xfId="1367" xr:uid="{BE038B10-6E09-4B13-AE2B-96842498B7A5}"/>
    <cellStyle name="40% - Accent5 2 3" xfId="1368" xr:uid="{F83EDA7C-57D4-4377-89C8-E1D948595524}"/>
    <cellStyle name="40% - Accent5 2 3 10" xfId="1369" xr:uid="{32727738-312A-4023-8664-FE9FF86A954A}"/>
    <cellStyle name="40% - Accent5 2 3 11" xfId="1370" xr:uid="{FDD978FF-6BD3-40CD-A27D-7A15E936BC60}"/>
    <cellStyle name="40% - Accent5 2 3 12" xfId="1371" xr:uid="{21117559-5BBB-4CC4-A829-EDF166BA70A4}"/>
    <cellStyle name="40% - Accent5 2 3 13" xfId="1372" xr:uid="{30CA640F-7880-4F4E-89D2-7D867DBDF445}"/>
    <cellStyle name="40% - Accent5 2 3 14" xfId="1373" xr:uid="{E7318B2C-60DB-45D3-9739-4C0260F73175}"/>
    <cellStyle name="40% - Accent5 2 3 15" xfId="1374" xr:uid="{C00B7E6C-1EB9-4099-9181-0162B114D6BC}"/>
    <cellStyle name="40% - Accent5 2 3 16" xfId="1375" xr:uid="{0E7CDA5C-5F42-4E76-A63E-5C562886E098}"/>
    <cellStyle name="40% - Accent5 2 3 17" xfId="1376" xr:uid="{E4B89705-6345-4612-B4F4-2A6A471246A3}"/>
    <cellStyle name="40% - Accent5 2 3 18" xfId="1377" xr:uid="{CCC285DA-1A82-4C2C-B817-A0B167FCA587}"/>
    <cellStyle name="40% - Accent5 2 3 2" xfId="1378" xr:uid="{BD7066BC-B8CE-415A-93BF-79977C13A9A0}"/>
    <cellStyle name="40% - Accent5 2 3 2 10" xfId="1379" xr:uid="{86A07818-E06B-478E-B8DC-A5EF5D53A0A1}"/>
    <cellStyle name="40% - Accent5 2 3 2 11" xfId="1380" xr:uid="{7DA22731-0D5F-4C52-B6F5-5F3033E311C5}"/>
    <cellStyle name="40% - Accent5 2 3 2 12" xfId="1381" xr:uid="{B8056FA8-9E2C-4280-91DC-F76A5BE10D8D}"/>
    <cellStyle name="40% - Accent5 2 3 2 2" xfId="1382" xr:uid="{DE6EF113-659F-4208-A1BC-CA522DE014A6}"/>
    <cellStyle name="40% - Accent5 2 3 2 3" xfId="1383" xr:uid="{DE84C426-D304-4792-9485-F27DE551F761}"/>
    <cellStyle name="40% - Accent5 2 3 2 4" xfId="1384" xr:uid="{6B77A6E9-12DC-4BB2-A7B7-74A055F634B7}"/>
    <cellStyle name="40% - Accent5 2 3 2 5" xfId="1385" xr:uid="{615B4E2D-F63D-4F41-8C30-63A77561B60E}"/>
    <cellStyle name="40% - Accent5 2 3 2 6" xfId="1386" xr:uid="{72847414-9D5D-4154-B934-01B9E6B25807}"/>
    <cellStyle name="40% - Accent5 2 3 2 7" xfId="1387" xr:uid="{126D7931-B33E-4B3A-B5A8-23371C272C40}"/>
    <cellStyle name="40% - Accent5 2 3 2 8" xfId="1388" xr:uid="{6F92D8D2-DC20-460F-852D-27FA9D3E2386}"/>
    <cellStyle name="40% - Accent5 2 3 2 9" xfId="1389" xr:uid="{6428BF11-0DBB-41B0-AEC8-C734F825D14F}"/>
    <cellStyle name="40% - Accent5 2 3 3" xfId="1390" xr:uid="{C234AB5D-B948-4116-85DF-2C6293AF71F9}"/>
    <cellStyle name="40% - Accent5 2 3 4" xfId="1391" xr:uid="{C2232E28-4F6B-4FF4-ADCD-A7D5B69AA185}"/>
    <cellStyle name="40% - Accent5 2 3 5" xfId="1392" xr:uid="{2044FE14-C39F-4B10-BBDA-496ACB97C773}"/>
    <cellStyle name="40% - Accent5 2 3 6" xfId="1393" xr:uid="{42E5C9D6-63CD-4A7B-BBE5-740B3183B1A9}"/>
    <cellStyle name="40% - Accent5 2 3 7" xfId="1394" xr:uid="{B7A1CF77-297C-4C89-BD0C-38E0D662CEFF}"/>
    <cellStyle name="40% - Accent5 2 3 8" xfId="1395" xr:uid="{27BAE9D7-1C5E-4B02-BE55-B6B5E3900C8B}"/>
    <cellStyle name="40% - Accent5 2 3 9" xfId="1396" xr:uid="{E0B88F55-202E-444C-8A55-6EE1061570FE}"/>
    <cellStyle name="40% - Accent5 2 3_Derivatives" xfId="1397" xr:uid="{82ED0DD5-CAD7-4863-9638-740D2EE84503}"/>
    <cellStyle name="40% - Accent5 2 4" xfId="1398" xr:uid="{17FDA869-8C8F-4BE9-A96A-5C836F73964B}"/>
    <cellStyle name="40% - Accent5 2 5" xfId="1399" xr:uid="{E7C472B4-3E6E-480F-97E3-B75456E5DFBE}"/>
    <cellStyle name="40% - Accent5 2 6" xfId="1400" xr:uid="{0A269227-4B1A-43EA-9834-E8B37C111732}"/>
    <cellStyle name="40% - Accent5 2 7" xfId="1401" xr:uid="{7B49526B-99AD-40AD-8062-4DBB3DC8C022}"/>
    <cellStyle name="40% - Accent5 2 8" xfId="1402" xr:uid="{1008FD0D-5C3C-481A-A3E7-3D1B17960832}"/>
    <cellStyle name="40% - Accent5 2 9" xfId="1403" xr:uid="{78C0E25B-FFC2-4D8B-A932-9054C17B4A7B}"/>
    <cellStyle name="40% - Accent5 2_5130_new" xfId="1404" xr:uid="{1203E17E-7A7E-40C0-A813-75AD5A11E724}"/>
    <cellStyle name="40% - Accent5 3" xfId="1405" xr:uid="{1ADC56C4-E32A-4E34-818C-36AB59AFC1D2}"/>
    <cellStyle name="40% - Accent5 3 2" xfId="1406" xr:uid="{BE1CA442-DF56-4F7E-97F3-14BE5B78B2B2}"/>
    <cellStyle name="40% - Accent5 3 3" xfId="1407" xr:uid="{5B6536B0-B6C9-4641-9FBE-836595904CE5}"/>
    <cellStyle name="40% - Accent5 3 4" xfId="1408" xr:uid="{E8295B80-34B7-4345-8964-9FCBC152FCC6}"/>
    <cellStyle name="40% - Accent5 3 5" xfId="1409" xr:uid="{BEC9C913-88A4-4C06-A130-B27A19A21951}"/>
    <cellStyle name="40% - Accent5 3 6" xfId="1410" xr:uid="{9338F76C-7D07-4B48-A56B-E6CEFDA09610}"/>
    <cellStyle name="40% - Accent5 3 7" xfId="1411" xr:uid="{6C2B97AB-0978-42EB-A5D9-450BB2B2DB7D}"/>
    <cellStyle name="40% - Accent5 3 8" xfId="1412" xr:uid="{B8110F21-F202-4C25-BE69-FE023FF92F7E}"/>
    <cellStyle name="40% - Accent5 3 9" xfId="1413" xr:uid="{BA95D273-8EED-4938-8A62-DBC987965DC1}"/>
    <cellStyle name="40% - Accent5 3_EQU" xfId="1414" xr:uid="{3FF56524-CDA1-4A50-9EE4-A0BFBD3F6BF8}"/>
    <cellStyle name="40% - Accent5 4" xfId="1415" xr:uid="{856DDDB7-DAEB-4E80-A487-63DEE5C8CE44}"/>
    <cellStyle name="40% - Accent5 4 2" xfId="1416" xr:uid="{1C2F0DCE-98FC-4BAD-B5A7-CD00A6E51F96}"/>
    <cellStyle name="40% - Accent5 4 3" xfId="1417" xr:uid="{DFC7FE42-0D08-44BF-B452-1312D90D2EDD}"/>
    <cellStyle name="40% - Accent5 4 4" xfId="1418" xr:uid="{AF0CB642-4CB0-486A-ADA4-7D61C1CAD80C}"/>
    <cellStyle name="40% - Accent5 4 5" xfId="1419" xr:uid="{A8252E0D-731D-4440-930C-17F4A1463695}"/>
    <cellStyle name="40% - Accent5 4 6" xfId="1420" xr:uid="{F83D9DDF-BC6A-43A0-BBD5-1AF23E5C6170}"/>
    <cellStyle name="40% - Accent5 4 7" xfId="1421" xr:uid="{BE0AE35B-341D-466D-853B-21894D887BDE}"/>
    <cellStyle name="40% - Accent5 4 8" xfId="1422" xr:uid="{440D8F42-29C8-4DC7-A457-38EC81DF0CCA}"/>
    <cellStyle name="40% - Accent5 4 9" xfId="1423" xr:uid="{658C203D-37BF-4129-A52C-8D113638A070}"/>
    <cellStyle name="40% - Accent5 4_EQU" xfId="1424" xr:uid="{2970A990-C046-4D67-9C81-CA9F1895062A}"/>
    <cellStyle name="40% - Accent5 5" xfId="1425" xr:uid="{B1AB7EE2-8E9D-4663-9631-BA265FB41967}"/>
    <cellStyle name="40% - Accent5 5 2" xfId="1426" xr:uid="{798305C2-305D-4580-AA8C-3222CE0A2EEE}"/>
    <cellStyle name="40% - Accent5 5_EQU" xfId="1427" xr:uid="{274A9A48-D52A-4614-89EB-EA08EA76C9B9}"/>
    <cellStyle name="40% - Accent5 6" xfId="1428" xr:uid="{11B7BFAC-F4D9-4D43-BCFE-C2C885F03669}"/>
    <cellStyle name="40% - Accent5 6 2" xfId="1429" xr:uid="{C91E3A16-B4DF-4279-989D-0A3CA10FC66E}"/>
    <cellStyle name="40% - Accent5 6_EQU" xfId="1430" xr:uid="{BEBD516B-8534-4C62-94F7-64A5DA41E955}"/>
    <cellStyle name="40% - Accent5 7" xfId="1431" xr:uid="{F00DF63D-3703-4E1D-B0B2-BF323E9EA2E7}"/>
    <cellStyle name="40% - Accent5 8" xfId="1432" xr:uid="{170FB891-435A-4A5C-BD6C-79E6AEC7866E}"/>
    <cellStyle name="40% - Accent5 9" xfId="1433" xr:uid="{24B6ACC8-7709-455F-9820-39108A420585}"/>
    <cellStyle name="40% - Accent6 10" xfId="1434" xr:uid="{7E455D91-1C1D-427D-AAF6-88F4B831E5B6}"/>
    <cellStyle name="40% - Accent6 11" xfId="1435" xr:uid="{3DCDDD8B-8114-4EB9-9B6B-7514027B9659}"/>
    <cellStyle name="40% - Accent6 12" xfId="1436" xr:uid="{BF686446-768E-4B19-8043-0F0A59B8E888}"/>
    <cellStyle name="40% - Accent6 13" xfId="1437" xr:uid="{BDBC3FE0-C053-4FA4-A6B0-689710D47FA0}"/>
    <cellStyle name="40% - Accent6 2" xfId="1438" xr:uid="{CCC657F5-6B2F-4096-B07F-752F17256ED4}"/>
    <cellStyle name="40% - Accent6 2 10" xfId="1439" xr:uid="{C43793F6-4EA8-4527-AFB5-B3446E13404E}"/>
    <cellStyle name="40% - Accent6 2 10 2" xfId="1440" xr:uid="{42A68B5C-70D4-47BD-82BE-E7E5D46FDB77}"/>
    <cellStyle name="40% - Accent6 2 10 2 2" xfId="1441" xr:uid="{9CCD2A09-5802-4C24-8551-3476679A29F7}"/>
    <cellStyle name="40% - Accent6 2 10 3" xfId="1442" xr:uid="{4E7C9810-35ED-4894-AC1C-8560CBD82DF7}"/>
    <cellStyle name="40% - Accent6 2 11" xfId="1443" xr:uid="{382D486F-DF80-4D8E-9923-9F2085E48DD7}"/>
    <cellStyle name="40% - Accent6 2 11 2" xfId="1444" xr:uid="{BC08E366-739A-4754-A0A1-21F46A5F0972}"/>
    <cellStyle name="40% - Accent6 2 11 2 2" xfId="1445" xr:uid="{4B35F6FD-4147-4BB6-B461-86B1B79194D9}"/>
    <cellStyle name="40% - Accent6 2 11 3" xfId="1446" xr:uid="{848AB1D9-50C2-47C8-8A0F-582A2B6B1DDE}"/>
    <cellStyle name="40% - Accent6 2 12" xfId="1447" xr:uid="{26CAB32B-6707-4C5C-A537-D55B65DD543F}"/>
    <cellStyle name="40% - Accent6 2 12 2" xfId="1448" xr:uid="{766F1784-A228-4E59-B2C5-2035509872DE}"/>
    <cellStyle name="40% - Accent6 2 12 2 2" xfId="1449" xr:uid="{1560ED4B-7307-4B75-9F77-1FFE65490ED3}"/>
    <cellStyle name="40% - Accent6 2 12 3" xfId="1450" xr:uid="{59A23448-63E3-4541-BB58-EB6BD3752CBA}"/>
    <cellStyle name="40% - Accent6 2 13" xfId="1451" xr:uid="{573FA7D8-2DEC-4AF0-B619-353D66923402}"/>
    <cellStyle name="40% - Accent6 2 13 2" xfId="1452" xr:uid="{9F494F03-7DF4-49D5-94F3-ADDA5DCA72EB}"/>
    <cellStyle name="40% - Accent6 2 13 2 2" xfId="1453" xr:uid="{FDDA3719-EDD1-482E-AC78-0FE301718957}"/>
    <cellStyle name="40% - Accent6 2 13 3" xfId="1454" xr:uid="{5AFE0A6D-000E-4D22-B7C9-1D7FCB9F8B97}"/>
    <cellStyle name="40% - Accent6 2 14" xfId="1455" xr:uid="{E23D15DD-146E-4A67-A67D-A37B1478F258}"/>
    <cellStyle name="40% - Accent6 2 15" xfId="1456" xr:uid="{0FFB06AB-0A96-4E31-A229-62FD20EA022C}"/>
    <cellStyle name="40% - Accent6 2 16" xfId="1457" xr:uid="{6830239E-A0F0-468F-A125-A1DB2A47C904}"/>
    <cellStyle name="40% - Accent6 2 17" xfId="1458" xr:uid="{DB9D1B1F-59E6-4C89-9AB8-9CC8F3E9A472}"/>
    <cellStyle name="40% - Accent6 2 18" xfId="1459" xr:uid="{FA953A24-31C1-4BE7-A060-E90A10A4E5FD}"/>
    <cellStyle name="40% - Accent6 2 19" xfId="1460" xr:uid="{4104C52B-F39D-4381-A218-08E69ECFFCCC}"/>
    <cellStyle name="40% - Accent6 2 19 2" xfId="1461" xr:uid="{61767F25-0B71-4E82-840A-2C2FEF1BD7BC}"/>
    <cellStyle name="40% - Accent6 2 2" xfId="1462" xr:uid="{2BED52D0-EC0B-4290-9F3C-5A71DC21D67C}"/>
    <cellStyle name="40% - Accent6 2 2 2" xfId="1463" xr:uid="{ACAD10A6-E994-4B8F-AAB5-10D84B393534}"/>
    <cellStyle name="40% - Accent6 2 2 3" xfId="1464" xr:uid="{65FB451B-9D59-4ED7-AF9C-64DEABB48983}"/>
    <cellStyle name="40% - Accent6 2 2 4" xfId="1465" xr:uid="{41829F4E-1B5C-4A4B-B540-A149FF4A7970}"/>
    <cellStyle name="40% - Accent6 2 2 5" xfId="1466" xr:uid="{7E89E715-5073-4083-839F-B5A23D293135}"/>
    <cellStyle name="40% - Accent6 2 2 6" xfId="1467" xr:uid="{80342C77-0684-4C15-9BB1-0DB78BCE5986}"/>
    <cellStyle name="40% - Accent6 2 2 7" xfId="1468" xr:uid="{9C7A7BCA-E6F6-4FA7-AB4E-AFCCD5C0E346}"/>
    <cellStyle name="40% - Accent6 2 2 8" xfId="1469" xr:uid="{E7CCDF91-84E9-4F43-B234-C1C30DB4EFA4}"/>
    <cellStyle name="40% - Accent6 2 2 8 2" xfId="1470" xr:uid="{5BB6D193-3829-4461-8B3D-67DA4F8C528A}"/>
    <cellStyle name="40% - Accent6 2 2 9" xfId="1471" xr:uid="{5B476B79-8535-4CBA-B937-1A63509A0A4F}"/>
    <cellStyle name="40% - Accent6 2 2_EQU" xfId="1472" xr:uid="{3EBA5554-335F-4AAD-8961-628AC656AA71}"/>
    <cellStyle name="40% - Accent6 2 3" xfId="1473" xr:uid="{F1AFF94F-9A47-4FEA-8893-FD001D296F7C}"/>
    <cellStyle name="40% - Accent6 2 3 10" xfId="1474" xr:uid="{F2B0A8CB-0026-4359-BC02-928369A2DE36}"/>
    <cellStyle name="40% - Accent6 2 3 11" xfId="1475" xr:uid="{2173D3A7-F9F7-4A2D-9A93-ED6316F8F8EF}"/>
    <cellStyle name="40% - Accent6 2 3 12" xfId="1476" xr:uid="{C9CF1ED4-3118-496D-84DF-87B089B68EB2}"/>
    <cellStyle name="40% - Accent6 2 3 13" xfId="1477" xr:uid="{75220921-C563-459A-8E71-249825255F09}"/>
    <cellStyle name="40% - Accent6 2 3 13 2" xfId="1478" xr:uid="{BF0B3F14-A8E2-4587-BE96-7FAD106D2BE6}"/>
    <cellStyle name="40% - Accent6 2 3 14" xfId="1479" xr:uid="{F1ED0DDB-F7EF-4795-ADEB-1991F51DE1F3}"/>
    <cellStyle name="40% - Accent6 2 3 2" xfId="1480" xr:uid="{245A850F-1B54-4E43-B205-DC8258A9A955}"/>
    <cellStyle name="40% - Accent6 2 3 3" xfId="1481" xr:uid="{A95FE86B-95EB-4E34-828E-3609CF13B462}"/>
    <cellStyle name="40% - Accent6 2 3 4" xfId="1482" xr:uid="{707326E9-DF4F-402C-953D-798128B1C73D}"/>
    <cellStyle name="40% - Accent6 2 3 5" xfId="1483" xr:uid="{DE43B803-8BA4-4FB2-AF4C-DA90A42C5218}"/>
    <cellStyle name="40% - Accent6 2 3 6" xfId="1484" xr:uid="{402CC284-AB29-4CC6-B1FA-2533CE2B12CB}"/>
    <cellStyle name="40% - Accent6 2 3 7" xfId="1485" xr:uid="{8CD876FC-400C-48BA-8046-91F37CAEB75C}"/>
    <cellStyle name="40% - Accent6 2 3 8" xfId="1486" xr:uid="{F3D4F390-6401-49E4-B2C9-4BC25F3D03D2}"/>
    <cellStyle name="40% - Accent6 2 3 9" xfId="1487" xr:uid="{A14F89F6-9C54-4265-BF25-3CF4344E3882}"/>
    <cellStyle name="40% - Accent6 2 3_Derivatives" xfId="1488" xr:uid="{0DEFEF4A-40C6-4193-84D7-3AC5659F80B2}"/>
    <cellStyle name="40% - Accent6 2 4" xfId="1489" xr:uid="{DAA7FCA9-749E-4CB1-B295-FFFCB8B71EC2}"/>
    <cellStyle name="40% - Accent6 2 4 2" xfId="1490" xr:uid="{59DCECEB-F830-4EA5-8E3A-C51E078B90B0}"/>
    <cellStyle name="40% - Accent6 2 4 2 2" xfId="1491" xr:uid="{B9BEF945-26B7-48DF-8D71-5A2CEDF34136}"/>
    <cellStyle name="40% - Accent6 2 4 3" xfId="1492" xr:uid="{228383FB-4D4F-4711-9396-3BFDD12E575D}"/>
    <cellStyle name="40% - Accent6 2 4_EQU" xfId="1493" xr:uid="{2A7D458B-5864-4864-85F9-FC4CDFD388B6}"/>
    <cellStyle name="40% - Accent6 2 5" xfId="1494" xr:uid="{43F37F9A-B716-458A-99FB-CE111DF48944}"/>
    <cellStyle name="40% - Accent6 2 5 2" xfId="1495" xr:uid="{E0DA5D85-ABB5-4ED5-ABE4-AAF66AA89CDC}"/>
    <cellStyle name="40% - Accent6 2 5 2 2" xfId="1496" xr:uid="{42631AE3-A45E-4D76-9010-07019C378815}"/>
    <cellStyle name="40% - Accent6 2 5 3" xfId="1497" xr:uid="{E463FF67-E9AD-41F8-BDE9-39C937A91403}"/>
    <cellStyle name="40% - Accent6 2 5_Derivatives" xfId="1498" xr:uid="{0E0FD68A-5AF4-4BD2-8A66-0DE104E3D0BA}"/>
    <cellStyle name="40% - Accent6 2 6" xfId="1499" xr:uid="{67012800-D921-43ED-8420-5F40A4F12A73}"/>
    <cellStyle name="40% - Accent6 2 6 2" xfId="1500" xr:uid="{6023BDE0-891C-44D5-9EF5-676C65C2F572}"/>
    <cellStyle name="40% - Accent6 2 6 2 2" xfId="1501" xr:uid="{6080C4EC-6B81-46C1-8414-F6BE7BCF19F5}"/>
    <cellStyle name="40% - Accent6 2 6 3" xfId="1502" xr:uid="{583809EC-C72E-49D2-A188-9C96CB0B095B}"/>
    <cellStyle name="40% - Accent6 2 6_Derivatives" xfId="1503" xr:uid="{AC1C668B-B9FB-4782-A2A4-7BCD0FCC7A2A}"/>
    <cellStyle name="40% - Accent6 2 7" xfId="1504" xr:uid="{1EEF2285-E5B7-43E3-85CD-930E4B197A2E}"/>
    <cellStyle name="40% - Accent6 2 7 2" xfId="1505" xr:uid="{2A3EE414-FD6F-4DB4-9DC2-6BEEA727C8A4}"/>
    <cellStyle name="40% - Accent6 2 7 2 2" xfId="1506" xr:uid="{C8B83F84-0E78-47A4-AE9B-7D25A1C80677}"/>
    <cellStyle name="40% - Accent6 2 7 3" xfId="1507" xr:uid="{CF26D7F9-FEF0-447A-B935-1C8A1BFB8C8B}"/>
    <cellStyle name="40% - Accent6 2 7_Derivatives" xfId="1508" xr:uid="{947E9EC6-E4F1-4F2C-8FAC-E0AA666BA672}"/>
    <cellStyle name="40% - Accent6 2 8" xfId="1509" xr:uid="{91DAAA74-77B6-4D95-9E25-47CCC6257F0B}"/>
    <cellStyle name="40% - Accent6 2 8 2" xfId="1510" xr:uid="{B5A45DDB-28E9-4E41-996F-61905C5B774F}"/>
    <cellStyle name="40% - Accent6 2 8 2 2" xfId="1511" xr:uid="{319E8BC7-6F3F-460B-A075-ADED8CAA1441}"/>
    <cellStyle name="40% - Accent6 2 8 3" xfId="1512" xr:uid="{89401738-4236-497D-B98E-5DBA7FD976EE}"/>
    <cellStyle name="40% - Accent6 2 8_Derivatives" xfId="1513" xr:uid="{19949387-838C-45B9-B471-C2960DAE6A35}"/>
    <cellStyle name="40% - Accent6 2 9" xfId="1514" xr:uid="{D957149F-AFBE-4A50-BF07-8269B3FE20D9}"/>
    <cellStyle name="40% - Accent6 2 9 2" xfId="1515" xr:uid="{10F8CF58-4A19-4C9C-BCF4-9142848BCB62}"/>
    <cellStyle name="40% - Accent6 2 9 2 2" xfId="1516" xr:uid="{0B324505-244D-42AF-8148-44F401F8BEA8}"/>
    <cellStyle name="40% - Accent6 2 9 3" xfId="1517" xr:uid="{BA3EC955-2379-40BD-9F23-7DB2617D4329}"/>
    <cellStyle name="40% - Accent6 2_5130_new" xfId="1518" xr:uid="{BA25FB49-54ED-4A0D-982E-48959EE2CC49}"/>
    <cellStyle name="40% - Accent6 3" xfId="1519" xr:uid="{4EC328F0-8BCB-4B72-9D07-9248A777DCA0}"/>
    <cellStyle name="40% - Accent6 3 10" xfId="1520" xr:uid="{FCB356C2-F7DE-4973-97D7-C255C29E3D57}"/>
    <cellStyle name="40% - Accent6 3 2" xfId="1521" xr:uid="{34142D44-8904-4D56-AEB3-A1EE4FF5A43E}"/>
    <cellStyle name="40% - Accent6 3 2 2" xfId="1522" xr:uid="{332F6BED-CADD-44C8-AD8C-8124F96764AA}"/>
    <cellStyle name="40% - Accent6 3 2 2 2" xfId="1523" xr:uid="{5714D80B-311C-4843-83CD-CF98BD65EC5C}"/>
    <cellStyle name="40% - Accent6 3 2 3" xfId="1524" xr:uid="{E671454C-E222-4C05-A435-821EF90DF3F9}"/>
    <cellStyle name="40% - Accent6 3 2_Derivatives" xfId="1525" xr:uid="{F787C807-F1D8-40B2-AE68-57CB3DD7233E}"/>
    <cellStyle name="40% - Accent6 3 3" xfId="1526" xr:uid="{72583795-42A6-4024-98E3-519BD307CAB3}"/>
    <cellStyle name="40% - Accent6 3 4" xfId="1527" xr:uid="{529C196B-5A22-47CF-B173-C5F5FC0DDDC4}"/>
    <cellStyle name="40% - Accent6 3 5" xfId="1528" xr:uid="{E950666D-1DBA-4C0E-8C34-0A89C9951027}"/>
    <cellStyle name="40% - Accent6 3 6" xfId="1529" xr:uid="{D3DB4A23-4DF4-4D06-A9B6-0B0B4A5082A4}"/>
    <cellStyle name="40% - Accent6 3 7" xfId="1530" xr:uid="{0ABA2C39-C785-43D6-BBBA-EE7E2A1F8C15}"/>
    <cellStyle name="40% - Accent6 3 8" xfId="1531" xr:uid="{18F71368-0DD1-49F4-84EB-2177B1BF13BC}"/>
    <cellStyle name="40% - Accent6 3 9" xfId="1532" xr:uid="{65D661A8-9881-4D73-A9A0-084DF8E2D61A}"/>
    <cellStyle name="40% - Accent6 3 9 2" xfId="1533" xr:uid="{2AB6F140-7E50-4C73-BC58-EA36AB1ABB5C}"/>
    <cellStyle name="40% - Accent6 3_EQU" xfId="1534" xr:uid="{DA0912DB-ED1A-45D5-9AB9-4F092976E60B}"/>
    <cellStyle name="40% - Accent6 4" xfId="1535" xr:uid="{5F693A0A-8328-40B5-8A4A-9AC4A3E57E9D}"/>
    <cellStyle name="40% - Accent6 4 10" xfId="1536" xr:uid="{B565C49C-A19F-4112-821F-D32F7E1C4A43}"/>
    <cellStyle name="40% - Accent6 4 2" xfId="1537" xr:uid="{F91DE703-E51A-4E9C-982F-10F022993B8C}"/>
    <cellStyle name="40% - Accent6 4 2 2" xfId="1538" xr:uid="{95318E7E-47C3-4CDE-9716-93D22FC37D61}"/>
    <cellStyle name="40% - Accent6 4 2 2 2" xfId="1539" xr:uid="{3805F144-CF91-412E-915D-5D0E9171D7FB}"/>
    <cellStyle name="40% - Accent6 4 2 3" xfId="1540" xr:uid="{75ACDC8B-A9C2-41F1-92FA-A5C4D9154A13}"/>
    <cellStyle name="40% - Accent6 4 2_EQU" xfId="1541" xr:uid="{E5C00E06-65AF-4D88-B113-46C5D438B21F}"/>
    <cellStyle name="40% - Accent6 4 3" xfId="1542" xr:uid="{ADB7A86A-4CBB-4C4C-BEE2-1293DD35CD9B}"/>
    <cellStyle name="40% - Accent6 4 4" xfId="1543" xr:uid="{C9830728-98F5-408E-9C83-1286BBD21DC1}"/>
    <cellStyle name="40% - Accent6 4 5" xfId="1544" xr:uid="{3322E244-B063-4D44-A4E6-F9F6EAD0631A}"/>
    <cellStyle name="40% - Accent6 4 6" xfId="1545" xr:uid="{3F73EFB4-FAD3-4C81-AE77-DBEE79ADD79D}"/>
    <cellStyle name="40% - Accent6 4 7" xfId="1546" xr:uid="{49760777-1F1F-42FB-8732-21072FCC71F2}"/>
    <cellStyle name="40% - Accent6 4 8" xfId="1547" xr:uid="{01DAD455-28BD-4D08-9388-1AF364F2E85B}"/>
    <cellStyle name="40% - Accent6 4 9" xfId="1548" xr:uid="{E58FDBD0-064D-419C-A1A7-773B24447248}"/>
    <cellStyle name="40% - Accent6 4 9 2" xfId="1549" xr:uid="{6D4A5141-573B-4E61-8FB8-CC08442270F8}"/>
    <cellStyle name="40% - Accent6 4_EQU" xfId="1550" xr:uid="{92016290-40CF-46C3-BAB4-02D685D1A63F}"/>
    <cellStyle name="40% - Accent6 5" xfId="1551" xr:uid="{3AFDA615-9F73-4163-B066-7DC90F4DE039}"/>
    <cellStyle name="40% - Accent6 5 2" xfId="1552" xr:uid="{E49BE376-E0B5-4EEA-A3FE-8BD480B2AA17}"/>
    <cellStyle name="40% - Accent6 5 2 2" xfId="1553" xr:uid="{7E9D180B-1538-4BEB-8299-6978B9E477EC}"/>
    <cellStyle name="40% - Accent6 5 2 2 2" xfId="1554" xr:uid="{AC7A3E53-A3A0-4D58-9172-38CDF8A17A34}"/>
    <cellStyle name="40% - Accent6 5 2 3" xfId="1555" xr:uid="{3FBC733F-6D56-4C30-B8BA-BB0C94A76AE6}"/>
    <cellStyle name="40% - Accent6 5 3" xfId="1556" xr:uid="{38CFE7D8-5134-42C7-A22D-8947B241CFEA}"/>
    <cellStyle name="40% - Accent6 5 3 2" xfId="1557" xr:uid="{AE0102A4-F4EA-4CDD-AE6C-549BF0E07BAC}"/>
    <cellStyle name="40% - Accent6 5 4" xfId="1558" xr:uid="{E1C783FC-67B8-4434-8DCF-C10DC8C4E883}"/>
    <cellStyle name="40% - Accent6 5_Derivatives" xfId="1559" xr:uid="{9CA30182-B6CC-47F3-BE4B-5193559C1EFF}"/>
    <cellStyle name="40% - Accent6 6" xfId="1560" xr:uid="{778FE609-1995-4B27-911D-510BEA201980}"/>
    <cellStyle name="40% - Accent6 6 2" xfId="1561" xr:uid="{A9E5BB9A-C9A9-4B96-A96A-F412EDC3CB94}"/>
    <cellStyle name="40% - Accent6 6 2 2" xfId="1562" xr:uid="{8E055708-8418-47E4-891A-529B16A2EFEC}"/>
    <cellStyle name="40% - Accent6 6 2 2 2" xfId="1563" xr:uid="{C72EECA5-4E96-49A0-B8E5-643A8F97EAD9}"/>
    <cellStyle name="40% - Accent6 6 2 3" xfId="1564" xr:uid="{337612E3-09FC-430F-90A4-A328179374A2}"/>
    <cellStyle name="40% - Accent6 6 3" xfId="1565" xr:uid="{CC368412-8896-4471-A6CB-6EA9DBD499DE}"/>
    <cellStyle name="40% - Accent6 6 3 2" xfId="1566" xr:uid="{3533442E-5A13-4C4C-A4E2-60A99F9BC053}"/>
    <cellStyle name="40% - Accent6 6 4" xfId="1567" xr:uid="{439F59F6-2BCD-4B34-BADB-ABAC3BCAB116}"/>
    <cellStyle name="40% - Accent6 6_EQU" xfId="1568" xr:uid="{17BC93E3-36AB-42F9-9BC2-466D8D962E28}"/>
    <cellStyle name="40% - Accent6 7" xfId="1569" xr:uid="{291A93B8-B31F-430F-8553-A632E31BCB9A}"/>
    <cellStyle name="40% - Accent6 7 2" xfId="1570" xr:uid="{BE402AC6-DF2B-4175-AD2E-791820AD9FDC}"/>
    <cellStyle name="40% - Accent6 7 2 2" xfId="1571" xr:uid="{F2DD935F-6E45-49FE-9195-FFDD02D283B2}"/>
    <cellStyle name="40% - Accent6 7 3" xfId="1572" xr:uid="{9D1DA8B3-C6FF-40AD-968D-5939D0866DF6}"/>
    <cellStyle name="40% - Accent6 7_EQU" xfId="1573" xr:uid="{39DA96C1-A7C9-4F8F-81E5-C96D8D7728D3}"/>
    <cellStyle name="40% - Accent6 8" xfId="1574" xr:uid="{CD90D5F2-737B-4AD2-B602-91F56D12FAE0}"/>
    <cellStyle name="40% - Accent6 9" xfId="1575" xr:uid="{12D81FE2-4993-40A5-B0CD-5C983E7DFA27}"/>
    <cellStyle name="60 % - Accent1" xfId="1576" xr:uid="{AE26DE82-9FD8-43F4-8602-3DBD43FDA4BD}"/>
    <cellStyle name="60 % - Accent2" xfId="1577" xr:uid="{9DE52C23-32BC-4D91-AB7C-872C57DDF5EC}"/>
    <cellStyle name="60 % - Accent3" xfId="1578" xr:uid="{5A30302F-CF7A-48F3-A5B7-0F054AB68B0E}"/>
    <cellStyle name="60 % - Accent4" xfId="1579" xr:uid="{681CC4E4-BC8E-42CA-A4DD-95FAE1D0B9F3}"/>
    <cellStyle name="60 % - Accent5" xfId="1580" xr:uid="{CAEB6F7D-92F8-46F4-AE14-C7DA3CC20C22}"/>
    <cellStyle name="60 % - Accent6" xfId="1581" xr:uid="{6F38EA4F-3A45-43A1-90CB-09124C407929}"/>
    <cellStyle name="60% - Accent1 10" xfId="1582" xr:uid="{59515353-D372-4DBA-9D6B-76AF161E14B5}"/>
    <cellStyle name="60% - Accent1 11" xfId="1583" xr:uid="{D15E06F3-BF00-450B-83C1-CFAF22AEC738}"/>
    <cellStyle name="60% - Accent1 12" xfId="1584" xr:uid="{99122B16-D313-43F3-8B98-F130B0A27066}"/>
    <cellStyle name="60% - Accent1 13" xfId="1585" xr:uid="{E96005F7-BC17-4A58-8D42-9E4F369084D3}"/>
    <cellStyle name="60% - Accent1 2" xfId="1586" xr:uid="{93E99556-FE43-4532-AB49-1631AFB74800}"/>
    <cellStyle name="60% - Accent1 2 10" xfId="1587" xr:uid="{1C00AE86-C38D-494E-A7F0-5DD4C84E5CE0}"/>
    <cellStyle name="60% - Accent1 2 11" xfId="1588" xr:uid="{D29DD024-0510-4AD4-BE8D-E7D3F7A25813}"/>
    <cellStyle name="60% - Accent1 2 12" xfId="1589" xr:uid="{0388DBA9-45BB-41A8-BB52-41778F0EEC3D}"/>
    <cellStyle name="60% - Accent1 2 13" xfId="1590" xr:uid="{85C603E9-4BDD-4E64-AD1A-49E0607849F9}"/>
    <cellStyle name="60% - Accent1 2 14" xfId="1591" xr:uid="{957CE83D-48B3-4712-AC2E-440AF0FA7167}"/>
    <cellStyle name="60% - Accent1 2 15" xfId="1592" xr:uid="{73EB509B-B914-41ED-9E17-DF7918DE619A}"/>
    <cellStyle name="60% - Accent1 2 16" xfId="1593" xr:uid="{C520D084-3150-4057-9754-59F206D72A62}"/>
    <cellStyle name="60% - Accent1 2 17" xfId="1594" xr:uid="{A0C4FD34-BEEB-42B7-BF01-E6A92AC6DFEC}"/>
    <cellStyle name="60% - Accent1 2 18" xfId="1595" xr:uid="{CEC735F9-CC0A-41DE-9B2E-1E2A151A96EA}"/>
    <cellStyle name="60% - Accent1 2 2" xfId="1596" xr:uid="{37681AB2-F625-42F6-8C79-47F0BD7D8451}"/>
    <cellStyle name="60% - Accent1 2 2 10" xfId="1597" xr:uid="{8FEDD94D-F107-42E7-9686-0B6E5B86536E}"/>
    <cellStyle name="60% - Accent1 2 2 11" xfId="1598" xr:uid="{46DA6EC2-A18C-4730-BB9E-4D493EB5FC7B}"/>
    <cellStyle name="60% - Accent1 2 2 12" xfId="1599" xr:uid="{D44B3244-261A-4F89-9CFB-69A1519FBC2D}"/>
    <cellStyle name="60% - Accent1 2 2 13" xfId="1600" xr:uid="{219B1AFF-CC8A-4B60-BF81-1856A4B773CC}"/>
    <cellStyle name="60% - Accent1 2 2 14" xfId="1601" xr:uid="{AB0CB0B8-8301-4FD1-8A09-61AA2BC89353}"/>
    <cellStyle name="60% - Accent1 2 2 15" xfId="1602" xr:uid="{2EBB3016-3220-4C47-AD09-FFA3CFCCC0B9}"/>
    <cellStyle name="60% - Accent1 2 2 16" xfId="1603" xr:uid="{D2812D63-FCE7-4305-A805-69A86489339D}"/>
    <cellStyle name="60% - Accent1 2 2 17" xfId="1604" xr:uid="{53535394-57CF-422A-8C6A-F9326C592BB1}"/>
    <cellStyle name="60% - Accent1 2 2 18" xfId="1605" xr:uid="{2741EA00-DD6D-4D56-8A54-6E9BEF32BFE5}"/>
    <cellStyle name="60% - Accent1 2 2 2" xfId="1606" xr:uid="{2F5E4A75-0563-4304-84D2-CE0884D9E085}"/>
    <cellStyle name="60% - Accent1 2 2 3" xfId="1607" xr:uid="{77DE08B7-4112-4FAE-A8C6-29AF273DEE8F}"/>
    <cellStyle name="60% - Accent1 2 2 4" xfId="1608" xr:uid="{D6976C7D-1261-401E-8EC4-491D6F210622}"/>
    <cellStyle name="60% - Accent1 2 2 5" xfId="1609" xr:uid="{4B2E4474-90A4-4E3B-8892-D05FD3D6D6A0}"/>
    <cellStyle name="60% - Accent1 2 2 6" xfId="1610" xr:uid="{E5A64CED-4FA1-4250-93D2-89BCB37225D0}"/>
    <cellStyle name="60% - Accent1 2 2 7" xfId="1611" xr:uid="{2F0644A7-59B2-475B-ACCA-CF79867DC247}"/>
    <cellStyle name="60% - Accent1 2 2 8" xfId="1612" xr:uid="{B485B734-D56A-4E3C-AF41-143429ED50CC}"/>
    <cellStyle name="60% - Accent1 2 2 9" xfId="1613" xr:uid="{D1B446C5-4E75-4CDA-A5B0-71D42E421FD8}"/>
    <cellStyle name="60% - Accent1 2 2_EQU" xfId="1614" xr:uid="{D564FDCD-1A34-4941-95CD-E8517109859D}"/>
    <cellStyle name="60% - Accent1 2 3" xfId="1615" xr:uid="{05011210-CC46-457B-B5A4-E2C4E1C428B6}"/>
    <cellStyle name="60% - Accent1 2 4" xfId="1616" xr:uid="{05E19B19-C7B0-4A04-8513-4DB0AF9A5997}"/>
    <cellStyle name="60% - Accent1 2 5" xfId="1617" xr:uid="{9314C7CA-393B-4FDB-911C-38B4EC5FA5E4}"/>
    <cellStyle name="60% - Accent1 2 6" xfId="1618" xr:uid="{8FBA4267-8EFF-4416-B7AA-6FB4542D78C6}"/>
    <cellStyle name="60% - Accent1 2 7" xfId="1619" xr:uid="{829EABB0-6DF0-445B-88EB-71059996CE22}"/>
    <cellStyle name="60% - Accent1 2 8" xfId="1620" xr:uid="{0287D39C-9339-430B-9C43-5BF04CC8F121}"/>
    <cellStyle name="60% - Accent1 2 9" xfId="1621" xr:uid="{102416CA-8C94-4E02-A558-4E90D16FD4A8}"/>
    <cellStyle name="60% - Accent1 2_5130_new" xfId="1622" xr:uid="{F99C2E32-934B-45DF-A1A3-5BF7E87AA1BF}"/>
    <cellStyle name="60% - Accent1 3" xfId="1623" xr:uid="{4C96C858-6DFB-49C3-842D-DA541A22A408}"/>
    <cellStyle name="60% - Accent1 3 2" xfId="1624" xr:uid="{4518B54E-652F-4D50-AD16-4CF4A5BA2BA1}"/>
    <cellStyle name="60% - Accent1 3 3" xfId="1625" xr:uid="{916B0F02-834E-4132-862A-302F091905C1}"/>
    <cellStyle name="60% - Accent1 3 4" xfId="1626" xr:uid="{B0A734E8-AE40-4AEC-B6AD-288B91448B84}"/>
    <cellStyle name="60% - Accent1 3_EQU" xfId="1627" xr:uid="{EDCFA0EE-2538-47DE-9F2B-0B4CA8A5747E}"/>
    <cellStyle name="60% - Accent1 4" xfId="1628" xr:uid="{41946789-0C6A-4B08-B616-D3DD0B5BCE16}"/>
    <cellStyle name="60% - Accent1 4 2" xfId="1629" xr:uid="{CDDF7232-A35B-4BD9-B525-0BE2E1B782CF}"/>
    <cellStyle name="60% - Accent1 4_EQU" xfId="1630" xr:uid="{2B6EB473-7D38-4C7D-AAC0-05624C142DE3}"/>
    <cellStyle name="60% - Accent1 5" xfId="1631" xr:uid="{A352BB36-9E44-438B-9BF9-D413E57B0D22}"/>
    <cellStyle name="60% - Accent1 6" xfId="1632" xr:uid="{832FA9B8-2651-477B-849A-15B0B375B45C}"/>
    <cellStyle name="60% - Accent1 7" xfId="1633" xr:uid="{9792A8FB-9FE0-4D42-B04F-8A8D1A1525E3}"/>
    <cellStyle name="60% - Accent1 8" xfId="1634" xr:uid="{82C9339F-7B47-41C3-95B2-876FEBA74F5D}"/>
    <cellStyle name="60% - Accent1 9" xfId="1635" xr:uid="{FAD0711B-47D5-489A-B19C-533FE87064CC}"/>
    <cellStyle name="60% - Accent2 10" xfId="1636" xr:uid="{E43752A5-6F48-4434-A019-E4F5CFF5520F}"/>
    <cellStyle name="60% - Accent2 11" xfId="1637" xr:uid="{1E6F1E80-0FBF-4669-8A19-944DB899C5C9}"/>
    <cellStyle name="60% - Accent2 12" xfId="1638" xr:uid="{7E9049E3-5BA8-4089-B99A-399DA75B497E}"/>
    <cellStyle name="60% - Accent2 13" xfId="1639" xr:uid="{F05BF3B7-33B0-4367-959A-CFF5D56DC0E6}"/>
    <cellStyle name="60% - Accent2 2" xfId="1640" xr:uid="{0B411275-03F9-4C52-9820-4D1FE8D96DEB}"/>
    <cellStyle name="60% - Accent2 2 10" xfId="1641" xr:uid="{66709CF0-0DDA-42B8-8773-8A1EA824FD4A}"/>
    <cellStyle name="60% - Accent2 2 11" xfId="1642" xr:uid="{D632C334-7280-4B24-BF93-AE7B9337DC69}"/>
    <cellStyle name="60% - Accent2 2 12" xfId="1643" xr:uid="{F19BCCD5-446F-4688-8602-B372239DFF7D}"/>
    <cellStyle name="60% - Accent2 2 13" xfId="1644" xr:uid="{7B312080-286B-4482-82D2-DF86728A475C}"/>
    <cellStyle name="60% - Accent2 2 14" xfId="1645" xr:uid="{EFDD02A4-5910-4DB2-9E5E-049AAE35A843}"/>
    <cellStyle name="60% - Accent2 2 15" xfId="1646" xr:uid="{D045DAF8-BA5D-4E64-BF72-A4BD2D77D359}"/>
    <cellStyle name="60% - Accent2 2 16" xfId="1647" xr:uid="{544835AF-1CEE-4187-B443-737469DF5EB7}"/>
    <cellStyle name="60% - Accent2 2 17" xfId="1648" xr:uid="{55D6BE19-E4BF-4F24-BA33-56D311F57262}"/>
    <cellStyle name="60% - Accent2 2 18" xfId="1649" xr:uid="{FA6A5A25-CF90-438F-8CE5-05DB628D9FDB}"/>
    <cellStyle name="60% - Accent2 2 2" xfId="1650" xr:uid="{9867F8B0-8FB5-48B7-A6FA-E1648B634C03}"/>
    <cellStyle name="60% - Accent2 2 2 10" xfId="1651" xr:uid="{6630A418-7460-4A50-8E20-694A18B1AB28}"/>
    <cellStyle name="60% - Accent2 2 2 11" xfId="1652" xr:uid="{4F16F028-8132-444E-9D8A-944BDC268ADC}"/>
    <cellStyle name="60% - Accent2 2 2 12" xfId="1653" xr:uid="{37F445C0-B883-4D17-B503-6E61F6CD70F8}"/>
    <cellStyle name="60% - Accent2 2 2 13" xfId="1654" xr:uid="{5F8DF5B2-3D42-49EE-8A32-D7E721F0163D}"/>
    <cellStyle name="60% - Accent2 2 2 14" xfId="1655" xr:uid="{3FE3D52C-7525-4110-8413-794C123A893E}"/>
    <cellStyle name="60% - Accent2 2 2 15" xfId="1656" xr:uid="{84E950D5-594F-48EA-9C1E-906B8C2AD04A}"/>
    <cellStyle name="60% - Accent2 2 2 16" xfId="1657" xr:uid="{20A82DB4-28EB-4C56-BCC3-1903F8D253CF}"/>
    <cellStyle name="60% - Accent2 2 2 17" xfId="1658" xr:uid="{AB4724F9-2AD7-4F3C-B144-BF139575A4FE}"/>
    <cellStyle name="60% - Accent2 2 2 18" xfId="1659" xr:uid="{01E3C650-6139-4CB5-8326-917374960EF7}"/>
    <cellStyle name="60% - Accent2 2 2 2" xfId="1660" xr:uid="{FEA6B89D-53FF-40DB-83F7-CB168999B5E6}"/>
    <cellStyle name="60% - Accent2 2 2 3" xfId="1661" xr:uid="{7A0E0874-3F3F-4531-B3D7-EAA49369F62D}"/>
    <cellStyle name="60% - Accent2 2 2 4" xfId="1662" xr:uid="{E73DF944-6431-4076-964F-9E2AD55BC043}"/>
    <cellStyle name="60% - Accent2 2 2 5" xfId="1663" xr:uid="{A5B765B3-C38D-4293-A5F4-1194E7273C16}"/>
    <cellStyle name="60% - Accent2 2 2 6" xfId="1664" xr:uid="{2FBEBE32-0DBC-4720-A87C-871B74243AA9}"/>
    <cellStyle name="60% - Accent2 2 2 7" xfId="1665" xr:uid="{8DC6E53E-C1B6-4B81-99E9-DF1D8806C629}"/>
    <cellStyle name="60% - Accent2 2 2 8" xfId="1666" xr:uid="{4D38220B-2FF2-4019-B7BA-CEEEED7264BE}"/>
    <cellStyle name="60% - Accent2 2 2 9" xfId="1667" xr:uid="{A46F9BCF-845E-4D1A-8ABD-8D5C3C7EF27F}"/>
    <cellStyle name="60% - Accent2 2 2_Equity reconciliation 2013-03" xfId="1668" xr:uid="{4E589BCD-D469-4E44-975A-163251C12173}"/>
    <cellStyle name="60% - Accent2 2 3" xfId="1669" xr:uid="{1C1384F6-8AA4-4009-BC78-23F0EB3A6860}"/>
    <cellStyle name="60% - Accent2 2 4" xfId="1670" xr:uid="{852F93FA-C756-4C8F-9AFE-E33DED057605}"/>
    <cellStyle name="60% - Accent2 2 5" xfId="1671" xr:uid="{C8CD635B-26EB-4FB7-9235-D564769A7C86}"/>
    <cellStyle name="60% - Accent2 2 6" xfId="1672" xr:uid="{10E95C6C-401B-4739-B570-1E736567EAF9}"/>
    <cellStyle name="60% - Accent2 2 7" xfId="1673" xr:uid="{8B585E49-2FEA-43BC-B39A-F1E64A726EED}"/>
    <cellStyle name="60% - Accent2 2 8" xfId="1674" xr:uid="{F79B1719-93A7-4FE1-900D-D5AEE64F5FD2}"/>
    <cellStyle name="60% - Accent2 2 9" xfId="1675" xr:uid="{6CF5B33D-C730-4588-9FB1-E0647D19A49A}"/>
    <cellStyle name="60% - Accent2 2_5130_new" xfId="1676" xr:uid="{69F31106-21D3-4872-9A7E-42D11E330558}"/>
    <cellStyle name="60% - Accent2 3" xfId="1677" xr:uid="{95FE50F9-A0C9-4839-9AF1-7A0D7C688984}"/>
    <cellStyle name="60% - Accent2 3 2" xfId="1678" xr:uid="{4192FE46-13C8-46E1-B8FF-E78485D1D5C2}"/>
    <cellStyle name="60% - Accent2 3_EQU" xfId="1679" xr:uid="{F877532E-D875-4B5A-8126-D8812815849F}"/>
    <cellStyle name="60% - Accent2 4" xfId="1680" xr:uid="{FC72527A-7030-4B9C-945E-83D02E2B5484}"/>
    <cellStyle name="60% - Accent2 4 2" xfId="1681" xr:uid="{0C0EB99D-38C1-4E7B-B73D-3DE45A3A822C}"/>
    <cellStyle name="60% - Accent2 4_EQU" xfId="1682" xr:uid="{9F721FF6-637A-42FF-957F-B6E4E9F22F6D}"/>
    <cellStyle name="60% - Accent2 5" xfId="1683" xr:uid="{DDA7C089-9D77-4061-8837-FA6D6FB88D47}"/>
    <cellStyle name="60% - Accent2 6" xfId="1684" xr:uid="{C660C5B3-C3E9-4810-A8D3-B66D111F17C5}"/>
    <cellStyle name="60% - Accent2 7" xfId="1685" xr:uid="{584A8C8B-8D12-4F05-B593-F717D6F20005}"/>
    <cellStyle name="60% - Accent2 8" xfId="1686" xr:uid="{38B98B65-4EA8-4150-AB60-09FED0DD4B4B}"/>
    <cellStyle name="60% - Accent2 9" xfId="1687" xr:uid="{E324DC4D-29FA-4FFD-95F9-6A8768E423D8}"/>
    <cellStyle name="60% - Accent3 10" xfId="1688" xr:uid="{A98D1F38-9E00-43B6-B1CF-72608DBB114E}"/>
    <cellStyle name="60% - Accent3 11" xfId="1689" xr:uid="{4F661EC1-EC09-477E-A355-C2CA29D16830}"/>
    <cellStyle name="60% - Accent3 12" xfId="1690" xr:uid="{98D5F48C-39EC-44A6-9774-7A2BA07F2C23}"/>
    <cellStyle name="60% - Accent3 13" xfId="1691" xr:uid="{343C95CB-526F-4C7C-9F8F-7637C64C3260}"/>
    <cellStyle name="60% - Accent3 2" xfId="1692" xr:uid="{8800E010-483D-4D67-9D06-32740EA75B2C}"/>
    <cellStyle name="60% - Accent3 2 10" xfId="1693" xr:uid="{DEB8CAFB-F59D-4856-8682-845DB6F04C8B}"/>
    <cellStyle name="60% - Accent3 2 11" xfId="1694" xr:uid="{0745AE32-C0B5-4B26-A076-6623198C37C3}"/>
    <cellStyle name="60% - Accent3 2 12" xfId="1695" xr:uid="{2A2BE7D7-40EB-427D-900C-4B0C9A466628}"/>
    <cellStyle name="60% - Accent3 2 13" xfId="1696" xr:uid="{D54A5CD3-AFD2-412D-BEF7-7E955D2A53E9}"/>
    <cellStyle name="60% - Accent3 2 14" xfId="1697" xr:uid="{A41E3338-49E0-4BB1-80F1-62B32238640D}"/>
    <cellStyle name="60% - Accent3 2 15" xfId="1698" xr:uid="{7F060608-1C63-4FCF-B38C-0346EBFC00FE}"/>
    <cellStyle name="60% - Accent3 2 16" xfId="1699" xr:uid="{C479F12C-27B1-459B-822F-9C7448B5A55A}"/>
    <cellStyle name="60% - Accent3 2 17" xfId="1700" xr:uid="{D3CE1971-EDD3-4822-912F-51318413C75F}"/>
    <cellStyle name="60% - Accent3 2 18" xfId="1701" xr:uid="{502D02D8-5E70-4CC1-891C-BB88DA4A4BCE}"/>
    <cellStyle name="60% - Accent3 2 2" xfId="1702" xr:uid="{F783DBBC-619F-48DA-8B47-8454E1AB098E}"/>
    <cellStyle name="60% - Accent3 2 2 10" xfId="1703" xr:uid="{F6E942D8-E661-4E9E-B507-45A62B25F59C}"/>
    <cellStyle name="60% - Accent3 2 2 11" xfId="1704" xr:uid="{708E844A-3852-456A-A31E-E753377BC0A8}"/>
    <cellStyle name="60% - Accent3 2 2 12" xfId="1705" xr:uid="{FE7A74A0-7E99-4072-A71D-2E19AD34B975}"/>
    <cellStyle name="60% - Accent3 2 2 13" xfId="1706" xr:uid="{E7FC067D-BCA2-45FB-ABB3-1D4DB20A24BD}"/>
    <cellStyle name="60% - Accent3 2 2 14" xfId="1707" xr:uid="{00DF6D71-2546-4358-BEAE-746DBF0394F4}"/>
    <cellStyle name="60% - Accent3 2 2 15" xfId="1708" xr:uid="{A140176C-11DC-4F32-A583-AAF18FA66DC9}"/>
    <cellStyle name="60% - Accent3 2 2 16" xfId="1709" xr:uid="{7407574A-FD37-47B4-9316-AAD83D68625B}"/>
    <cellStyle name="60% - Accent3 2 2 17" xfId="1710" xr:uid="{C07E9F6E-B634-4DAE-A4A3-D0DFF29C6668}"/>
    <cellStyle name="60% - Accent3 2 2 18" xfId="1711" xr:uid="{4DC27452-6A91-4D39-A1CE-9AE5D109B726}"/>
    <cellStyle name="60% - Accent3 2 2 2" xfId="1712" xr:uid="{6BF369A1-3A95-40DB-909E-B62B74A894B4}"/>
    <cellStyle name="60% - Accent3 2 2 3" xfId="1713" xr:uid="{2F60CCBD-ED48-4E2D-9A62-572F9654FAEE}"/>
    <cellStyle name="60% - Accent3 2 2 4" xfId="1714" xr:uid="{2DEF5F8D-C302-4931-AE58-655EA65B3F8B}"/>
    <cellStyle name="60% - Accent3 2 2 5" xfId="1715" xr:uid="{6A152799-34CD-4F0D-B7F9-335FE530173C}"/>
    <cellStyle name="60% - Accent3 2 2 6" xfId="1716" xr:uid="{33A62288-C6B6-4A37-9E9A-32AB2E9EA375}"/>
    <cellStyle name="60% - Accent3 2 2 7" xfId="1717" xr:uid="{B4898B71-317F-4E5C-843E-D5ECC617CF72}"/>
    <cellStyle name="60% - Accent3 2 2 8" xfId="1718" xr:uid="{C944E2FE-6B8D-497E-A089-CF63B684608A}"/>
    <cellStyle name="60% - Accent3 2 2 9" xfId="1719" xr:uid="{FE2F4186-41EA-4082-8CA1-732E5AF6A79C}"/>
    <cellStyle name="60% - Accent3 2 2_EQU" xfId="1720" xr:uid="{A6FC356E-A7E9-4E8E-A46D-62B0E42268F3}"/>
    <cellStyle name="60% - Accent3 2 3" xfId="1721" xr:uid="{2DEC8115-EEFE-4D0F-B4F6-6DAB1B9CF3DC}"/>
    <cellStyle name="60% - Accent3 2 4" xfId="1722" xr:uid="{CC8BDE2E-9B61-46AE-8E40-A5E0574655C8}"/>
    <cellStyle name="60% - Accent3 2 5" xfId="1723" xr:uid="{5F63FBC6-E32C-499C-8F50-6AC3C4230170}"/>
    <cellStyle name="60% - Accent3 2 6" xfId="1724" xr:uid="{11A46A49-7F3B-4233-A5AE-AA48D0AE7F4E}"/>
    <cellStyle name="60% - Accent3 2 7" xfId="1725" xr:uid="{F2FFF9E9-6F24-4040-ACDE-ACE81EBC3131}"/>
    <cellStyle name="60% - Accent3 2 8" xfId="1726" xr:uid="{08190F63-AB27-4D03-8D55-22F1727120A1}"/>
    <cellStyle name="60% - Accent3 2 9" xfId="1727" xr:uid="{513A9FBB-4CF9-44E5-A28B-298D329B3EB7}"/>
    <cellStyle name="60% - Accent3 2_5130_new" xfId="1728" xr:uid="{B021464E-B7B7-4F6E-9C81-3E4BD060412A}"/>
    <cellStyle name="60% - Accent3 3" xfId="1729" xr:uid="{2753C0B7-BCBA-416A-A966-DD5EB170F54B}"/>
    <cellStyle name="60% - Accent3 3 2" xfId="1730" xr:uid="{5B515DD6-1AAD-4E03-88D7-9004F7D788A2}"/>
    <cellStyle name="60% - Accent3 3 3" xfId="1731" xr:uid="{1855A5F8-FE46-4836-969B-A02DCF58350C}"/>
    <cellStyle name="60% - Accent3 3 4" xfId="1732" xr:uid="{95C9C748-318B-4AD0-9312-82F101E25947}"/>
    <cellStyle name="60% - Accent3 3_EQU" xfId="1733" xr:uid="{F9C0E0D6-A003-46FD-9C4D-6AA967EC2E67}"/>
    <cellStyle name="60% - Accent3 4" xfId="1734" xr:uid="{891575A7-FE4E-4A1E-BD33-D4FB0487E173}"/>
    <cellStyle name="60% - Accent3 4 2" xfId="1735" xr:uid="{6C1931D5-3219-4621-8B0F-EF9D33193B4D}"/>
    <cellStyle name="60% - Accent3 4_EQU" xfId="1736" xr:uid="{E246480F-508E-4C0F-BA37-4636D27F75DD}"/>
    <cellStyle name="60% - Accent3 5" xfId="1737" xr:uid="{C5085DD9-6276-4766-8B35-2D1410AD82C5}"/>
    <cellStyle name="60% - Accent3 6" xfId="1738" xr:uid="{6900C50A-E9E1-4390-BEA7-52ED67194805}"/>
    <cellStyle name="60% - Accent3 7" xfId="1739" xr:uid="{D9A26190-26CB-426E-BFC1-2FA089567CDC}"/>
    <cellStyle name="60% - Accent3 8" xfId="1740" xr:uid="{38905843-85D4-447E-B58E-5C7C38CC63F6}"/>
    <cellStyle name="60% - Accent3 9" xfId="1741" xr:uid="{21ABE707-C002-4884-9ED1-4DAB256E138E}"/>
    <cellStyle name="60% - Accent4 10" xfId="1742" xr:uid="{5679E3A8-CC36-4DF7-B4B3-3C698C517C79}"/>
    <cellStyle name="60% - Accent4 11" xfId="1743" xr:uid="{C161E70A-B267-48BC-9BD7-7691AE07C838}"/>
    <cellStyle name="60% - Accent4 12" xfId="1744" xr:uid="{8F787981-A4DF-4D6A-BD17-AE56E4109D6A}"/>
    <cellStyle name="60% - Accent4 13" xfId="1745" xr:uid="{2E46ADCE-F9D3-450A-853C-763FCD88CB81}"/>
    <cellStyle name="60% - Accent4 2" xfId="1746" xr:uid="{A1E1A019-6EA2-494F-B289-BDEE1CCEEB8B}"/>
    <cellStyle name="60% - Accent4 2 10" xfId="1747" xr:uid="{6F8D9A58-9EBF-42C6-B711-1F62D752EC1E}"/>
    <cellStyle name="60% - Accent4 2 11" xfId="1748" xr:uid="{F9E12E3E-4AD9-4E6A-9F0A-3BE596AE136A}"/>
    <cellStyle name="60% - Accent4 2 12" xfId="1749" xr:uid="{85F46B66-9897-4E3C-ADFF-A76EC9FD8AB1}"/>
    <cellStyle name="60% - Accent4 2 13" xfId="1750" xr:uid="{FD91BC80-4C4B-4F72-B07D-87F6C4458EAC}"/>
    <cellStyle name="60% - Accent4 2 14" xfId="1751" xr:uid="{34444C10-0F38-462B-B033-3C88564D0167}"/>
    <cellStyle name="60% - Accent4 2 15" xfId="1752" xr:uid="{BBB02B19-2510-4889-875F-5F1C08899FFC}"/>
    <cellStyle name="60% - Accent4 2 16" xfId="1753" xr:uid="{8DAAC340-6950-425D-9070-9D47ABB20120}"/>
    <cellStyle name="60% - Accent4 2 17" xfId="1754" xr:uid="{D94F0DCB-4C35-4ADA-87FD-238F5D14730E}"/>
    <cellStyle name="60% - Accent4 2 2" xfId="1755" xr:uid="{FD3874E0-2F88-4C57-91EE-8854C6EE9184}"/>
    <cellStyle name="60% - Accent4 2 2 10" xfId="1756" xr:uid="{5BBC3C2D-0805-4F2C-86AA-95279D6A8427}"/>
    <cellStyle name="60% - Accent4 2 2 11" xfId="1757" xr:uid="{FD1138D5-2DD3-4F4D-9AC7-8E046E6A8E15}"/>
    <cellStyle name="60% - Accent4 2 2 12" xfId="1758" xr:uid="{12FA45A4-3EB4-47EE-B9CA-C824EDDC8BA9}"/>
    <cellStyle name="60% - Accent4 2 2 2" xfId="1759" xr:uid="{A75E6E0F-7655-43DB-8BD4-3AF5F3EEE3B8}"/>
    <cellStyle name="60% - Accent4 2 2 3" xfId="1760" xr:uid="{0DDF5F96-9EE9-4078-9DCC-5B735270FDF6}"/>
    <cellStyle name="60% - Accent4 2 2 4" xfId="1761" xr:uid="{76CD0936-B7BE-49B2-895B-5B85CB33A0D5}"/>
    <cellStyle name="60% - Accent4 2 2 5" xfId="1762" xr:uid="{0C105E5E-A900-4AD8-861C-1785A13AF900}"/>
    <cellStyle name="60% - Accent4 2 2 6" xfId="1763" xr:uid="{F7A996B5-ABEC-48FA-B670-4E2DA9853A91}"/>
    <cellStyle name="60% - Accent4 2 2 7" xfId="1764" xr:uid="{F9F4EDEC-747E-428C-A9DF-14304EA14239}"/>
    <cellStyle name="60% - Accent4 2 2 8" xfId="1765" xr:uid="{F9985563-A484-4186-A7F5-D6C51E3DE0BF}"/>
    <cellStyle name="60% - Accent4 2 2 9" xfId="1766" xr:uid="{6367C262-3D24-4A25-804A-7CF0B98CA74E}"/>
    <cellStyle name="60% - Accent4 2 2_EQU" xfId="1767" xr:uid="{EE99881E-9C49-425D-AFED-9D93D658785D}"/>
    <cellStyle name="60% - Accent4 2 3" xfId="1768" xr:uid="{166CC47A-4203-48BD-B072-5767DCAFEC41}"/>
    <cellStyle name="60% - Accent4 2 4" xfId="1769" xr:uid="{D3BC6663-28F0-4FCE-8A7A-B483220204F0}"/>
    <cellStyle name="60% - Accent4 2 5" xfId="1770" xr:uid="{D2DA1CBD-5828-4DFF-8030-425ED731050D}"/>
    <cellStyle name="60% - Accent4 2 6" xfId="1771" xr:uid="{C7B53888-C0C1-4765-A729-7B91CBBB3337}"/>
    <cellStyle name="60% - Accent4 2 7" xfId="1772" xr:uid="{0023F9C7-1BC9-45CC-ABAD-18222A1138F6}"/>
    <cellStyle name="60% - Accent4 2 8" xfId="1773" xr:uid="{0A1BF085-8043-48A5-B47C-2DCA3E513146}"/>
    <cellStyle name="60% - Accent4 2 9" xfId="1774" xr:uid="{5187CDF9-A976-4235-AB49-2BBF130DFFC2}"/>
    <cellStyle name="60% - Accent4 2_EQU" xfId="1775" xr:uid="{6669A004-40BE-4DEC-B5F4-4065EC7BE00D}"/>
    <cellStyle name="60% - Accent4 3" xfId="1776" xr:uid="{658515DD-7CCA-4D4B-B6CB-7053D622365D}"/>
    <cellStyle name="60% - Accent4 3 2" xfId="1777" xr:uid="{5AAA437B-F06C-4A38-A584-C8EED1662079}"/>
    <cellStyle name="60% - Accent4 3_EQU" xfId="1778" xr:uid="{EF583878-6AB0-4FE1-8E16-10B06E6CF3BC}"/>
    <cellStyle name="60% - Accent4 4" xfId="1779" xr:uid="{7DFBD143-44FD-4F05-9091-0973135B34C6}"/>
    <cellStyle name="60% - Accent4 4 2" xfId="1780" xr:uid="{7BD38620-77ED-47C3-A63D-45E2087B3B18}"/>
    <cellStyle name="60% - Accent4 4_EQU" xfId="1781" xr:uid="{F73156F7-FBA0-4313-96D9-85C37496637F}"/>
    <cellStyle name="60% - Accent4 5" xfId="1782" xr:uid="{F9C0B36F-E091-4A15-B225-0443BB5CC26F}"/>
    <cellStyle name="60% - Accent4 6" xfId="1783" xr:uid="{E5BE3795-5D40-4BB3-855F-E3A46E468313}"/>
    <cellStyle name="60% - Accent4 7" xfId="1784" xr:uid="{4ADB10F0-AD51-429F-AD2C-89D861636B85}"/>
    <cellStyle name="60% - Accent4 8" xfId="1785" xr:uid="{542AFD27-F80D-498B-A6A5-A2CA480F4BA0}"/>
    <cellStyle name="60% - Accent4 9" xfId="1786" xr:uid="{2DD3B91E-D8F7-49E8-B745-ADB278F0C21B}"/>
    <cellStyle name="60% - Accent5 10" xfId="1787" xr:uid="{8D60260D-BA95-4FC4-B571-AAC361BD2215}"/>
    <cellStyle name="60% - Accent5 11" xfId="1788" xr:uid="{458CD2EF-80D6-4F58-A05B-6082B8705893}"/>
    <cellStyle name="60% - Accent5 12" xfId="1789" xr:uid="{764264E4-6369-48A0-BDB9-0319084B7877}"/>
    <cellStyle name="60% - Accent5 13" xfId="1790" xr:uid="{EF448A13-ED14-4FF2-A5CA-5946CD7BCFB5}"/>
    <cellStyle name="60% - Accent5 2" xfId="1791" xr:uid="{71859D63-46FD-49C1-B118-242031144FA0}"/>
    <cellStyle name="60% - Accent5 2 10" xfId="1792" xr:uid="{43635081-BA4F-4554-8AAE-64F2A792D320}"/>
    <cellStyle name="60% - Accent5 2 11" xfId="1793" xr:uid="{1EE872B3-E5D9-4FDD-859C-1E98830AD49A}"/>
    <cellStyle name="60% - Accent5 2 12" xfId="1794" xr:uid="{8EE38684-55CF-49D3-B906-FB342E7C0D1B}"/>
    <cellStyle name="60% - Accent5 2 13" xfId="1795" xr:uid="{87E06802-DBAC-4ADA-9EED-87CF80C8A0D9}"/>
    <cellStyle name="60% - Accent5 2 14" xfId="1796" xr:uid="{1710455F-C322-4372-9AED-DA40686B358C}"/>
    <cellStyle name="60% - Accent5 2 15" xfId="1797" xr:uid="{EF5A141B-2C8A-43CD-BE07-B2340787F049}"/>
    <cellStyle name="60% - Accent5 2 16" xfId="1798" xr:uid="{C9E642E8-3C5B-473B-B3A3-05494C088232}"/>
    <cellStyle name="60% - Accent5 2 17" xfId="1799" xr:uid="{8F5B7EDA-9286-4DBA-9128-8DFDA424D308}"/>
    <cellStyle name="60% - Accent5 2 18" xfId="1800" xr:uid="{AAA3B572-4611-4350-8C28-946FA1760AC8}"/>
    <cellStyle name="60% - Accent5 2 2" xfId="1801" xr:uid="{132CBE4E-1A61-47E0-8A50-871B1BEB3671}"/>
    <cellStyle name="60% - Accent5 2 2 10" xfId="1802" xr:uid="{014002F4-0844-4467-B6A9-BB1BB2B05967}"/>
    <cellStyle name="60% - Accent5 2 2 11" xfId="1803" xr:uid="{BC29B55B-1E6B-4BD2-BCE5-6667013CAE25}"/>
    <cellStyle name="60% - Accent5 2 2 12" xfId="1804" xr:uid="{80454E66-985F-4410-A594-136734E374D8}"/>
    <cellStyle name="60% - Accent5 2 2 13" xfId="1805" xr:uid="{C2D54873-D327-49B9-9F08-DC9691193C65}"/>
    <cellStyle name="60% - Accent5 2 2 14" xfId="1806" xr:uid="{DB7A7124-CC8A-4698-B593-7A6B92E90391}"/>
    <cellStyle name="60% - Accent5 2 2 15" xfId="1807" xr:uid="{3859A39E-7A04-4144-9217-1C3CD27ED23B}"/>
    <cellStyle name="60% - Accent5 2 2 16" xfId="1808" xr:uid="{36A4A926-4686-468E-8051-5C7CB5D258E4}"/>
    <cellStyle name="60% - Accent5 2 2 17" xfId="1809" xr:uid="{4C259C57-CF8A-45DE-9EA7-C85A0D32C472}"/>
    <cellStyle name="60% - Accent5 2 2 18" xfId="1810" xr:uid="{73C66B59-0D1D-4D02-95D9-933B4B2C42ED}"/>
    <cellStyle name="60% - Accent5 2 2 2" xfId="1811" xr:uid="{36354A9D-57BB-483A-AB67-BB242C2704F5}"/>
    <cellStyle name="60% - Accent5 2 2 3" xfId="1812" xr:uid="{9C781928-358C-4C61-80A1-05CD901BA088}"/>
    <cellStyle name="60% - Accent5 2 2 4" xfId="1813" xr:uid="{65182D08-F34E-4113-983D-6F942F1757B9}"/>
    <cellStyle name="60% - Accent5 2 2 5" xfId="1814" xr:uid="{3C528FCF-83E4-41D2-B289-A3A7B00EA2E9}"/>
    <cellStyle name="60% - Accent5 2 2 6" xfId="1815" xr:uid="{1DDF3DA8-9124-492B-B3D2-4CD91FFF7BF9}"/>
    <cellStyle name="60% - Accent5 2 2 7" xfId="1816" xr:uid="{85891575-FB37-4CE1-BE34-CA4C2A5E2E08}"/>
    <cellStyle name="60% - Accent5 2 2 8" xfId="1817" xr:uid="{5BAD6DDF-D292-4CED-8D58-379302F3FA12}"/>
    <cellStyle name="60% - Accent5 2 2 9" xfId="1818" xr:uid="{36194EED-1164-449C-BCD8-F2905BB516FD}"/>
    <cellStyle name="60% - Accent5 2 2_Equity reconciliation 2013-03" xfId="1819" xr:uid="{7C3FB3A3-2326-4648-88BF-E13B8918E850}"/>
    <cellStyle name="60% - Accent5 2 3" xfId="1820" xr:uid="{029183DC-7A6A-4AED-BB4A-A654C205A5B8}"/>
    <cellStyle name="60% - Accent5 2 4" xfId="1821" xr:uid="{187B4E3F-4D78-4E00-A3D8-16CFD0A67226}"/>
    <cellStyle name="60% - Accent5 2 5" xfId="1822" xr:uid="{5EF2AEFA-D533-446E-B438-C8D3E8E043CE}"/>
    <cellStyle name="60% - Accent5 2 6" xfId="1823" xr:uid="{3C0D1CED-87DC-4F2E-BDAD-68DDFD665D6F}"/>
    <cellStyle name="60% - Accent5 2 7" xfId="1824" xr:uid="{4690C9EB-4E69-4D28-B38B-382453CE6EA4}"/>
    <cellStyle name="60% - Accent5 2 8" xfId="1825" xr:uid="{7A79EE7D-BC3D-4DA8-B1F3-04539A639C64}"/>
    <cellStyle name="60% - Accent5 2 9" xfId="1826" xr:uid="{7723A288-BB15-4C32-8F21-971253C521D4}"/>
    <cellStyle name="60% - Accent5 2_5130_new" xfId="1827" xr:uid="{ABE35A56-A904-40A8-8578-88C892F01022}"/>
    <cellStyle name="60% - Accent5 3" xfId="1828" xr:uid="{162D9460-1AA3-4653-AC1B-A48D8124AE93}"/>
    <cellStyle name="60% - Accent5 3 2" xfId="1829" xr:uid="{9C9AF742-46A2-4E86-847B-708262BAD829}"/>
    <cellStyle name="60% - Accent5 3_EQU" xfId="1830" xr:uid="{898D8FA3-6673-4626-A67A-0DF85B4F53F6}"/>
    <cellStyle name="60% - Accent5 4" xfId="1831" xr:uid="{01E1B9B7-AC87-4EF5-8845-3FB857C71398}"/>
    <cellStyle name="60% - Accent5 4 2" xfId="1832" xr:uid="{F265F96B-7E51-4C4B-AE1F-C2E8AB5AD50C}"/>
    <cellStyle name="60% - Accent5 4_EQU" xfId="1833" xr:uid="{467BC63C-F005-42FA-9729-FACF82379FCB}"/>
    <cellStyle name="60% - Accent5 5" xfId="1834" xr:uid="{4632D9B3-C839-45F2-B95B-7EFFDA6CC182}"/>
    <cellStyle name="60% - Accent5 6" xfId="1835" xr:uid="{853D5A6D-F251-4526-AC6B-CC906B6FA323}"/>
    <cellStyle name="60% - Accent5 7" xfId="1836" xr:uid="{FB8F6234-59A5-4939-A0BD-67F945DA71FA}"/>
    <cellStyle name="60% - Accent5 8" xfId="1837" xr:uid="{226B1A67-742A-421E-875D-8F6BCAF352E7}"/>
    <cellStyle name="60% - Accent5 9" xfId="1838" xr:uid="{1EAB98B5-9D76-4BBE-B061-47FF48C3BA23}"/>
    <cellStyle name="60% - Accent6 10" xfId="1839" xr:uid="{F6F26628-D935-4DD4-99E3-B5054EB98F9B}"/>
    <cellStyle name="60% - Accent6 11" xfId="1840" xr:uid="{14354ED7-83AE-4E2C-A325-08E9B46A47A9}"/>
    <cellStyle name="60% - Accent6 12" xfId="1841" xr:uid="{06FF6F6E-3FEF-4225-8E1F-218D525090DC}"/>
    <cellStyle name="60% - Accent6 13" xfId="1842" xr:uid="{564D9645-EFC6-4BFA-9CDC-5B78379980D5}"/>
    <cellStyle name="60% - Accent6 2" xfId="1843" xr:uid="{D99D8731-4EAF-442F-8CB5-0E0D05C4AE08}"/>
    <cellStyle name="60% - Accent6 2 10" xfId="1844" xr:uid="{EDA5F484-7BEF-4966-8F0A-AD80A7E1DA18}"/>
    <cellStyle name="60% - Accent6 2 11" xfId="1845" xr:uid="{91929F37-4110-48FE-9DCC-F47B0F9644B1}"/>
    <cellStyle name="60% - Accent6 2 12" xfId="1846" xr:uid="{164A2C6F-FE9B-401D-BBAA-24D089E16F37}"/>
    <cellStyle name="60% - Accent6 2 13" xfId="1847" xr:uid="{F17E5669-C167-4301-8B2B-B7B875CFF98F}"/>
    <cellStyle name="60% - Accent6 2 14" xfId="1848" xr:uid="{75C4DB37-9BCE-4022-94D4-A200EECFE052}"/>
    <cellStyle name="60% - Accent6 2 15" xfId="1849" xr:uid="{90818801-D876-4378-8B50-42E7F3CB8F4A}"/>
    <cellStyle name="60% - Accent6 2 16" xfId="1850" xr:uid="{98329681-CC9D-42E7-97B3-FBC0AD324741}"/>
    <cellStyle name="60% - Accent6 2 17" xfId="1851" xr:uid="{C9BC8B0A-F55D-4BDC-B01F-E9ACB805F53A}"/>
    <cellStyle name="60% - Accent6 2 2" xfId="1852" xr:uid="{0CE00CBA-5A36-4FB7-8944-40356D33BCFC}"/>
    <cellStyle name="60% - Accent6 2 2 10" xfId="1853" xr:uid="{9EF6E9C9-80D5-4168-A47C-B2ABE103A8DB}"/>
    <cellStyle name="60% - Accent6 2 2 11" xfId="1854" xr:uid="{24DC5D47-0322-4358-B891-844A6EBA49FD}"/>
    <cellStyle name="60% - Accent6 2 2 12" xfId="1855" xr:uid="{8DB62B9E-692E-4ADB-A308-C06E352DA1D2}"/>
    <cellStyle name="60% - Accent6 2 2 2" xfId="1856" xr:uid="{AD9E2135-57F3-4761-8ADA-1CF5D203BE0B}"/>
    <cellStyle name="60% - Accent6 2 2 3" xfId="1857" xr:uid="{39988C41-7B89-4493-8DAC-E8E739DC9885}"/>
    <cellStyle name="60% - Accent6 2 2 4" xfId="1858" xr:uid="{AC3C196C-BE39-49D8-9169-D1B42906158B}"/>
    <cellStyle name="60% - Accent6 2 2 5" xfId="1859" xr:uid="{BA9ECEA1-A6DA-4EAE-AD6A-E2DCE5D8C607}"/>
    <cellStyle name="60% - Accent6 2 2 6" xfId="1860" xr:uid="{4D8439F7-518E-4928-B765-70B872454CF8}"/>
    <cellStyle name="60% - Accent6 2 2 7" xfId="1861" xr:uid="{6202F52F-2D2C-4CE4-B565-ECF8E3AF3AC9}"/>
    <cellStyle name="60% - Accent6 2 2 8" xfId="1862" xr:uid="{5EE1D841-7EE2-4514-8B0B-4CB40AB43824}"/>
    <cellStyle name="60% - Accent6 2 2 9" xfId="1863" xr:uid="{C8D53ED1-3518-4C0D-88DD-6CC71349A5F8}"/>
    <cellStyle name="60% - Accent6 2 2_EQU" xfId="1864" xr:uid="{B053D723-D306-4D7E-842B-2EF2832BF894}"/>
    <cellStyle name="60% - Accent6 2 3" xfId="1865" xr:uid="{F7BD6231-EDA9-41A6-958F-CBAD9A700F6A}"/>
    <cellStyle name="60% - Accent6 2 4" xfId="1866" xr:uid="{371B3AAA-303F-4017-B7EA-BA05E6EEB354}"/>
    <cellStyle name="60% - Accent6 2 5" xfId="1867" xr:uid="{444B6135-0CFB-4BF7-8191-7D9B28B2B236}"/>
    <cellStyle name="60% - Accent6 2 6" xfId="1868" xr:uid="{F98AB819-74F1-441F-AACE-F389954E3F5C}"/>
    <cellStyle name="60% - Accent6 2 7" xfId="1869" xr:uid="{91EC0106-D340-4499-BF40-FBE96C737A14}"/>
    <cellStyle name="60% - Accent6 2 8" xfId="1870" xr:uid="{45CAD2BB-28D2-4600-86CB-0DCCAF1518F7}"/>
    <cellStyle name="60% - Accent6 2 9" xfId="1871" xr:uid="{0BBB4AF6-3CA7-4B46-9CFC-90CABD3E1DBA}"/>
    <cellStyle name="60% - Accent6 2_EQU" xfId="1872" xr:uid="{45DA3647-2DA8-479A-B075-8DB4DB4CE3EE}"/>
    <cellStyle name="60% - Accent6 3" xfId="1873" xr:uid="{348B2AE4-5D11-483B-A2F7-C63327F9F8FE}"/>
    <cellStyle name="60% - Accent6 3 2" xfId="1874" xr:uid="{C7281DAD-B042-4F39-AFBA-03DFFEC02BE2}"/>
    <cellStyle name="60% - Accent6 3_EQU" xfId="1875" xr:uid="{11AFD274-9103-4A59-BBD3-90B9FD24FA0E}"/>
    <cellStyle name="60% - Accent6 4" xfId="1876" xr:uid="{5A552841-9A55-4E40-A873-1088327C6417}"/>
    <cellStyle name="60% - Accent6 4 2" xfId="1877" xr:uid="{CCCFF3EC-E324-45E5-813B-0F563BE469D3}"/>
    <cellStyle name="60% - Accent6 4_EQU" xfId="1878" xr:uid="{36C724AC-201F-4512-91DB-15E6C98755CE}"/>
    <cellStyle name="60% - Accent6 5" xfId="1879" xr:uid="{3B391DAA-2746-4BC7-86DE-71C60B464C6C}"/>
    <cellStyle name="60% - Accent6 6" xfId="1880" xr:uid="{D56A5066-B070-4823-9C12-B362C56971FB}"/>
    <cellStyle name="60% - Accent6 7" xfId="1881" xr:uid="{CBB3ABAB-544C-4925-B707-5021652B13E9}"/>
    <cellStyle name="60% - Accent6 8" xfId="1882" xr:uid="{4790C443-9979-48A7-AD73-6A128C8A72F0}"/>
    <cellStyle name="60% - Accent6 9" xfId="1883" xr:uid="{72C1D2E8-2036-481F-8314-6FDA7A3AD812}"/>
    <cellStyle name="À‰" xfId="1884" xr:uid="{F3550FFE-308F-4C32-9B18-EB9140C9C9B2}"/>
    <cellStyle name="À‰ 2" xfId="1885" xr:uid="{9FB19E17-4145-4CAB-A2AE-3661327D6247}"/>
    <cellStyle name="À‰ 3" xfId="1886" xr:uid="{A57FD95F-F100-4B19-8F3F-D743D9CFBDB7}"/>
    <cellStyle name="À‰ 4" xfId="1887" xr:uid="{81B4EAA8-7BEC-45B5-80C3-EF8122CC71B3}"/>
    <cellStyle name="À‰ 5" xfId="1888" xr:uid="{BA12C5B1-126F-4750-9EEF-ED2955766AAA}"/>
    <cellStyle name="À‰ 6" xfId="1889" xr:uid="{52EBF2BF-855D-420D-B2FA-BC7D8EA8260B}"/>
    <cellStyle name="À‰ 7" xfId="1890" xr:uid="{AEAD5158-404F-49F0-85CD-35A1603C5BBA}"/>
    <cellStyle name="À‰ 8" xfId="1891" xr:uid="{23A37258-509F-4243-8509-987CB494115C}"/>
    <cellStyle name="À‰_5130" xfId="1892" xr:uid="{F0580EFB-DC31-4B4A-B0E9-6661A317F100}"/>
    <cellStyle name="Accent1 - 20%" xfId="1893" xr:uid="{1033AD6C-4D82-4657-A4C9-C7B479F8C17B}"/>
    <cellStyle name="Accent1 - 20% 2" xfId="1894" xr:uid="{22317FB3-5CA1-40E2-BDDD-C3F16FC7A433}"/>
    <cellStyle name="Accent1 - 20%_5130_new" xfId="1895" xr:uid="{92973667-D541-468C-8557-399FE1075F45}"/>
    <cellStyle name="Accent1 - 40%" xfId="1896" xr:uid="{80995A32-18B8-4209-953A-37D3894BFCEE}"/>
    <cellStyle name="Accent1 - 40% 2" xfId="1897" xr:uid="{3DD5F9B2-A7F8-4FB2-AB9C-36973524A7A7}"/>
    <cellStyle name="Accent1 - 40%_5130_new" xfId="1898" xr:uid="{11061CCF-3F9C-444B-A826-B96F42A8DE77}"/>
    <cellStyle name="Accent1 - 60%" xfId="1899" xr:uid="{C14A60A2-DD7E-4473-9AAB-CF635319D79B}"/>
    <cellStyle name="Accent1 10" xfId="1900" xr:uid="{ED7B68D7-5818-47D3-8656-3222DB47944B}"/>
    <cellStyle name="Accent1 11" xfId="1901" xr:uid="{9249C339-70A1-42C4-A996-66892DD1A49B}"/>
    <cellStyle name="Accent1 12" xfId="1902" xr:uid="{A6580CBB-519A-4B41-A2A5-553C4221A618}"/>
    <cellStyle name="Accent1 13" xfId="1903" xr:uid="{6777995A-4CCE-459C-B541-EC7348A957C7}"/>
    <cellStyle name="Accent1 14" xfId="1904" xr:uid="{8BB80773-3061-4BBD-97D1-F3552D9046A4}"/>
    <cellStyle name="Accent1 15" xfId="1905" xr:uid="{9F114EB0-6A0E-4219-81E0-77B7FD9779E2}"/>
    <cellStyle name="Accent1 16" xfId="1906" xr:uid="{C7B59762-82CD-454C-BD7C-EFD1E1420400}"/>
    <cellStyle name="Accent1 17" xfId="1907" xr:uid="{47400CA8-78DC-4BA8-833D-E88C978420F5}"/>
    <cellStyle name="Accent1 18" xfId="1908" xr:uid="{D63B0CB2-2AB2-42E6-B3E1-B1B3C75FCA37}"/>
    <cellStyle name="Accent1 19" xfId="1909" xr:uid="{A527B907-6764-4504-AA64-6CEE316986D2}"/>
    <cellStyle name="Accent1 2" xfId="1910" xr:uid="{71D0D41D-9244-44BF-97FA-D3BA1E85A47F}"/>
    <cellStyle name="Accent1 2 10" xfId="1911" xr:uid="{0441A43A-ADDA-4696-A0D3-0928D21D2401}"/>
    <cellStyle name="Accent1 2 11" xfId="1912" xr:uid="{9FCFF2B4-F538-454B-8DF2-60DDDFB82FAB}"/>
    <cellStyle name="Accent1 2 12" xfId="1913" xr:uid="{C7673BC6-D3CF-43AF-8550-10858950C071}"/>
    <cellStyle name="Accent1 2 13" xfId="1914" xr:uid="{110E0836-03E1-4080-87DE-14D6927B5DB8}"/>
    <cellStyle name="Accent1 2 14" xfId="1915" xr:uid="{320AB11E-A36C-464F-BABA-380075D0D2B2}"/>
    <cellStyle name="Accent1 2 15" xfId="1916" xr:uid="{98A83A6D-EBF7-4B87-9EE4-B2CE86DE9F90}"/>
    <cellStyle name="Accent1 2 16" xfId="1917" xr:uid="{AD74E9E0-8181-4839-A73A-822F6606D657}"/>
    <cellStyle name="Accent1 2 17" xfId="1918" xr:uid="{86D83A06-0783-4197-9B7D-7336562F6D2E}"/>
    <cellStyle name="Accent1 2 18" xfId="1919" xr:uid="{5C653517-9BCC-412E-AD45-6897ADC05F65}"/>
    <cellStyle name="Accent1 2 2" xfId="1920" xr:uid="{BDD8400C-08F4-45E7-AB58-C59D20850E29}"/>
    <cellStyle name="Accent1 2 2 10" xfId="1921" xr:uid="{A3356D9D-944D-4F73-A34B-61CC3A3CE08C}"/>
    <cellStyle name="Accent1 2 2 11" xfId="1922" xr:uid="{E0FD781D-D0C0-45AC-B47A-1E0105020BDE}"/>
    <cellStyle name="Accent1 2 2 12" xfId="1923" xr:uid="{FFCB7C0F-89E6-4DEE-B8A3-FF8B9B6EEBDF}"/>
    <cellStyle name="Accent1 2 2 13" xfId="1924" xr:uid="{542175B4-81CB-467E-89CA-40002D955996}"/>
    <cellStyle name="Accent1 2 2 14" xfId="1925" xr:uid="{9960B6E2-48C9-4BC6-8D36-0579A4E71851}"/>
    <cellStyle name="Accent1 2 2 15" xfId="1926" xr:uid="{7AD94BDA-E9DA-4D1D-82A1-B8E3F5366B9F}"/>
    <cellStyle name="Accent1 2 2 16" xfId="1927" xr:uid="{1A051BE3-9F97-4A0D-9BCB-3DC7538238E2}"/>
    <cellStyle name="Accent1 2 2 17" xfId="1928" xr:uid="{F5F14DA8-7BC8-40A6-A0EC-2759874176BD}"/>
    <cellStyle name="Accent1 2 2 18" xfId="1929" xr:uid="{C31089F1-938F-44A4-B584-28EF70F3D7AA}"/>
    <cellStyle name="Accent1 2 2 2" xfId="1930" xr:uid="{D3BA2EAD-3D29-492A-A8D1-EEA71D3A24DA}"/>
    <cellStyle name="Accent1 2 2 2 2" xfId="1931" xr:uid="{0517C79F-08F3-48F7-A259-F7A0DFFE47C2}"/>
    <cellStyle name="Accent1 2 2 3" xfId="1932" xr:uid="{14406D72-A5A4-407D-A782-9F6B9E3DAAD4}"/>
    <cellStyle name="Accent1 2 2 4" xfId="1933" xr:uid="{1ACC320E-C451-4F6E-AD27-394BB24C913E}"/>
    <cellStyle name="Accent1 2 2 5" xfId="1934" xr:uid="{23DDECCA-34DA-48D0-B98A-A069B745D734}"/>
    <cellStyle name="Accent1 2 2 6" xfId="1935" xr:uid="{4A10F19E-DFEE-4B32-9612-D5984B82E277}"/>
    <cellStyle name="Accent1 2 2 7" xfId="1936" xr:uid="{98080660-57DF-43C8-B6F1-A47B679F6BC8}"/>
    <cellStyle name="Accent1 2 2 8" xfId="1937" xr:uid="{9A4218DD-70CB-438D-8AC0-54A0DDB791EA}"/>
    <cellStyle name="Accent1 2 2 9" xfId="1938" xr:uid="{A19D8BDD-70EC-4609-AEBE-BF8438A51D99}"/>
    <cellStyle name="Accent1 2 2_EQU" xfId="1939" xr:uid="{77DF2889-A242-4E2D-A9A1-655B82F8FC44}"/>
    <cellStyle name="Accent1 2 3" xfId="1940" xr:uid="{2B97D27A-6899-4C5E-A884-B501831EBBE2}"/>
    <cellStyle name="Accent1 2 3 2" xfId="1941" xr:uid="{48D05EA0-D118-476E-8B54-E8AB6FB15F32}"/>
    <cellStyle name="Accent1 2 3_Derivatives" xfId="1942" xr:uid="{8AA7896F-EFA1-4EBC-9805-21D87699A7C7}"/>
    <cellStyle name="Accent1 2 4" xfId="1943" xr:uid="{20F495BF-8381-4D0F-87AC-D48B825E7462}"/>
    <cellStyle name="Accent1 2 4 2" xfId="1944" xr:uid="{B678E60A-11B0-405C-BDC8-C620B1C9ECB3}"/>
    <cellStyle name="Accent1 2 5" xfId="1945" xr:uid="{521F7AEB-24B1-4160-A1F1-D379610A8C09}"/>
    <cellStyle name="Accent1 2 6" xfId="1946" xr:uid="{95305C68-1329-4917-A611-24F4D4AFEBE1}"/>
    <cellStyle name="Accent1 2 7" xfId="1947" xr:uid="{CD36B3DA-6A14-4C5C-B0B0-7A3B34FB0F07}"/>
    <cellStyle name="Accent1 2 8" xfId="1948" xr:uid="{5B013921-B32E-402E-8487-7CC88779F20D}"/>
    <cellStyle name="Accent1 2 8 2" xfId="1949" xr:uid="{B777C87B-1C0D-4513-B263-5D19909C1704}"/>
    <cellStyle name="Accent1 2 8_Derivatives" xfId="1950" xr:uid="{2A36ECFF-7FC9-4A10-A852-56970C3CD949}"/>
    <cellStyle name="Accent1 2 9" xfId="1951" xr:uid="{178A9213-355D-46C4-8298-5E83917AED76}"/>
    <cellStyle name="Accent1 2_5130_new" xfId="1952" xr:uid="{CF56C708-F1A6-4C3C-9AC7-DE9EDEA2F09B}"/>
    <cellStyle name="Accent1 20" xfId="1953" xr:uid="{83DE94F5-B9AB-4306-90A8-E43551B66A9A}"/>
    <cellStyle name="Accent1 21" xfId="1954" xr:uid="{77AA6859-8BBF-4C61-AC0A-E7C699AF1529}"/>
    <cellStyle name="Accent1 22" xfId="1955" xr:uid="{3EEDE3A6-4AB9-4311-9FA0-888F9320492D}"/>
    <cellStyle name="Accent1 23" xfId="1956" xr:uid="{EA752C13-657D-4D4F-9323-26476CCC5C44}"/>
    <cellStyle name="Accent1 24" xfId="1957" xr:uid="{8D97B151-82C1-4393-ADB5-17D215AEF67E}"/>
    <cellStyle name="Accent1 25" xfId="1958" xr:uid="{E0777EF7-1A8A-447A-950F-0CEABCFBC935}"/>
    <cellStyle name="Accent1 26" xfId="1959" xr:uid="{EEA21A76-722B-4D8C-A091-A7AAAE4F7DDC}"/>
    <cellStyle name="Accent1 27" xfId="1960" xr:uid="{CD90BEC5-8FA9-48D9-AE85-D1CC26E2531D}"/>
    <cellStyle name="Accent1 28" xfId="1961" xr:uid="{FA6F0E7E-E204-4624-ACCC-AAD570982699}"/>
    <cellStyle name="Accent1 29" xfId="1962" xr:uid="{C9341DEA-1907-4FE9-B0F9-30DD00D13BEA}"/>
    <cellStyle name="Accent1 3" xfId="1963" xr:uid="{1B354132-D309-4E85-8495-94379441F968}"/>
    <cellStyle name="Accent1 3 10" xfId="1964" xr:uid="{2252DF8C-C6CC-405E-983C-B834CB123714}"/>
    <cellStyle name="Accent1 3 2" xfId="1965" xr:uid="{F37F7C26-640C-41A9-9F86-1397C26F5F43}"/>
    <cellStyle name="Accent1 3 2 2" xfId="1966" xr:uid="{F07B9A48-7254-427E-8992-08358582CDEB}"/>
    <cellStyle name="Accent1 3 2 3" xfId="1967" xr:uid="{82FF4438-8231-4482-B30F-4F5320048223}"/>
    <cellStyle name="Accent1 3 2_Derivatives" xfId="1968" xr:uid="{8BA49839-14A5-4731-920E-4D599AD6F541}"/>
    <cellStyle name="Accent1 3 3" xfId="1969" xr:uid="{35C40BBA-214A-4AD5-A51C-24A9377870AC}"/>
    <cellStyle name="Accent1 3 3 2" xfId="1970" xr:uid="{FFAE1334-998F-4E84-901F-3352B4EACA37}"/>
    <cellStyle name="Accent1 3 3_Derivatives" xfId="1971" xr:uid="{51D7BC14-0A12-4522-9A63-6FD877FC521C}"/>
    <cellStyle name="Accent1 3 4" xfId="1972" xr:uid="{8267E257-9B54-4159-B499-54D59D3BF177}"/>
    <cellStyle name="Accent1 3 5" xfId="1973" xr:uid="{6EC736B9-C8D2-4566-A1B1-CC90E4927897}"/>
    <cellStyle name="Accent1 3 6" xfId="1974" xr:uid="{D3F56B29-4E4A-4A96-9A6F-19497246EFE6}"/>
    <cellStyle name="Accent1 3 7" xfId="1975" xr:uid="{9902841C-3856-4109-8F90-7959C9DA6ABA}"/>
    <cellStyle name="Accent1 3 8" xfId="1976" xr:uid="{6838BF71-1FE4-4AE8-BB8D-FB2F52A263E2}"/>
    <cellStyle name="Accent1 3 9" xfId="1977" xr:uid="{D06A334C-FBFF-47C4-BC66-A989DB5A7E34}"/>
    <cellStyle name="Accent1 3_EQU" xfId="1978" xr:uid="{C3D0E6FD-B1AE-42EA-824B-AFEDE5F285BE}"/>
    <cellStyle name="Accent1 30" xfId="1979" xr:uid="{4D9EE0B6-7891-4375-A21B-D615107035C0}"/>
    <cellStyle name="Accent1 31" xfId="1980" xr:uid="{0F979700-DAB8-4BB3-B031-AA56866B2534}"/>
    <cellStyle name="Accent1 32" xfId="1981" xr:uid="{939DAF6D-36D8-4214-9FAB-E635472A0148}"/>
    <cellStyle name="Accent1 33" xfId="1982" xr:uid="{693C6199-7F75-478D-9F67-387CEBE6BFEF}"/>
    <cellStyle name="Accent1 34" xfId="1983" xr:uid="{2FD6F143-28F9-4F03-B7ED-4D3AEC0CD2E9}"/>
    <cellStyle name="Accent1 35" xfId="1984" xr:uid="{99E4FCDA-30AD-41EE-AEC3-F3E629297091}"/>
    <cellStyle name="Accent1 36" xfId="1985" xr:uid="{746E4071-7040-440D-8BB3-E38609F0E76E}"/>
    <cellStyle name="Accent1 37" xfId="1986" xr:uid="{755FAB43-579B-48FE-A482-0C9F8EF3153F}"/>
    <cellStyle name="Accent1 38" xfId="1987" xr:uid="{58B5CDB8-99B2-478B-82BB-A94A1D5B5269}"/>
    <cellStyle name="Accent1 39" xfId="1988" xr:uid="{4BDE622A-9D09-42D5-B389-73C92E03E110}"/>
    <cellStyle name="Accent1 4" xfId="1989" xr:uid="{A10C33C1-27E6-467B-B604-4BAFBB0B57CD}"/>
    <cellStyle name="Accent1 4 2" xfId="1990" xr:uid="{6CCB21AA-F788-4138-9D5F-E5BF2B4BC327}"/>
    <cellStyle name="Accent1 4 3" xfId="1991" xr:uid="{400673C2-9FF1-4856-AA75-FB6EBCC1A607}"/>
    <cellStyle name="Accent1 4_EQU" xfId="1992" xr:uid="{E3F0BC1A-D658-4AF1-A128-B35931983FC1}"/>
    <cellStyle name="Accent1 40" xfId="1993" xr:uid="{22DF4E36-E198-476E-AD4A-0B2A71F9E54E}"/>
    <cellStyle name="Accent1 41" xfId="1994" xr:uid="{722983AE-FFA9-4AD3-9781-86915A98B232}"/>
    <cellStyle name="Accent1 42" xfId="1995" xr:uid="{5BEB2D81-4BC0-4EE0-B636-1B11D98C9449}"/>
    <cellStyle name="Accent1 43" xfId="1996" xr:uid="{9196E4A7-95AD-4410-97D0-0B785B4ACCF2}"/>
    <cellStyle name="Accent1 44" xfId="1997" xr:uid="{A7027385-F324-4BB5-819D-649063B11CBA}"/>
    <cellStyle name="Accent1 45" xfId="1998" xr:uid="{69D815EF-4AB7-421A-8561-AB8706BAD2C9}"/>
    <cellStyle name="Accent1 46" xfId="1999" xr:uid="{D0911B00-B824-4F99-B3AB-832E427501E2}"/>
    <cellStyle name="Accent1 47" xfId="2000" xr:uid="{BBEF2F3D-0615-4611-A5E8-3C42D9C6A16B}"/>
    <cellStyle name="Accent1 48" xfId="2001" xr:uid="{686D5E5F-08F0-45B6-A88A-2DC6B01DDBDE}"/>
    <cellStyle name="Accent1 49" xfId="2002" xr:uid="{1DEA32FD-507A-48BC-8E1F-AD0AB64F91A2}"/>
    <cellStyle name="Accent1 5" xfId="2003" xr:uid="{3B5E3BE2-E96D-4B94-AE80-131400F786AF}"/>
    <cellStyle name="Accent1 50" xfId="2004" xr:uid="{D7864738-E698-4255-BBF1-1DC530785458}"/>
    <cellStyle name="Accent1 51" xfId="2005" xr:uid="{BA021826-B890-4E95-86C7-5AF6581377FA}"/>
    <cellStyle name="Accent1 52" xfId="2006" xr:uid="{BE0F8A46-8CE4-4FCD-928A-57021E8DACD2}"/>
    <cellStyle name="Accent1 53" xfId="2007" xr:uid="{7F8EAC5F-62D9-4C9B-9281-A0576697FE03}"/>
    <cellStyle name="Accent1 54" xfId="2008" xr:uid="{70D585BF-F244-45E2-A165-A5890FEDA7F3}"/>
    <cellStyle name="Accent1 55" xfId="2009" xr:uid="{EA2E646D-53EE-4C8D-BB40-5C61B7362192}"/>
    <cellStyle name="Accent1 56" xfId="2010" xr:uid="{A0EF7A0A-C4B5-40AA-ABA5-2301443C54D2}"/>
    <cellStyle name="Accent1 57" xfId="2011" xr:uid="{67B41929-5CC0-4853-8272-7355C3F4D2D4}"/>
    <cellStyle name="Accent1 58" xfId="2012" xr:uid="{B980D7BE-C50D-4A73-B153-487378CA961A}"/>
    <cellStyle name="Accent1 59" xfId="2013" xr:uid="{7A7F3E94-785D-471E-830B-FD24669FB6B4}"/>
    <cellStyle name="Accent1 6" xfId="2014" xr:uid="{288BD1A3-CFF1-4B63-8981-B4BECF342FC4}"/>
    <cellStyle name="Accent1 60" xfId="2015" xr:uid="{6DCD0309-8B9E-48ED-9A08-DC7FA9A7FDA5}"/>
    <cellStyle name="Accent1 61" xfId="2016" xr:uid="{D0AD987B-6B7C-4968-A4DF-04310626489C}"/>
    <cellStyle name="Accent1 62" xfId="2017" xr:uid="{5A3910B9-AFDB-48B8-945E-9F20DDED38FB}"/>
    <cellStyle name="Accent1 63" xfId="2018" xr:uid="{1FF4AE33-37E4-43F4-8BDD-ABF4F56EC1C4}"/>
    <cellStyle name="Accent1 64" xfId="2019" xr:uid="{4108C121-5E65-48EA-8294-3E51CCC32122}"/>
    <cellStyle name="Accent1 65" xfId="2020" xr:uid="{0502839A-AD9D-4073-9A97-16B7A08E136A}"/>
    <cellStyle name="Accent1 66" xfId="2021" xr:uid="{3D61EE46-7111-4A9A-BA8E-CAD5DE2699DD}"/>
    <cellStyle name="Accent1 67" xfId="2022" xr:uid="{289D78C4-0CFA-4153-8814-3D5CA781794D}"/>
    <cellStyle name="Accent1 68" xfId="2023" xr:uid="{A2DA9872-D20D-4F16-8CEF-BD395FE44910}"/>
    <cellStyle name="Accent1 69" xfId="2024" xr:uid="{D56D7B10-54DA-4E4F-BC33-5B0ED55ABCF2}"/>
    <cellStyle name="Accent1 7" xfId="2025" xr:uid="{DD8C5065-12A1-4654-B8D0-B42809B304B9}"/>
    <cellStyle name="Accent1 70" xfId="2026" xr:uid="{6BB59426-8E52-4F5F-BC15-6E07A5B6EF8E}"/>
    <cellStyle name="Accent1 71" xfId="2027" xr:uid="{935FB17E-3BF5-4DE3-9E9B-68A4ED3B5198}"/>
    <cellStyle name="Accent1 72" xfId="2028" xr:uid="{079C5814-AEF4-41F7-94BB-14B6FD321CB2}"/>
    <cellStyle name="Accent1 73" xfId="2029" xr:uid="{7740576C-0B0D-4163-97B3-7492F7D61B99}"/>
    <cellStyle name="Accent1 74" xfId="2030" xr:uid="{4F322690-4FAA-416F-9E16-D4728B0DC640}"/>
    <cellStyle name="Accent1 75" xfId="2031" xr:uid="{40B831D9-0580-4AC2-A5BE-D8E2586DDEFA}"/>
    <cellStyle name="Accent1 8" xfId="2032" xr:uid="{8C44D2AB-B69A-4481-8999-0F1C3ED31B40}"/>
    <cellStyle name="Accent1 9" xfId="2033" xr:uid="{1F97BFF3-62C1-4A79-88F6-F91FF61D34FA}"/>
    <cellStyle name="Accent2 - 20%" xfId="2034" xr:uid="{7D899422-45D2-4B8F-B0D8-8EBCD76E3BD3}"/>
    <cellStyle name="Accent2 - 20% 2" xfId="2035" xr:uid="{3430A8C5-9D5F-46B9-A05D-7C251201646B}"/>
    <cellStyle name="Accent2 - 20%_5130_new" xfId="2036" xr:uid="{AA423CCC-38E0-4141-AC96-33C18DD8B724}"/>
    <cellStyle name="Accent2 - 40%" xfId="2037" xr:uid="{E76F0653-DDFD-435E-95F3-7879BD8EF587}"/>
    <cellStyle name="Accent2 - 40% 2" xfId="2038" xr:uid="{32A9F394-B9E6-4077-ADC8-8A61D7C39B78}"/>
    <cellStyle name="Accent2 - 40%_5130_new" xfId="2039" xr:uid="{FE878625-768B-4CB3-B45B-0B5CC6429122}"/>
    <cellStyle name="Accent2 - 60%" xfId="2040" xr:uid="{E17D96E6-AA5A-4D54-B935-53CB01AB7FFF}"/>
    <cellStyle name="Accent2 10" xfId="2041" xr:uid="{C3CB9C42-2B53-4A06-B104-650DAA9D4C0E}"/>
    <cellStyle name="Accent2 11" xfId="2042" xr:uid="{6E1CAB0C-638D-4A7A-BD85-8FC43C523696}"/>
    <cellStyle name="Accent2 12" xfId="2043" xr:uid="{5787329C-6ABC-4042-8170-D02DDD52FCDC}"/>
    <cellStyle name="Accent2 13" xfId="2044" xr:uid="{B0D898ED-BA99-44A6-AF31-AA48E5CEBFBB}"/>
    <cellStyle name="Accent2 14" xfId="2045" xr:uid="{A8EDFDA1-F0A7-4957-9CA6-EC8FAF761692}"/>
    <cellStyle name="Accent2 15" xfId="2046" xr:uid="{261E1A95-E2EE-4A81-9E82-7189E942B336}"/>
    <cellStyle name="Accent2 16" xfId="2047" xr:uid="{E7B20E45-701A-442A-B47B-0B5882580F25}"/>
    <cellStyle name="Accent2 17" xfId="2048" xr:uid="{57B87DB4-69B4-4985-A902-CF200B80E932}"/>
    <cellStyle name="Accent2 18" xfId="2049" xr:uid="{4967A5C6-CEC4-4612-ABA1-12E025D4407D}"/>
    <cellStyle name="Accent2 19" xfId="2050" xr:uid="{017BAA31-C2AB-420E-929D-C06F485AE39F}"/>
    <cellStyle name="Accent2 2" xfId="2051" xr:uid="{BDF8F632-98F4-453A-9ED6-EDF8706CCE93}"/>
    <cellStyle name="Accent2 2 10" xfId="2052" xr:uid="{C3D7CADA-B56E-4AC8-9B9E-993FEDC4B0A2}"/>
    <cellStyle name="Accent2 2 11" xfId="2053" xr:uid="{184502C4-EC52-4C5B-8D50-02BC04436AA0}"/>
    <cellStyle name="Accent2 2 12" xfId="2054" xr:uid="{DC8917FF-1405-4CD3-8D85-8BB3EBC682B2}"/>
    <cellStyle name="Accent2 2 13" xfId="2055" xr:uid="{330B02EB-63C1-466C-BC8B-9A2BD9C771F9}"/>
    <cellStyle name="Accent2 2 14" xfId="2056" xr:uid="{3F3B8539-27B7-43B5-9667-500E7158154F}"/>
    <cellStyle name="Accent2 2 15" xfId="2057" xr:uid="{444CAF62-DCF1-43A1-BC1D-4FFF02863938}"/>
    <cellStyle name="Accent2 2 16" xfId="2058" xr:uid="{F8F5ABC8-94C4-48CB-8ACC-A70E15635C70}"/>
    <cellStyle name="Accent2 2 17" xfId="2059" xr:uid="{E295A434-C6ED-4A5D-889D-70A47F8104CD}"/>
    <cellStyle name="Accent2 2 18" xfId="2060" xr:uid="{36CB9749-BDAB-49EC-98D1-E74E592EC6E5}"/>
    <cellStyle name="Accent2 2 2" xfId="2061" xr:uid="{D01BA395-5759-483D-8B20-82A10E239116}"/>
    <cellStyle name="Accent2 2 2 10" xfId="2062" xr:uid="{99B7F850-C8A5-4D19-8ACB-9DA1BF04C3AF}"/>
    <cellStyle name="Accent2 2 2 11" xfId="2063" xr:uid="{FC67362E-274D-4A54-BC6D-795D7883852D}"/>
    <cellStyle name="Accent2 2 2 12" xfId="2064" xr:uid="{BEDFF24C-CBD1-42D7-B1E8-6F7BB9EEB905}"/>
    <cellStyle name="Accent2 2 2 13" xfId="2065" xr:uid="{9824F222-8BBD-4569-9ED9-6223DD3AB08C}"/>
    <cellStyle name="Accent2 2 2 14" xfId="2066" xr:uid="{E45DE8AC-9043-4AD5-9C13-07AF35B90EC1}"/>
    <cellStyle name="Accent2 2 2 15" xfId="2067" xr:uid="{D0490058-91DA-48AA-9170-9FDFE207496D}"/>
    <cellStyle name="Accent2 2 2 16" xfId="2068" xr:uid="{18396C61-F74E-4267-ADD3-DDAAC8B17BE5}"/>
    <cellStyle name="Accent2 2 2 17" xfId="2069" xr:uid="{50C38F80-4A8D-45B6-9233-D2F6EC8A968C}"/>
    <cellStyle name="Accent2 2 2 18" xfId="2070" xr:uid="{071A275A-29D9-4B42-AF82-2AC08B82C374}"/>
    <cellStyle name="Accent2 2 2 2" xfId="2071" xr:uid="{1DE6A93D-EA57-4B60-B860-EDF7EB26EB4C}"/>
    <cellStyle name="Accent2 2 2 3" xfId="2072" xr:uid="{0905EA6F-E89E-4E49-B75C-183FAF69FB87}"/>
    <cellStyle name="Accent2 2 2 4" xfId="2073" xr:uid="{2B3AFAFE-0806-4530-9D07-59596E5D5666}"/>
    <cellStyle name="Accent2 2 2 5" xfId="2074" xr:uid="{99481C45-E7CA-4F08-9492-813524852DD1}"/>
    <cellStyle name="Accent2 2 2 6" xfId="2075" xr:uid="{6F4C3B17-7B98-47CB-9BEA-9A3FEEB522C7}"/>
    <cellStyle name="Accent2 2 2 7" xfId="2076" xr:uid="{3B2E5AA2-95E3-42F8-BFDF-C2A2A63D8EDA}"/>
    <cellStyle name="Accent2 2 2 8" xfId="2077" xr:uid="{AD2BE09D-7251-4E4A-97BE-0094905D4821}"/>
    <cellStyle name="Accent2 2 2 9" xfId="2078" xr:uid="{56C61491-E153-475A-8C9E-BFA593E84410}"/>
    <cellStyle name="Accent2 2 2_Equity reconciliation 2013-03" xfId="2079" xr:uid="{25C554FC-24F9-445B-A0B9-A590352E28BC}"/>
    <cellStyle name="Accent2 2 3" xfId="2080" xr:uid="{E3504FC9-9D97-4586-99F7-C33D9BD1144F}"/>
    <cellStyle name="Accent2 2 3 2" xfId="2081" xr:uid="{EEF1751C-D954-4DA8-833A-A1665521EC75}"/>
    <cellStyle name="Accent2 2 3_Derivatives" xfId="2082" xr:uid="{A18F6A8C-DF5F-467C-BD07-AA5420610F20}"/>
    <cellStyle name="Accent2 2 4" xfId="2083" xr:uid="{A1321436-02DA-4286-AED0-75518C6C7500}"/>
    <cellStyle name="Accent2 2 4 2" xfId="2084" xr:uid="{262D0168-6489-4DF1-950B-019BE65B3C38}"/>
    <cellStyle name="Accent2 2 5" xfId="2085" xr:uid="{89D3B756-AF77-4C75-ACBC-CD7FD86DA070}"/>
    <cellStyle name="Accent2 2 6" xfId="2086" xr:uid="{4CF9429A-1835-4F7E-971F-F76CCE6E03B0}"/>
    <cellStyle name="Accent2 2 7" xfId="2087" xr:uid="{430E897C-2F5B-454A-91B4-D4CD560C7E02}"/>
    <cellStyle name="Accent2 2 8" xfId="2088" xr:uid="{58F38ACD-9AFB-4669-BEA8-7572C91A569F}"/>
    <cellStyle name="Accent2 2 9" xfId="2089" xr:uid="{547E9DF3-7F05-4E27-8694-8F7E302A4502}"/>
    <cellStyle name="Accent2 2_5130_new" xfId="2090" xr:uid="{D1C6945C-13C3-4DCD-B166-E322BB0CCDF2}"/>
    <cellStyle name="Accent2 20" xfId="2091" xr:uid="{AC0687D9-D293-4100-B6AC-737DD83B51DF}"/>
    <cellStyle name="Accent2 21" xfId="2092" xr:uid="{B3AC859C-8014-4807-8B17-1A6AAD980DF2}"/>
    <cellStyle name="Accent2 22" xfId="2093" xr:uid="{33435EE4-EC54-4B63-9392-DDB16524FE32}"/>
    <cellStyle name="Accent2 23" xfId="2094" xr:uid="{CCD70071-E42C-4B9C-B05E-D8D1EAB985B6}"/>
    <cellStyle name="Accent2 24" xfId="2095" xr:uid="{155E8DFD-8F49-4E3F-9B79-C5F47908F3D8}"/>
    <cellStyle name="Accent2 25" xfId="2096" xr:uid="{67F363A7-9089-4114-BDC9-732DFBB89ACE}"/>
    <cellStyle name="Accent2 26" xfId="2097" xr:uid="{0633562D-7A90-485C-A14C-F761926F9799}"/>
    <cellStyle name="Accent2 27" xfId="2098" xr:uid="{DA833AAB-E3A7-4925-9E8E-F106536DE725}"/>
    <cellStyle name="Accent2 28" xfId="2099" xr:uid="{263346B1-20D2-437E-87DB-34636007EAF9}"/>
    <cellStyle name="Accent2 29" xfId="2100" xr:uid="{2ABBF787-F045-4964-A23E-B3AB94ED646C}"/>
    <cellStyle name="Accent2 3" xfId="2101" xr:uid="{C171B375-A5CE-41D8-B60F-91EAC551313A}"/>
    <cellStyle name="Accent2 3 2" xfId="2102" xr:uid="{4717FABF-685E-41F4-8F9D-5E71335B0856}"/>
    <cellStyle name="Accent2 3 3" xfId="2103" xr:uid="{181B7C6A-EB94-4A3F-8493-88A8D9B55E6D}"/>
    <cellStyle name="Accent2 3 4" xfId="2104" xr:uid="{2B68708C-C02F-4FEB-BF1C-7FE0BDD10EA3}"/>
    <cellStyle name="Accent2 3 5" xfId="2105" xr:uid="{ED02E606-00DD-438C-A50E-E0ADF992DE85}"/>
    <cellStyle name="Accent2 3 6" xfId="2106" xr:uid="{4A56F3FF-6DC1-4187-8819-72A021548871}"/>
    <cellStyle name="Accent2 3 7" xfId="2107" xr:uid="{75C2A8A1-6B8F-42E6-BDB9-E1DF0D47C42F}"/>
    <cellStyle name="Accent2 3 8" xfId="2108" xr:uid="{9F6ECCF4-01AB-4B6A-9752-C86231B27574}"/>
    <cellStyle name="Accent2 3 9" xfId="2109" xr:uid="{D95590B0-BDA4-45D8-9849-5EB84F965628}"/>
    <cellStyle name="Accent2 3_EQU" xfId="2110" xr:uid="{1182674B-F456-4FAD-A443-1F88D19F78A9}"/>
    <cellStyle name="Accent2 30" xfId="2111" xr:uid="{F4504BCE-CE97-441D-B847-0786B6FF99EB}"/>
    <cellStyle name="Accent2 31" xfId="2112" xr:uid="{B36996F4-9013-4C31-8000-5D5A652F48C7}"/>
    <cellStyle name="Accent2 32" xfId="2113" xr:uid="{83EBA2BF-0E7A-44EC-BC52-8BEFD86FED7E}"/>
    <cellStyle name="Accent2 33" xfId="2114" xr:uid="{6691E27B-C54A-439E-9648-75A81B116791}"/>
    <cellStyle name="Accent2 34" xfId="2115" xr:uid="{7D95B572-4ECD-4576-898D-4CF45DF4FC3D}"/>
    <cellStyle name="Accent2 35" xfId="2116" xr:uid="{FCB0850C-B89E-4868-BBBC-3026C87E59A8}"/>
    <cellStyle name="Accent2 36" xfId="2117" xr:uid="{582A6C50-D0FA-430C-8504-2C4D58D63EB5}"/>
    <cellStyle name="Accent2 37" xfId="2118" xr:uid="{666E1033-60D3-47F5-8706-0F7004B733B8}"/>
    <cellStyle name="Accent2 38" xfId="2119" xr:uid="{6E9299EE-54F2-4648-9F36-6E0F9EEA643E}"/>
    <cellStyle name="Accent2 39" xfId="2120" xr:uid="{C927E2AA-EC97-49FA-BB68-592D52E75674}"/>
    <cellStyle name="Accent2 4" xfId="2121" xr:uid="{EA47C5C3-0FCF-4B81-8BEC-6E1528B4BF7D}"/>
    <cellStyle name="Accent2 4 2" xfId="2122" xr:uid="{4832568B-FBDA-4446-9530-4C9FC1847C59}"/>
    <cellStyle name="Accent2 4 3" xfId="2123" xr:uid="{5A13E04C-B8FC-40B2-A14F-CFFB327F5BBB}"/>
    <cellStyle name="Accent2 4_EQU" xfId="2124" xr:uid="{CC50A238-92D1-47E5-B0C5-25B4E5805E5E}"/>
    <cellStyle name="Accent2 40" xfId="2125" xr:uid="{F21AC08C-80EC-4FB0-8A66-BADBC3558F5B}"/>
    <cellStyle name="Accent2 41" xfId="2126" xr:uid="{F9647D88-5D5B-4017-9A27-7544AC32AE73}"/>
    <cellStyle name="Accent2 42" xfId="2127" xr:uid="{9C47DBDE-FB33-4CE2-B9F6-9123B4B03B56}"/>
    <cellStyle name="Accent2 43" xfId="2128" xr:uid="{B83EDBFB-C86F-415A-A5CE-2F12B006E98C}"/>
    <cellStyle name="Accent2 44" xfId="2129" xr:uid="{DADE54F0-13FB-46DA-88B0-F68EF978417E}"/>
    <cellStyle name="Accent2 45" xfId="2130" xr:uid="{1E7B35C3-C270-4296-BCC6-BA2349BAAA00}"/>
    <cellStyle name="Accent2 46" xfId="2131" xr:uid="{9AC1D4BD-E64A-47A5-B5EB-7E994DC93B28}"/>
    <cellStyle name="Accent2 47" xfId="2132" xr:uid="{6A5E8332-6F23-46D7-8424-5E85AF4C20F1}"/>
    <cellStyle name="Accent2 48" xfId="2133" xr:uid="{3BEB9640-B785-4112-9B6E-24BDB1FDB361}"/>
    <cellStyle name="Accent2 49" xfId="2134" xr:uid="{F5DE4861-1DDE-4F2E-B912-2D651C5204DD}"/>
    <cellStyle name="Accent2 5" xfId="2135" xr:uid="{E3D2732E-7CA2-4E21-9B20-2C847AD528B7}"/>
    <cellStyle name="Accent2 50" xfId="2136" xr:uid="{B96F6157-CE87-4BCF-92C3-3B228E7A7FF6}"/>
    <cellStyle name="Accent2 51" xfId="2137" xr:uid="{0561049D-445E-4891-9F56-A5B892954E19}"/>
    <cellStyle name="Accent2 52" xfId="2138" xr:uid="{EDA39CA1-B4D0-40CE-8CF8-3748E99CCC15}"/>
    <cellStyle name="Accent2 53" xfId="2139" xr:uid="{E934BF2C-16EF-4454-9774-DAC5EF014047}"/>
    <cellStyle name="Accent2 54" xfId="2140" xr:uid="{01A1A6EF-425E-4A39-973F-4398016A7DA9}"/>
    <cellStyle name="Accent2 55" xfId="2141" xr:uid="{29FE62B0-6B1E-4B26-889E-8D3971FBDF01}"/>
    <cellStyle name="Accent2 56" xfId="2142" xr:uid="{EE5B3029-96B9-468E-A3C9-F586FF3EC206}"/>
    <cellStyle name="Accent2 57" xfId="2143" xr:uid="{E4B37BAE-E328-4D60-A1D6-B0919870F72B}"/>
    <cellStyle name="Accent2 58" xfId="2144" xr:uid="{4AAA8B61-6035-4E10-9347-99A6F6C21449}"/>
    <cellStyle name="Accent2 59" xfId="2145" xr:uid="{96DCCF16-ECD5-4D25-A70D-85936DB4B95E}"/>
    <cellStyle name="Accent2 6" xfId="2146" xr:uid="{9C22229C-8722-4CB3-84A2-0064FC6C9A61}"/>
    <cellStyle name="Accent2 60" xfId="2147" xr:uid="{212E8A7B-B40F-456B-B764-392C56C690E1}"/>
    <cellStyle name="Accent2 61" xfId="2148" xr:uid="{47C031D5-6D1B-4264-881B-4413CDD099AB}"/>
    <cellStyle name="Accent2 62" xfId="2149" xr:uid="{68CD339D-52F8-4DDE-8798-DF93D7020EE9}"/>
    <cellStyle name="Accent2 63" xfId="2150" xr:uid="{2F6B36F5-8F47-4E08-A650-8E59D1A8280B}"/>
    <cellStyle name="Accent2 64" xfId="2151" xr:uid="{DEF385D2-C0E9-4941-A327-B2809619F09D}"/>
    <cellStyle name="Accent2 65" xfId="2152" xr:uid="{60A2973C-8A09-46C8-8965-BB0B29715B06}"/>
    <cellStyle name="Accent2 66" xfId="2153" xr:uid="{21CD5250-AB26-4D9C-BDC9-8DC649A81B13}"/>
    <cellStyle name="Accent2 67" xfId="2154" xr:uid="{B4B4CC90-D6E3-4E2C-BE85-D2590F31277E}"/>
    <cellStyle name="Accent2 68" xfId="2155" xr:uid="{95C15729-1A9F-46A5-B052-2B5FFBB790AF}"/>
    <cellStyle name="Accent2 69" xfId="2156" xr:uid="{CA6023A1-9C34-4D64-8617-C5515E911ED9}"/>
    <cellStyle name="Accent2 7" xfId="2157" xr:uid="{CEAE4020-E579-477B-A2DB-3DEF7A72F515}"/>
    <cellStyle name="Accent2 70" xfId="2158" xr:uid="{67CBAFA8-78B6-4544-BF9A-574920B36C6D}"/>
    <cellStyle name="Accent2 71" xfId="2159" xr:uid="{BA3EE59A-7488-4A31-BE12-F6803ED0301D}"/>
    <cellStyle name="Accent2 72" xfId="2160" xr:uid="{75488BC6-A859-43AB-91E5-FA4616B85435}"/>
    <cellStyle name="Accent2 73" xfId="2161" xr:uid="{AF216696-C77F-44D7-B102-ECF2524DBACD}"/>
    <cellStyle name="Accent2 74" xfId="2162" xr:uid="{1CBFF079-F6CA-4415-AC46-021D025D5802}"/>
    <cellStyle name="Accent2 75" xfId="2163" xr:uid="{E41B6C80-3437-4A86-8C96-279A9664876C}"/>
    <cellStyle name="Accent2 8" xfId="2164" xr:uid="{14E480B8-931D-4739-90EB-5823B13DC8CD}"/>
    <cellStyle name="Accent2 9" xfId="2165" xr:uid="{1E203D97-F543-4782-8275-9B33763F24A9}"/>
    <cellStyle name="Accent3 - 20%" xfId="2166" xr:uid="{99F92F98-02E5-4FD7-9ECA-4A1D71473217}"/>
    <cellStyle name="Accent3 - 20% 2" xfId="2167" xr:uid="{59C15CCE-1F3F-4D99-A4C6-D9B909932F6C}"/>
    <cellStyle name="Accent3 - 20%_5130_new" xfId="2168" xr:uid="{1C33FBA2-C38B-46D1-BB90-61BDF44B7ACD}"/>
    <cellStyle name="Accent3 - 40%" xfId="2169" xr:uid="{6469C1B0-F9B4-4A1D-A642-A3F2899E3763}"/>
    <cellStyle name="Accent3 - 40% 2" xfId="2170" xr:uid="{177170FA-4AA4-443C-B7E6-25520B035C20}"/>
    <cellStyle name="Accent3 - 40%_5130_new" xfId="2171" xr:uid="{16F16E13-AADF-4362-9770-52BD270D2B3E}"/>
    <cellStyle name="Accent3 - 60%" xfId="2172" xr:uid="{E34ED00C-54EC-4D9D-AB71-34B2F65D90D4}"/>
    <cellStyle name="Accent3 10" xfId="2173" xr:uid="{A47DED40-8719-419E-966C-F8F7DB5F1159}"/>
    <cellStyle name="Accent3 11" xfId="2174" xr:uid="{63AC89BC-89F8-4B47-9360-667919D30921}"/>
    <cellStyle name="Accent3 12" xfId="2175" xr:uid="{ACE7B5E3-6EFB-4420-A83E-7BF0990F8C67}"/>
    <cellStyle name="Accent3 13" xfId="2176" xr:uid="{3C2B61FA-E952-4B9A-A025-2E273A5EA65F}"/>
    <cellStyle name="Accent3 14" xfId="2177" xr:uid="{DEC50B3C-DE48-4C33-BC77-9440FC4739CE}"/>
    <cellStyle name="Accent3 15" xfId="2178" xr:uid="{FF4C176B-5B25-4848-9890-63F3258E3E5E}"/>
    <cellStyle name="Accent3 16" xfId="2179" xr:uid="{594ECF41-154E-4A1B-BF4B-09A35FBDDFA1}"/>
    <cellStyle name="Accent3 17" xfId="2180" xr:uid="{1DC39EEB-5E2D-4C6E-BC25-DF5AD8DFAB7B}"/>
    <cellStyle name="Accent3 18" xfId="2181" xr:uid="{C84E4A01-3848-4D87-AEE3-7533D2737637}"/>
    <cellStyle name="Accent3 19" xfId="2182" xr:uid="{29849BAC-3CC6-4796-9299-C8ECD1BB3D94}"/>
    <cellStyle name="Accent3 2" xfId="2183" xr:uid="{37B3A948-4245-4D90-BB08-59F9DDD7B908}"/>
    <cellStyle name="Accent3 2 10" xfId="2184" xr:uid="{FBE4E938-7D4C-4D11-8BA7-2A22C42A1410}"/>
    <cellStyle name="Accent3 2 11" xfId="2185" xr:uid="{E1B3AF30-4393-4762-BBA5-57D4B956638F}"/>
    <cellStyle name="Accent3 2 12" xfId="2186" xr:uid="{4B2372D9-A732-4FC9-9F5C-1977A2E9879F}"/>
    <cellStyle name="Accent3 2 13" xfId="2187" xr:uid="{FA289300-D6A6-4856-9523-506499482786}"/>
    <cellStyle name="Accent3 2 14" xfId="2188" xr:uid="{8D7974B6-1422-4F06-866F-7F08EFD68298}"/>
    <cellStyle name="Accent3 2 15" xfId="2189" xr:uid="{5B286096-6F23-4CFD-AE9F-EBA15BE1D6C9}"/>
    <cellStyle name="Accent3 2 16" xfId="2190" xr:uid="{0AB6CC37-6456-4905-BF9A-21A67471A9BF}"/>
    <cellStyle name="Accent3 2 17" xfId="2191" xr:uid="{167E690D-CD1A-47E1-854D-B069FC370B6A}"/>
    <cellStyle name="Accent3 2 18" xfId="2192" xr:uid="{B159465E-098C-4D2B-9C8A-3045902583B8}"/>
    <cellStyle name="Accent3 2 2" xfId="2193" xr:uid="{BE1BD25C-276F-4CD1-A677-70442D6D85DA}"/>
    <cellStyle name="Accent3 2 2 10" xfId="2194" xr:uid="{513E1F38-76C7-45ED-A832-457D9DC3DE8F}"/>
    <cellStyle name="Accent3 2 2 11" xfId="2195" xr:uid="{A253D450-08FE-4F78-8903-244FF0FD71F3}"/>
    <cellStyle name="Accent3 2 2 12" xfId="2196" xr:uid="{2C04153C-55E8-4EB9-9CD0-1D84E63AA936}"/>
    <cellStyle name="Accent3 2 2 13" xfId="2197" xr:uid="{AA2E4274-D147-4FAB-BE49-5802F24D3458}"/>
    <cellStyle name="Accent3 2 2 14" xfId="2198" xr:uid="{A0FBE4A7-25B7-43CC-AC0B-CEA483D943B7}"/>
    <cellStyle name="Accent3 2 2 15" xfId="2199" xr:uid="{17E10687-1FD0-448C-91D1-788D990E2231}"/>
    <cellStyle name="Accent3 2 2 16" xfId="2200" xr:uid="{C03C3752-9FDB-4360-B0BA-8A24591FC230}"/>
    <cellStyle name="Accent3 2 2 17" xfId="2201" xr:uid="{8915DDBE-2ED2-4A63-A6FE-FA199C6AFCAD}"/>
    <cellStyle name="Accent3 2 2 18" xfId="2202" xr:uid="{8E6C29C9-1DDE-4D33-9761-574C276A95F0}"/>
    <cellStyle name="Accent3 2 2 2" xfId="2203" xr:uid="{94E302B4-CD5E-4848-9274-C29D61605D2D}"/>
    <cellStyle name="Accent3 2 2 3" xfId="2204" xr:uid="{7024EE7E-4F32-49B6-A1D5-49F04CB6876F}"/>
    <cellStyle name="Accent3 2 2 4" xfId="2205" xr:uid="{97EFCAFA-4104-4075-B2A5-78F76E67C336}"/>
    <cellStyle name="Accent3 2 2 5" xfId="2206" xr:uid="{5A2017D5-FB68-48D2-8D80-112B1C1F4DB1}"/>
    <cellStyle name="Accent3 2 2 6" xfId="2207" xr:uid="{0F0207CC-DAC8-4E5E-A464-7FF03CD16BA0}"/>
    <cellStyle name="Accent3 2 2 7" xfId="2208" xr:uid="{586FB658-A114-44CD-B684-521EE39872E2}"/>
    <cellStyle name="Accent3 2 2 8" xfId="2209" xr:uid="{A465570A-F9D8-4DBF-A53E-5A7E21F0F532}"/>
    <cellStyle name="Accent3 2 2 9" xfId="2210" xr:uid="{D0FC36AE-6BB5-4469-9868-A433C6741658}"/>
    <cellStyle name="Accent3 2 2_Equity reconciliation 2013-03" xfId="2211" xr:uid="{D0394029-65C6-49C4-9716-A714F7E641A0}"/>
    <cellStyle name="Accent3 2 3" xfId="2212" xr:uid="{44FDC8DA-352A-4787-B0EC-B97DBA60518C}"/>
    <cellStyle name="Accent3 2 3 2" xfId="2213" xr:uid="{9908BC39-C0D6-4676-944C-3A7556FAEE0C}"/>
    <cellStyle name="Accent3 2 3_Derivatives" xfId="2214" xr:uid="{CF3973C7-3EFA-49C1-A4A6-ED7C3C36AED5}"/>
    <cellStyle name="Accent3 2 4" xfId="2215" xr:uid="{A725055A-4822-4942-AEB5-94EA3465DEB0}"/>
    <cellStyle name="Accent3 2 4 2" xfId="2216" xr:uid="{9EA2AEBB-10AD-4A3E-B922-F356F012BA15}"/>
    <cellStyle name="Accent3 2 5" xfId="2217" xr:uid="{BDB04C5C-6578-4CDF-9A97-AE4A969CAF02}"/>
    <cellStyle name="Accent3 2 6" xfId="2218" xr:uid="{750677D2-4121-4B43-B092-D711CC356A46}"/>
    <cellStyle name="Accent3 2 7" xfId="2219" xr:uid="{07854B74-A340-42C8-BE08-2B0FBC437391}"/>
    <cellStyle name="Accent3 2 8" xfId="2220" xr:uid="{4A82C14E-9506-4E3A-8334-B35ABB8688D9}"/>
    <cellStyle name="Accent3 2 9" xfId="2221" xr:uid="{8C1AF114-0BAF-4341-860D-710814FF86CB}"/>
    <cellStyle name="Accent3 2_5130_new" xfId="2222" xr:uid="{09573EE8-1D7D-4959-9D8C-FA96B8CFB5E4}"/>
    <cellStyle name="Accent3 20" xfId="2223" xr:uid="{9704AD75-D0B2-495B-BFB2-ABB1FF81AE10}"/>
    <cellStyle name="Accent3 21" xfId="2224" xr:uid="{584AFCA4-3489-44D7-83DD-A849437634B7}"/>
    <cellStyle name="Accent3 22" xfId="2225" xr:uid="{7B0F3D48-5008-4628-BBA4-3F4777A8F84F}"/>
    <cellStyle name="Accent3 23" xfId="2226" xr:uid="{D757B346-402D-46BA-8F75-5393D6EC0B9F}"/>
    <cellStyle name="Accent3 24" xfId="2227" xr:uid="{FA8E058C-C7F4-4A19-B635-B6F795F416B1}"/>
    <cellStyle name="Accent3 25" xfId="2228" xr:uid="{4490F2D2-CF43-4588-953B-E71F76D9C9F0}"/>
    <cellStyle name="Accent3 26" xfId="2229" xr:uid="{A7D791D4-6ABA-40BD-A61D-F8CAB822457F}"/>
    <cellStyle name="Accent3 27" xfId="2230" xr:uid="{B3BE6B93-2B4A-4CF0-B338-C926B774D81F}"/>
    <cellStyle name="Accent3 28" xfId="2231" xr:uid="{8869E01D-E2D0-4D46-A3F1-B5A5C766E741}"/>
    <cellStyle name="Accent3 29" xfId="2232" xr:uid="{091F906D-83E0-4382-9DEB-2CADF37EAD0F}"/>
    <cellStyle name="Accent3 3" xfId="2233" xr:uid="{FD87AFBB-6EA8-434E-B20D-47A97CFE8243}"/>
    <cellStyle name="Accent3 3 2" xfId="2234" xr:uid="{01DEECC1-003C-4CC3-8B8D-40665C1B3DEC}"/>
    <cellStyle name="Accent3 3 3" xfId="2235" xr:uid="{B4682FA3-5DD4-41C8-ADA2-A68A0C01078D}"/>
    <cellStyle name="Accent3 3 4" xfId="2236" xr:uid="{03F4E998-27A9-49B2-8D65-FEC1878B8C6B}"/>
    <cellStyle name="Accent3 3 5" xfId="2237" xr:uid="{D6BBE3C1-F530-481F-8D93-E83DC7389576}"/>
    <cellStyle name="Accent3 3 6" xfId="2238" xr:uid="{073D88F7-4F79-492A-B52E-E780AFFB5B2E}"/>
    <cellStyle name="Accent3 3 7" xfId="2239" xr:uid="{A14736E4-5D64-4C2C-8316-F61E9B354303}"/>
    <cellStyle name="Accent3 3 8" xfId="2240" xr:uid="{69042CD5-9471-4A26-980C-547BFB00E65A}"/>
    <cellStyle name="Accent3 3 9" xfId="2241" xr:uid="{851DDBA9-A1CB-4A10-BC64-676CB01F81DC}"/>
    <cellStyle name="Accent3 3_EQU" xfId="2242" xr:uid="{E90E0597-7F54-48FE-A3AD-08C13AA8C1C8}"/>
    <cellStyle name="Accent3 30" xfId="2243" xr:uid="{98E5C56A-AD8B-48CB-BAFA-D68B09BE8206}"/>
    <cellStyle name="Accent3 31" xfId="2244" xr:uid="{68B26B68-CC22-460E-A11D-F76C1ACFFD90}"/>
    <cellStyle name="Accent3 32" xfId="2245" xr:uid="{10C6169F-571E-43CE-BB83-3F6D1CCCC7F0}"/>
    <cellStyle name="Accent3 33" xfId="2246" xr:uid="{E1AA5151-D249-4A30-B090-D6CD86D9E056}"/>
    <cellStyle name="Accent3 34" xfId="2247" xr:uid="{90707861-DD7B-45FD-A51E-33624B7EA99B}"/>
    <cellStyle name="Accent3 35" xfId="2248" xr:uid="{6D844F9C-5B55-485F-B202-473C80C38DC9}"/>
    <cellStyle name="Accent3 36" xfId="2249" xr:uid="{493E3D76-5876-4ADE-85C9-F519AC3C394F}"/>
    <cellStyle name="Accent3 37" xfId="2250" xr:uid="{0571BDC4-DA0E-4441-9A1A-40E83009E683}"/>
    <cellStyle name="Accent3 38" xfId="2251" xr:uid="{E4D806E4-954E-454C-8702-C742DBEC63F5}"/>
    <cellStyle name="Accent3 39" xfId="2252" xr:uid="{F6075D74-AF7D-40AE-AE43-7A7042C147DD}"/>
    <cellStyle name="Accent3 4" xfId="2253" xr:uid="{B211783E-9A16-4217-836F-C42C7DD75E97}"/>
    <cellStyle name="Accent3 4 2" xfId="2254" xr:uid="{23BB3EFA-35DE-4C43-B07F-965506443F88}"/>
    <cellStyle name="Accent3 4 3" xfId="2255" xr:uid="{C16FA1E7-E412-4DC6-9627-D77B587A0F4F}"/>
    <cellStyle name="Accent3 4_EQU" xfId="2256" xr:uid="{028E271D-FB33-4A1E-ADBE-D53F92365C9D}"/>
    <cellStyle name="Accent3 40" xfId="2257" xr:uid="{0CE5B13F-E6D4-45D0-B27F-C1E6E5225E0F}"/>
    <cellStyle name="Accent3 41" xfId="2258" xr:uid="{9BF17169-525D-4EED-A7FB-97F28473EB2F}"/>
    <cellStyle name="Accent3 42" xfId="2259" xr:uid="{3A0B7D90-9528-4BC2-9932-8E22BF1AE392}"/>
    <cellStyle name="Accent3 43" xfId="2260" xr:uid="{B1D8BE8B-BE63-4573-B96F-06F07075A74C}"/>
    <cellStyle name="Accent3 44" xfId="2261" xr:uid="{EF996A8B-DC32-4126-AA6B-630283C5BCF3}"/>
    <cellStyle name="Accent3 45" xfId="2262" xr:uid="{5D4E389A-A7DF-484A-A0C2-8D6B1EE543DA}"/>
    <cellStyle name="Accent3 46" xfId="2263" xr:uid="{31EAC09D-D51C-48B5-8E20-96B71571E6BD}"/>
    <cellStyle name="Accent3 47" xfId="2264" xr:uid="{B26274B1-AB33-4CEE-8406-4DB1CE8BC53D}"/>
    <cellStyle name="Accent3 48" xfId="2265" xr:uid="{29099008-41B8-4DC0-870E-687391B06CC0}"/>
    <cellStyle name="Accent3 49" xfId="2266" xr:uid="{95E09A6F-3671-4433-9329-ED87612AB800}"/>
    <cellStyle name="Accent3 5" xfId="2267" xr:uid="{64588F97-E791-4949-846C-3B931636B0C7}"/>
    <cellStyle name="Accent3 50" xfId="2268" xr:uid="{F7620715-CF82-4574-8BBE-DB5F98A4ED82}"/>
    <cellStyle name="Accent3 51" xfId="2269" xr:uid="{C6230B6D-7D94-4C0B-868F-97BFA539D2F2}"/>
    <cellStyle name="Accent3 52" xfId="2270" xr:uid="{3297A9B3-97EE-4E61-BACA-C3C87F03E05E}"/>
    <cellStyle name="Accent3 53" xfId="2271" xr:uid="{8866D30D-B583-45AB-9CB0-46FC2B64A828}"/>
    <cellStyle name="Accent3 54" xfId="2272" xr:uid="{1D2057C9-D551-41EC-BA96-9983708F7D7E}"/>
    <cellStyle name="Accent3 55" xfId="2273" xr:uid="{5FD15414-AB97-44F7-8EA7-F257F19FDA28}"/>
    <cellStyle name="Accent3 56" xfId="2274" xr:uid="{39058B8C-6156-45D6-B5C6-C9B50B833850}"/>
    <cellStyle name="Accent3 57" xfId="2275" xr:uid="{2511244E-DC16-4C13-A783-C98F7056B133}"/>
    <cellStyle name="Accent3 58" xfId="2276" xr:uid="{E3B9960C-7901-496F-8488-65E548E4F4B5}"/>
    <cellStyle name="Accent3 59" xfId="2277" xr:uid="{644288C8-E5BA-4766-9011-FF47950CA3DD}"/>
    <cellStyle name="Accent3 6" xfId="2278" xr:uid="{F7073468-113C-451B-AE24-69AD0C95B4D7}"/>
    <cellStyle name="Accent3 60" xfId="2279" xr:uid="{26B546FF-B28A-4842-98EA-D11FF950695B}"/>
    <cellStyle name="Accent3 61" xfId="2280" xr:uid="{D7397800-C3AA-4C9D-98AD-5B668EBEC7FA}"/>
    <cellStyle name="Accent3 62" xfId="2281" xr:uid="{3B460F92-CDCC-4683-93A7-175C92972E8D}"/>
    <cellStyle name="Accent3 63" xfId="2282" xr:uid="{6744E00D-FCD9-47C0-BDD9-90883D6EA38B}"/>
    <cellStyle name="Accent3 64" xfId="2283" xr:uid="{8E3ACF36-F10F-4670-B371-7B8ADD8526BD}"/>
    <cellStyle name="Accent3 65" xfId="2284" xr:uid="{E7557F57-CDFD-4DE0-AF68-85C958B6DC55}"/>
    <cellStyle name="Accent3 66" xfId="2285" xr:uid="{92277C58-4E99-4710-9D04-225E7EBDF7FA}"/>
    <cellStyle name="Accent3 67" xfId="2286" xr:uid="{0445F6E8-EC7E-4E5C-9219-EAE29B2AA827}"/>
    <cellStyle name="Accent3 68" xfId="2287" xr:uid="{1BDE5AA0-F08A-4559-9200-593E48E8BE3E}"/>
    <cellStyle name="Accent3 69" xfId="2288" xr:uid="{CEDFFC50-0E57-4F9C-B4B0-36038F18D4ED}"/>
    <cellStyle name="Accent3 7" xfId="2289" xr:uid="{9326659D-E55A-4413-A9BE-12EB48AB1D09}"/>
    <cellStyle name="Accent3 70" xfId="2290" xr:uid="{E4C223D5-6D82-4319-A8BF-8787D343D838}"/>
    <cellStyle name="Accent3 71" xfId="2291" xr:uid="{EA7A8127-516F-42B8-BEE8-3C774646F2E6}"/>
    <cellStyle name="Accent3 72" xfId="2292" xr:uid="{77E38C24-1F86-4228-BAEA-B8967689057F}"/>
    <cellStyle name="Accent3 73" xfId="2293" xr:uid="{7A825C7F-4B71-40C4-905E-3F3C1CAD74E0}"/>
    <cellStyle name="Accent3 74" xfId="2294" xr:uid="{D0DC85CE-7442-4987-BB65-DAE647EF1BB3}"/>
    <cellStyle name="Accent3 75" xfId="2295" xr:uid="{A75305DB-24FD-430C-A54D-44E56A70A6FB}"/>
    <cellStyle name="Accent3 8" xfId="2296" xr:uid="{E94FDBD8-B904-4974-A6CA-DB7C08AE262E}"/>
    <cellStyle name="Accent3 9" xfId="2297" xr:uid="{35C6422F-EE1B-4F02-AC8D-F61681F81558}"/>
    <cellStyle name="Accent4 - 20%" xfId="2298" xr:uid="{AF41D5E0-D27E-4279-9C5F-1F448690DAFB}"/>
    <cellStyle name="Accent4 - 20% 2" xfId="2299" xr:uid="{609EAA16-0FDF-458E-8D29-209415B07641}"/>
    <cellStyle name="Accent4 - 20%_5130_new" xfId="2300" xr:uid="{1F3C8A57-1308-4901-85B5-9AC8F53C2CAC}"/>
    <cellStyle name="Accent4 - 40%" xfId="2301" xr:uid="{0195ECE3-82A3-41BF-B7BD-5E67B850EB6E}"/>
    <cellStyle name="Accent4 - 40% 2" xfId="2302" xr:uid="{CA2572B1-141A-4C5E-A87A-A013BBD7448A}"/>
    <cellStyle name="Accent4 - 40%_5130_new" xfId="2303" xr:uid="{50989642-AB32-477B-B096-D1EA847E17DA}"/>
    <cellStyle name="Accent4 - 60%" xfId="2304" xr:uid="{E5BF6C42-50C9-4927-A57E-026FF998306D}"/>
    <cellStyle name="Accent4 10" xfId="2305" xr:uid="{0E52EBBB-0BA2-481F-8579-B261FA531228}"/>
    <cellStyle name="Accent4 11" xfId="2306" xr:uid="{EFC980E2-717F-4BCE-A2BF-8E32A41D1685}"/>
    <cellStyle name="Accent4 12" xfId="2307" xr:uid="{543760BE-430A-46A3-84F8-3469443CB3AA}"/>
    <cellStyle name="Accent4 13" xfId="2308" xr:uid="{1820B57C-22AF-44FE-8722-6533F6225488}"/>
    <cellStyle name="Accent4 14" xfId="2309" xr:uid="{FEBEA8E5-2894-4CC6-834D-23FEA5080B2C}"/>
    <cellStyle name="Accent4 15" xfId="2310" xr:uid="{79C42DD3-9B99-435E-A0B8-FBC734402474}"/>
    <cellStyle name="Accent4 16" xfId="2311" xr:uid="{C7CE7630-723C-499A-8983-500590221D60}"/>
    <cellStyle name="Accent4 17" xfId="2312" xr:uid="{344FF311-9F53-4BC8-B470-808A6338E0F8}"/>
    <cellStyle name="Accent4 18" xfId="2313" xr:uid="{45A653FA-3F70-4639-9122-548DDADF7C53}"/>
    <cellStyle name="Accent4 19" xfId="2314" xr:uid="{316A21B4-4FBA-4432-B640-FCF9C7690C42}"/>
    <cellStyle name="Accent4 2" xfId="2315" xr:uid="{0BEAE8FD-35A9-4C13-8F53-10B5400999F9}"/>
    <cellStyle name="Accent4 2 10" xfId="2316" xr:uid="{E4535874-866D-48CE-A1F3-ABBF77DA75ED}"/>
    <cellStyle name="Accent4 2 11" xfId="2317" xr:uid="{D4D72C1D-F742-4954-8CD8-81DF16AE54BB}"/>
    <cellStyle name="Accent4 2 12" xfId="2318" xr:uid="{6724B1E5-5FEA-45B6-B49B-EF9AD89968AD}"/>
    <cellStyle name="Accent4 2 13" xfId="2319" xr:uid="{F29EE18F-6946-4F92-AAAF-2C692342FF61}"/>
    <cellStyle name="Accent4 2 14" xfId="2320" xr:uid="{E5266BEF-ECB2-4C72-91BD-AEE5FD7A8A35}"/>
    <cellStyle name="Accent4 2 15" xfId="2321" xr:uid="{128E705D-C011-4903-A6C5-D071AC327B26}"/>
    <cellStyle name="Accent4 2 16" xfId="2322" xr:uid="{C541F44B-554D-472B-9079-52144716E419}"/>
    <cellStyle name="Accent4 2 17" xfId="2323" xr:uid="{C8FD3658-A8BD-4927-9658-098541CF55B5}"/>
    <cellStyle name="Accent4 2 18" xfId="2324" xr:uid="{ECA91B52-00DE-40AC-9CED-AC34B0B1C4B6}"/>
    <cellStyle name="Accent4 2 2" xfId="2325" xr:uid="{95BD3BF7-7D44-44D6-B55E-D579BB4B432C}"/>
    <cellStyle name="Accent4 2 2 10" xfId="2326" xr:uid="{46D680AB-F2F8-432A-B16A-1E3B361D354A}"/>
    <cellStyle name="Accent4 2 2 11" xfId="2327" xr:uid="{5999BEEF-B673-42D6-ADA8-6FFE08F91723}"/>
    <cellStyle name="Accent4 2 2 12" xfId="2328" xr:uid="{33E5477A-CCF0-427C-BA74-943A7DE752EF}"/>
    <cellStyle name="Accent4 2 2 13" xfId="2329" xr:uid="{EC882519-B753-421E-8DC6-4BAE2754B479}"/>
    <cellStyle name="Accent4 2 2 14" xfId="2330" xr:uid="{41FAF26B-1E2B-4AB6-831C-E11FD08A5F4C}"/>
    <cellStyle name="Accent4 2 2 15" xfId="2331" xr:uid="{D9FC5F0C-5992-4C88-BDCD-23EBA395E87A}"/>
    <cellStyle name="Accent4 2 2 16" xfId="2332" xr:uid="{32C348E9-AA4E-4237-A9E9-C043CA496D49}"/>
    <cellStyle name="Accent4 2 2 17" xfId="2333" xr:uid="{EACCDF4C-99DE-4278-9A3C-F2B8363AC3C9}"/>
    <cellStyle name="Accent4 2 2 18" xfId="2334" xr:uid="{CCF711BF-70B5-4E09-8A33-14D0381D9B36}"/>
    <cellStyle name="Accent4 2 2 2" xfId="2335" xr:uid="{71C891C4-7657-4E67-B088-C6385359CDB7}"/>
    <cellStyle name="Accent4 2 2 2 2" xfId="2336" xr:uid="{3626C75D-B4DE-4F8E-9B65-B17658CAB6BD}"/>
    <cellStyle name="Accent4 2 2 3" xfId="2337" xr:uid="{2E5E1A3E-71CD-464A-A165-C1113235674C}"/>
    <cellStyle name="Accent4 2 2 4" xfId="2338" xr:uid="{F6C3C5A1-013B-4238-8377-3FA92A35B525}"/>
    <cellStyle name="Accent4 2 2 5" xfId="2339" xr:uid="{00C81ADA-E000-4FC7-BAE9-51EB7F401CD0}"/>
    <cellStyle name="Accent4 2 2 6" xfId="2340" xr:uid="{A5352FE3-2431-4253-A6EB-B60F321B5E50}"/>
    <cellStyle name="Accent4 2 2 7" xfId="2341" xr:uid="{4342254E-D022-4B0B-9DCD-BD08A203CDB8}"/>
    <cellStyle name="Accent4 2 2 8" xfId="2342" xr:uid="{633CD995-4EA7-4C9D-BF05-55EA35DF4FC4}"/>
    <cellStyle name="Accent4 2 2 9" xfId="2343" xr:uid="{26405421-929A-4817-9A11-B0794CA1D02E}"/>
    <cellStyle name="Accent4 2 2_EQU" xfId="2344" xr:uid="{1C29E049-451A-44A0-98FD-9EE8CDFA705E}"/>
    <cellStyle name="Accent4 2 3" xfId="2345" xr:uid="{BAF51238-EDB4-4E52-A084-2F9B4CEF1881}"/>
    <cellStyle name="Accent4 2 3 2" xfId="2346" xr:uid="{EAF58028-B5C6-4AE8-9D20-10B5EBF79C0D}"/>
    <cellStyle name="Accent4 2 3_Derivatives" xfId="2347" xr:uid="{0BC35A91-AB8B-4C30-9D5F-7032A9B806BA}"/>
    <cellStyle name="Accent4 2 4" xfId="2348" xr:uid="{AEED946B-23AE-4B02-981D-530BEF742A45}"/>
    <cellStyle name="Accent4 2 4 2" xfId="2349" xr:uid="{4C020E4A-EB0F-4686-9C06-80AE2D200B86}"/>
    <cellStyle name="Accent4 2 5" xfId="2350" xr:uid="{C372EB7D-10A1-42F2-9994-673053D75E54}"/>
    <cellStyle name="Accent4 2 6" xfId="2351" xr:uid="{44A4CB47-8379-4954-8C94-52E3C97D23D7}"/>
    <cellStyle name="Accent4 2 7" xfId="2352" xr:uid="{7A7E2B3A-C687-41E0-8EFF-C674CBCD2D1D}"/>
    <cellStyle name="Accent4 2 8" xfId="2353" xr:uid="{CB7D72FE-3C81-4E0D-86B1-1F0F2C2C9626}"/>
    <cellStyle name="Accent4 2 8 2" xfId="2354" xr:uid="{5DD448A6-AA95-4E15-82C8-D929CF42B025}"/>
    <cellStyle name="Accent4 2 8_Derivatives" xfId="2355" xr:uid="{09ACEB52-7899-4466-AC27-CA1529E8E57C}"/>
    <cellStyle name="Accent4 2 9" xfId="2356" xr:uid="{432C610E-9458-48A2-A267-24B7285E37F7}"/>
    <cellStyle name="Accent4 2_5130_new" xfId="2357" xr:uid="{AD646BCF-6BAA-4908-8BE1-B734736E39D7}"/>
    <cellStyle name="Accent4 20" xfId="2358" xr:uid="{82E054F1-C695-4E53-9E5C-91347E7B7FC7}"/>
    <cellStyle name="Accent4 21" xfId="2359" xr:uid="{C30EBB38-8039-49FF-9F94-E7B03FB8C7CC}"/>
    <cellStyle name="Accent4 22" xfId="2360" xr:uid="{269D31D9-078D-45EB-8564-BA3BF97A597F}"/>
    <cellStyle name="Accent4 23" xfId="2361" xr:uid="{BF05D8B4-1916-42EE-9429-8D7979B7C5EB}"/>
    <cellStyle name="Accent4 24" xfId="2362" xr:uid="{B8840B05-34D5-45A9-9721-363AC8A18944}"/>
    <cellStyle name="Accent4 25" xfId="2363" xr:uid="{E0B83BD0-5F88-449D-AC31-C815E8D3508B}"/>
    <cellStyle name="Accent4 26" xfId="2364" xr:uid="{9CF1F8C1-8DE4-4780-A7FE-FE314E2E286A}"/>
    <cellStyle name="Accent4 27" xfId="2365" xr:uid="{7D666DC4-88A8-45FC-8B7C-DD6273585255}"/>
    <cellStyle name="Accent4 28" xfId="2366" xr:uid="{FFFA9F82-6739-4B5B-A885-B62A910B6B2F}"/>
    <cellStyle name="Accent4 29" xfId="2367" xr:uid="{F7B6BB60-054C-40EF-A8DB-DB7E68EB543F}"/>
    <cellStyle name="Accent4 3" xfId="2368" xr:uid="{2533FA8B-55B7-4270-8FEA-A1622850A8E0}"/>
    <cellStyle name="Accent4 3 2" xfId="2369" xr:uid="{010606B1-2967-4D0E-8344-269E806B4227}"/>
    <cellStyle name="Accent4 3 2 2" xfId="2370" xr:uid="{402B7DC5-6BB0-4581-B091-7707A2E89931}"/>
    <cellStyle name="Accent4 3 2 3" xfId="2371" xr:uid="{16DEE63A-9B21-4EAA-8998-C6D3A2BE5BC1}"/>
    <cellStyle name="Accent4 3 3" xfId="2372" xr:uid="{F4E702B2-5A75-485F-9C6D-379695F93F61}"/>
    <cellStyle name="Accent4 3 3 2" xfId="2373" xr:uid="{02D33909-786A-45B5-8B81-157C3AD4569A}"/>
    <cellStyle name="Accent4 3 3_Derivatives" xfId="2374" xr:uid="{810E0ED5-886D-458F-A580-84A237CA1510}"/>
    <cellStyle name="Accent4 3 4" xfId="2375" xr:uid="{7AF8CF2D-AB89-4C34-BBEA-C254BD593DED}"/>
    <cellStyle name="Accent4 3 5" xfId="2376" xr:uid="{F5B72202-B5E0-4C88-B5FF-2314CD52E9F7}"/>
    <cellStyle name="Accent4 3 6" xfId="2377" xr:uid="{A198AFCB-7EA5-4098-B52D-D94F4A27B860}"/>
    <cellStyle name="Accent4 3 7" xfId="2378" xr:uid="{26EF13C4-A971-413F-A7BE-975D2D3BA472}"/>
    <cellStyle name="Accent4 3 8" xfId="2379" xr:uid="{2AF94294-6C9F-4F3B-B834-DB79598700D5}"/>
    <cellStyle name="Accent4 3 9" xfId="2380" xr:uid="{C61EA1B6-2B05-449E-80F0-B62E6666D800}"/>
    <cellStyle name="Accent4 3_EQU" xfId="2381" xr:uid="{70CC77ED-C18D-4ABF-82D6-843138A3D31A}"/>
    <cellStyle name="Accent4 30" xfId="2382" xr:uid="{794309D0-0712-4FBE-8BEB-6DD5E1AEAEF9}"/>
    <cellStyle name="Accent4 31" xfId="2383" xr:uid="{293899AD-B686-48FB-81A5-BCB410181E6C}"/>
    <cellStyle name="Accent4 32" xfId="2384" xr:uid="{6919B748-4E80-4A96-A754-6A7AE1A74A6A}"/>
    <cellStyle name="Accent4 33" xfId="2385" xr:uid="{7E757AFA-3586-41B7-B987-E7C37CBB1EB2}"/>
    <cellStyle name="Accent4 34" xfId="2386" xr:uid="{34566EE5-6C3B-4E61-A07F-89B5F0B6C602}"/>
    <cellStyle name="Accent4 35" xfId="2387" xr:uid="{054C5451-F29C-40F5-A5A8-8AB62CDED969}"/>
    <cellStyle name="Accent4 36" xfId="2388" xr:uid="{2A9591AE-DA14-4FA6-AA8E-541EB4173CF1}"/>
    <cellStyle name="Accent4 37" xfId="2389" xr:uid="{056F6559-8B90-4ED4-AFA2-B0283981DA48}"/>
    <cellStyle name="Accent4 38" xfId="2390" xr:uid="{032186F5-8BF8-48B4-886A-2A701A960BAC}"/>
    <cellStyle name="Accent4 39" xfId="2391" xr:uid="{4B8AD283-DE10-4941-9D6C-A1C944AC0C64}"/>
    <cellStyle name="Accent4 4" xfId="2392" xr:uid="{59A04E07-4387-4882-9011-61529F75D6C3}"/>
    <cellStyle name="Accent4 4 2" xfId="2393" xr:uid="{1A311269-3B5D-43BA-8FEE-5B7A12971CBE}"/>
    <cellStyle name="Accent4 4 3" xfId="2394" xr:uid="{9744E4CD-7072-4474-A7AA-172E1A3ECD3A}"/>
    <cellStyle name="Accent4 4_EQU" xfId="2395" xr:uid="{9314A4A8-6903-43C3-B8FA-A9118DBF3BBD}"/>
    <cellStyle name="Accent4 40" xfId="2396" xr:uid="{20D76522-1365-4607-8C03-9CDB0A9C114A}"/>
    <cellStyle name="Accent4 41" xfId="2397" xr:uid="{9A769AF5-37CD-4232-B365-B572AF36796A}"/>
    <cellStyle name="Accent4 42" xfId="2398" xr:uid="{2688929F-DB6A-485B-B4C4-D21B289676C3}"/>
    <cellStyle name="Accent4 43" xfId="2399" xr:uid="{9C9A92EF-DB30-4D19-BEC6-97A2204017EE}"/>
    <cellStyle name="Accent4 44" xfId="2400" xr:uid="{D52A866B-3535-43E1-A057-992933B2AB9A}"/>
    <cellStyle name="Accent4 45" xfId="2401" xr:uid="{EC7AD088-89F5-4461-8B07-0EA26B2C0B77}"/>
    <cellStyle name="Accent4 46" xfId="2402" xr:uid="{1B41110A-A080-4A54-A2F0-C22E3A29061F}"/>
    <cellStyle name="Accent4 47" xfId="2403" xr:uid="{6FB8F3B3-C550-4494-8615-5A14C180351C}"/>
    <cellStyle name="Accent4 48" xfId="2404" xr:uid="{04AE07E0-83C6-4002-8544-87AB9E428777}"/>
    <cellStyle name="Accent4 49" xfId="2405" xr:uid="{C23908BB-4AC5-44C2-99E4-DD4E31A50BAF}"/>
    <cellStyle name="Accent4 5" xfId="2406" xr:uid="{48BC7957-7C21-4533-8C87-8A7FB39A77B7}"/>
    <cellStyle name="Accent4 50" xfId="2407" xr:uid="{BB502E79-60BA-4CC4-91EF-3458C6805012}"/>
    <cellStyle name="Accent4 51" xfId="2408" xr:uid="{E6D11DE3-91E5-48FD-962F-405880B2E2C0}"/>
    <cellStyle name="Accent4 52" xfId="2409" xr:uid="{83537344-A4FD-4642-B09D-20B911FDB94A}"/>
    <cellStyle name="Accent4 53" xfId="2410" xr:uid="{87E788C0-19C2-42DA-A6DE-4C22FC58E62A}"/>
    <cellStyle name="Accent4 54" xfId="2411" xr:uid="{B2A8363B-6A5D-4AA3-846D-AB71068D37E2}"/>
    <cellStyle name="Accent4 55" xfId="2412" xr:uid="{E4C85E7D-99A0-4A02-829E-2B1F787CF523}"/>
    <cellStyle name="Accent4 56" xfId="2413" xr:uid="{260FFA62-5EE6-4523-9868-77DE776F6503}"/>
    <cellStyle name="Accent4 57" xfId="2414" xr:uid="{050F059F-7F2D-489F-A3B6-D1D5EE2DE3A9}"/>
    <cellStyle name="Accent4 58" xfId="2415" xr:uid="{816FA193-1FC2-4A03-A108-F30FA2CC0E28}"/>
    <cellStyle name="Accent4 59" xfId="2416" xr:uid="{C0D9EA01-D926-4892-98D6-80B1294358B3}"/>
    <cellStyle name="Accent4 6" xfId="2417" xr:uid="{44F460F7-0AAA-4A47-9B6F-B569F4D3B51E}"/>
    <cellStyle name="Accent4 60" xfId="2418" xr:uid="{306E0988-9F66-4E3F-A822-967916631A9E}"/>
    <cellStyle name="Accent4 61" xfId="2419" xr:uid="{4104D64F-8D72-4EB2-A78F-F632BA4B2AA2}"/>
    <cellStyle name="Accent4 62" xfId="2420" xr:uid="{2BA0FD3C-C7F4-43BF-AECB-F939EF152A1D}"/>
    <cellStyle name="Accent4 63" xfId="2421" xr:uid="{B1FC2F99-821C-4D0B-9B9C-28BF0E0BE2E4}"/>
    <cellStyle name="Accent4 64" xfId="2422" xr:uid="{C8CEF523-184E-4448-ACE1-AC616EFAB7AC}"/>
    <cellStyle name="Accent4 65" xfId="2423" xr:uid="{9815473C-DECD-45E3-8819-60B665083B61}"/>
    <cellStyle name="Accent4 66" xfId="2424" xr:uid="{D383A45D-6A1B-4793-A942-1B43F53C793D}"/>
    <cellStyle name="Accent4 67" xfId="2425" xr:uid="{A348DA97-E2A0-4700-82EF-14720DF29450}"/>
    <cellStyle name="Accent4 68" xfId="2426" xr:uid="{1CBAD412-4DC6-4E71-AC05-83400B88829F}"/>
    <cellStyle name="Accent4 69" xfId="2427" xr:uid="{F8384FD5-B29A-4E21-9F6F-CE5BEB0ED424}"/>
    <cellStyle name="Accent4 7" xfId="2428" xr:uid="{62B72BC6-11BF-47D8-B2B1-80B89A26109B}"/>
    <cellStyle name="Accent4 70" xfId="2429" xr:uid="{FD324EC0-429A-4B01-B10E-54E8259B5DF5}"/>
    <cellStyle name="Accent4 71" xfId="2430" xr:uid="{D2BEA0EA-7266-4549-8A80-FF30EAFA027F}"/>
    <cellStyle name="Accent4 72" xfId="2431" xr:uid="{E266ED98-CCE9-4557-8B2A-91EEED3CE7A8}"/>
    <cellStyle name="Accent4 73" xfId="2432" xr:uid="{D7CFDFBA-3202-42EB-A77B-990DFAB3405B}"/>
    <cellStyle name="Accent4 74" xfId="2433" xr:uid="{CC98067C-64DC-4014-AFBE-C25C95B87235}"/>
    <cellStyle name="Accent4 75" xfId="2434" xr:uid="{DB12B0FA-82E1-4468-960D-B7373DC67D7C}"/>
    <cellStyle name="Accent4 8" xfId="2435" xr:uid="{F2063B58-7019-4DC5-A444-FB2563D5DA74}"/>
    <cellStyle name="Accent4 9" xfId="2436" xr:uid="{F1CC7537-9CC1-420D-B901-B88D49363623}"/>
    <cellStyle name="Accent5 - 20%" xfId="2437" xr:uid="{62629026-D7B2-47C9-8BC3-328CAAA6EA75}"/>
    <cellStyle name="Accent5 - 20% 2" xfId="2438" xr:uid="{09438508-C0AF-4F1F-A0FB-17981C7D63C0}"/>
    <cellStyle name="Accent5 - 20%_5130_new" xfId="2439" xr:uid="{04782D74-2E25-4E88-B924-DB3B81FB0522}"/>
    <cellStyle name="Accent5 - 40%" xfId="2440" xr:uid="{31B7AF6C-97EE-4F8F-9595-5DBCD8A6DD3B}"/>
    <cellStyle name="Accent5 - 40% 2" xfId="2441" xr:uid="{F4820B02-23FF-4651-8BBA-4FA9CCFEF195}"/>
    <cellStyle name="Accent5 - 40%_5130_new" xfId="2442" xr:uid="{54AAC948-2E99-4C01-974A-DE21A3583616}"/>
    <cellStyle name="Accent5 - 60%" xfId="2443" xr:uid="{E67C48AF-24FC-498F-8622-41C482D47C8B}"/>
    <cellStyle name="Accent5 10" xfId="2444" xr:uid="{9F6AE722-D15A-4D83-828F-B6DAFABA22C5}"/>
    <cellStyle name="Accent5 11" xfId="2445" xr:uid="{C6955385-ED74-49E2-8F8C-D006F77334F7}"/>
    <cellStyle name="Accent5 12" xfId="2446" xr:uid="{D3F1D493-8693-49C4-84E2-648D0E136F37}"/>
    <cellStyle name="Accent5 13" xfId="2447" xr:uid="{44C24425-0584-4C5E-ABEA-00D3EE1FA5BD}"/>
    <cellStyle name="Accent5 14" xfId="2448" xr:uid="{0AB03E60-932F-49F3-BB24-9B276B6234D3}"/>
    <cellStyle name="Accent5 15" xfId="2449" xr:uid="{7A092805-E074-43F4-AB67-5279BE57A14A}"/>
    <cellStyle name="Accent5 16" xfId="2450" xr:uid="{19954DB8-65BF-4E40-805B-3199D11EED34}"/>
    <cellStyle name="Accent5 17" xfId="2451" xr:uid="{2DE7BC12-B84F-4803-931D-4DCAB0072B0B}"/>
    <cellStyle name="Accent5 18" xfId="2452" xr:uid="{46965626-FB8E-4DEB-ABAC-42152D53B241}"/>
    <cellStyle name="Accent5 19" xfId="2453" xr:uid="{596495DD-85AD-4762-B20B-29EE455FC695}"/>
    <cellStyle name="Accent5 2" xfId="2454" xr:uid="{0B238D76-116E-4324-87DF-DBCA7F12C6FB}"/>
    <cellStyle name="Accent5 2 10" xfId="2455" xr:uid="{1721D02F-50FC-440A-8B92-17986031ED4B}"/>
    <cellStyle name="Accent5 2 11" xfId="2456" xr:uid="{1A510104-3222-4F41-9496-950FB132E7B9}"/>
    <cellStyle name="Accent5 2 12" xfId="2457" xr:uid="{03908665-057E-4227-AD36-2CAB1EF48D79}"/>
    <cellStyle name="Accent5 2 13" xfId="2458" xr:uid="{64D4A22F-BC46-4273-A9F2-FCFF5CC31A0A}"/>
    <cellStyle name="Accent5 2 14" xfId="2459" xr:uid="{AF95C01E-0E69-456A-A7DC-9AFE0F6E17D0}"/>
    <cellStyle name="Accent5 2 15" xfId="2460" xr:uid="{0117F068-5560-47F3-B30C-663C0A193C44}"/>
    <cellStyle name="Accent5 2 16" xfId="2461" xr:uid="{BB53182E-C456-46BF-B1F3-97C767E78F0A}"/>
    <cellStyle name="Accent5 2 17" xfId="2462" xr:uid="{3843F438-18CA-457A-AA9F-3AC9B217CE1D}"/>
    <cellStyle name="Accent5 2 18" xfId="2463" xr:uid="{55CEC350-9188-46D5-A2B2-F4B2C864DC47}"/>
    <cellStyle name="Accent5 2 2" xfId="2464" xr:uid="{641EBC8E-73D6-402C-BE0B-D225CF8A885D}"/>
    <cellStyle name="Accent5 2 2 10" xfId="2465" xr:uid="{565F2950-9D00-4868-AE17-3AE51676F832}"/>
    <cellStyle name="Accent5 2 2 11" xfId="2466" xr:uid="{088E35CA-43F9-41DD-A0A1-9FCD668391CE}"/>
    <cellStyle name="Accent5 2 2 12" xfId="2467" xr:uid="{9B92C1DE-99C5-4151-8355-82DC1A1D5F2A}"/>
    <cellStyle name="Accent5 2 2 13" xfId="2468" xr:uid="{09B9539A-0B8F-4C4B-9C32-5C8F70C7CD77}"/>
    <cellStyle name="Accent5 2 2 14" xfId="2469" xr:uid="{90BC30CD-A2F2-4E18-AB4F-AE03596F913F}"/>
    <cellStyle name="Accent5 2 2 15" xfId="2470" xr:uid="{2C97E34F-72DA-41A0-A4CD-4E6D6EBC57FF}"/>
    <cellStyle name="Accent5 2 2 16" xfId="2471" xr:uid="{71FA8D98-3A8B-488B-99C5-D4B657EFA821}"/>
    <cellStyle name="Accent5 2 2 17" xfId="2472" xr:uid="{5FEFF0DA-69AC-454F-9268-DDD4B73DEFBA}"/>
    <cellStyle name="Accent5 2 2 18" xfId="2473" xr:uid="{D9E3AE07-B4FF-4E3B-AF5B-96F643D550A6}"/>
    <cellStyle name="Accent5 2 2 2" xfId="2474" xr:uid="{EE287BA1-8CD4-423C-9FE9-F81B77DC749D}"/>
    <cellStyle name="Accent5 2 2 3" xfId="2475" xr:uid="{F5E2D661-4350-4CFF-A1D5-33AC13289E7D}"/>
    <cellStyle name="Accent5 2 2 4" xfId="2476" xr:uid="{7E5711FB-0076-48BE-9DB2-BB95A9265849}"/>
    <cellStyle name="Accent5 2 2 5" xfId="2477" xr:uid="{C9E8FEED-62AF-408D-8AF4-05973DB394D8}"/>
    <cellStyle name="Accent5 2 2 6" xfId="2478" xr:uid="{C770906C-2082-4DB5-B981-614700EDFE16}"/>
    <cellStyle name="Accent5 2 2 7" xfId="2479" xr:uid="{4AF61E9C-E30A-497F-A41B-BB9C63D945EB}"/>
    <cellStyle name="Accent5 2 2 8" xfId="2480" xr:uid="{08C52D84-4043-4AB8-B5C9-4A899D8679BE}"/>
    <cellStyle name="Accent5 2 2 9" xfId="2481" xr:uid="{68FAD469-61AC-48FF-8D15-FDE552F1C585}"/>
    <cellStyle name="Accent5 2 2_Equity reconciliation 2013-03" xfId="2482" xr:uid="{FE173754-14DB-4929-8099-2A6C363B7ABF}"/>
    <cellStyle name="Accent5 2 3" xfId="2483" xr:uid="{31E6E7B9-639A-416E-9DD6-577F2A4E7387}"/>
    <cellStyle name="Accent5 2 3 2" xfId="2484" xr:uid="{E0E48602-6F9C-4F66-A475-4661B374D9FF}"/>
    <cellStyle name="Accent5 2 3_Derivatives" xfId="2485" xr:uid="{DF0D524D-F723-4FE4-88C7-A616E10CFCA7}"/>
    <cellStyle name="Accent5 2 4" xfId="2486" xr:uid="{1EA582E9-B1E6-45F8-A5C9-AC7A608311CF}"/>
    <cellStyle name="Accent5 2 4 2" xfId="2487" xr:uid="{1B0D20D2-3053-489C-A898-7B2F9A250C8D}"/>
    <cellStyle name="Accent5 2 5" xfId="2488" xr:uid="{A6A48BF7-12E3-4B05-8F1D-D998F55535D0}"/>
    <cellStyle name="Accent5 2 6" xfId="2489" xr:uid="{8540BFC1-3D15-4E77-9EDB-EDC4CAEE73EF}"/>
    <cellStyle name="Accent5 2 7" xfId="2490" xr:uid="{6EA96C5B-2C98-45CC-9182-3B38B76C89BF}"/>
    <cellStyle name="Accent5 2 8" xfId="2491" xr:uid="{4A4941DE-B061-41FF-B87C-E4F43BA617B0}"/>
    <cellStyle name="Accent5 2 9" xfId="2492" xr:uid="{556A8D14-8158-47FD-8ACE-C2903F49211F}"/>
    <cellStyle name="Accent5 2_5130_new" xfId="2493" xr:uid="{87B6A8E8-5D4C-46E8-BFE2-15B6078F1980}"/>
    <cellStyle name="Accent5 20" xfId="2494" xr:uid="{3F8FA9F7-DE12-4379-9051-B4D5E2B275C2}"/>
    <cellStyle name="Accent5 21" xfId="2495" xr:uid="{5A4F488E-EF7B-470B-A3A2-8552A94E7A0E}"/>
    <cellStyle name="Accent5 22" xfId="2496" xr:uid="{F829BDAC-02EB-4813-AE23-E37D49731556}"/>
    <cellStyle name="Accent5 23" xfId="2497" xr:uid="{BB76F276-6DA3-487C-9EFC-A848CF51FB69}"/>
    <cellStyle name="Accent5 24" xfId="2498" xr:uid="{4755509A-B30C-4917-BB1E-6A047855EF88}"/>
    <cellStyle name="Accent5 25" xfId="2499" xr:uid="{0832C3C8-51E9-4B3A-BE6F-EFD1A5389C56}"/>
    <cellStyle name="Accent5 26" xfId="2500" xr:uid="{4D4DEEB8-68BA-45E2-A2DE-F23B59C16B85}"/>
    <cellStyle name="Accent5 27" xfId="2501" xr:uid="{4C7E33EB-2EF7-4633-BBB9-7244E44F2C7F}"/>
    <cellStyle name="Accent5 28" xfId="2502" xr:uid="{C7F97BCA-142F-4A45-9D79-AFCECCE9BC90}"/>
    <cellStyle name="Accent5 29" xfId="2503" xr:uid="{575E3B01-30B0-45D4-A081-98F2B913D8C2}"/>
    <cellStyle name="Accent5 3" xfId="2504" xr:uid="{001B0910-D815-446B-AE33-0BF1340FA95F}"/>
    <cellStyle name="Accent5 3 2" xfId="2505" xr:uid="{5A145865-5830-40D8-9F7F-1D2C0C9E68C9}"/>
    <cellStyle name="Accent5 3 3" xfId="2506" xr:uid="{6295540B-4BDF-441D-9570-6D200EE47A26}"/>
    <cellStyle name="Accent5 3 4" xfId="2507" xr:uid="{412A633B-C75C-4244-8602-DB46EBDE79C8}"/>
    <cellStyle name="Accent5 3 5" xfId="2508" xr:uid="{21607552-ADDC-4F3A-A8F0-196041A8E3EE}"/>
    <cellStyle name="Accent5 3 6" xfId="2509" xr:uid="{1FC89A45-CA72-4CD4-A62E-ADFE39C79FFE}"/>
    <cellStyle name="Accent5 3 7" xfId="2510" xr:uid="{E483D701-C4D2-40F1-9675-554161BE6FEC}"/>
    <cellStyle name="Accent5 3 8" xfId="2511" xr:uid="{1C0B2F30-9694-4123-A9C6-FFBAC6770268}"/>
    <cellStyle name="Accent5 3 9" xfId="2512" xr:uid="{A261D861-81F8-4DA7-8EB8-5C5AA5280123}"/>
    <cellStyle name="Accent5 3_EQU" xfId="2513" xr:uid="{C6A0FF06-D696-4E9C-8AE7-6AD23390AE2A}"/>
    <cellStyle name="Accent5 30" xfId="2514" xr:uid="{1E14A05D-FC12-492F-ADF9-FA22BC89B458}"/>
    <cellStyle name="Accent5 31" xfId="2515" xr:uid="{9BD62BF5-B4FC-43C0-916B-6EC748258876}"/>
    <cellStyle name="Accent5 32" xfId="2516" xr:uid="{C322E8F2-9A1F-4B8B-A238-B85E5FBDD1CC}"/>
    <cellStyle name="Accent5 33" xfId="2517" xr:uid="{9CC69DEB-CDD4-4BC3-972D-51B4E1B10B5B}"/>
    <cellStyle name="Accent5 34" xfId="2518" xr:uid="{F3DAFD43-0271-47FF-A026-4FD823E46AD8}"/>
    <cellStyle name="Accent5 35" xfId="2519" xr:uid="{8F0C8C31-053B-49EC-9DE0-D8C0D8D08A28}"/>
    <cellStyle name="Accent5 36" xfId="2520" xr:uid="{72D8C6BF-326D-4E9B-9DDF-7D65F06ED864}"/>
    <cellStyle name="Accent5 37" xfId="2521" xr:uid="{409E14A2-C4D3-4792-AF42-0A9DC51A57F2}"/>
    <cellStyle name="Accent5 38" xfId="2522" xr:uid="{7FF3CE89-CA38-4F8A-8CD4-049778D4FC71}"/>
    <cellStyle name="Accent5 39" xfId="2523" xr:uid="{627A3E47-C957-416C-A566-A79DF1D9B715}"/>
    <cellStyle name="Accent5 4" xfId="2524" xr:uid="{63B30290-A633-4A65-AA06-AC957D274F06}"/>
    <cellStyle name="Accent5 4 2" xfId="2525" xr:uid="{0127B9E1-3247-4420-996B-4A5212D8C79C}"/>
    <cellStyle name="Accent5 4 3" xfId="2526" xr:uid="{A8E5545F-4618-4508-AF85-D87730B553F8}"/>
    <cellStyle name="Accent5 4_EQU" xfId="2527" xr:uid="{969F3FF0-F8CC-4D4D-BDA8-4276EF9E3163}"/>
    <cellStyle name="Accent5 40" xfId="2528" xr:uid="{A3BEC367-C8E0-406E-896D-88651767C81B}"/>
    <cellStyle name="Accent5 41" xfId="2529" xr:uid="{CB9D3CD9-61F9-476B-8D6C-04D1FCD5C54D}"/>
    <cellStyle name="Accent5 42" xfId="2530" xr:uid="{A9780B03-F806-4BDA-943A-B09D9E69A978}"/>
    <cellStyle name="Accent5 43" xfId="2531" xr:uid="{0DB03983-1789-4BE3-A66E-BA218C5687AC}"/>
    <cellStyle name="Accent5 44" xfId="2532" xr:uid="{6E488757-9764-4007-9298-AE83CCF968E6}"/>
    <cellStyle name="Accent5 45" xfId="2533" xr:uid="{8E6DBFD8-ADC9-46A9-A4D0-75D97A2E0FD4}"/>
    <cellStyle name="Accent5 46" xfId="2534" xr:uid="{4DF74565-5B78-4EF8-870E-07B09DAB21D8}"/>
    <cellStyle name="Accent5 47" xfId="2535" xr:uid="{E9F9B36B-E1DD-4027-9ACB-70C1AEDD2C3B}"/>
    <cellStyle name="Accent5 48" xfId="2536" xr:uid="{726C0A9B-28E5-4FA8-9741-504ABB5E3BC3}"/>
    <cellStyle name="Accent5 49" xfId="2537" xr:uid="{C79612BD-61DE-4230-A2C7-C210F35B15FA}"/>
    <cellStyle name="Accent5 5" xfId="2538" xr:uid="{13F48D6E-36AF-4B31-96DF-9B59FBC25754}"/>
    <cellStyle name="Accent5 50" xfId="2539" xr:uid="{57127FA8-7F6B-4F7C-887F-BA730B2B0016}"/>
    <cellStyle name="Accent5 51" xfId="2540" xr:uid="{B8BF7035-0908-4875-8BAE-7B719B3FF54B}"/>
    <cellStyle name="Accent5 52" xfId="2541" xr:uid="{D8DBEFE3-35DD-43D7-90D4-CA992091CEB6}"/>
    <cellStyle name="Accent5 53" xfId="2542" xr:uid="{9EA2E395-8BDE-46BE-82B7-39264B352A8D}"/>
    <cellStyle name="Accent5 54" xfId="2543" xr:uid="{902E8371-9D55-4E34-8529-F6D9D4FC7524}"/>
    <cellStyle name="Accent5 55" xfId="2544" xr:uid="{7CD78E1B-CD58-43CE-B2D9-9049DD2CEAFD}"/>
    <cellStyle name="Accent5 56" xfId="2545" xr:uid="{4EB36953-2175-4F7D-9833-F8BE8EE8454F}"/>
    <cellStyle name="Accent5 57" xfId="2546" xr:uid="{CA290A32-1BEC-4D6E-8EA5-35BD77F4385D}"/>
    <cellStyle name="Accent5 58" xfId="2547" xr:uid="{1EE26D23-B185-4AAF-A2E3-E94805C8CEC0}"/>
    <cellStyle name="Accent5 59" xfId="2548" xr:uid="{BF5158DA-93C2-464A-B3C8-C208681640C2}"/>
    <cellStyle name="Accent5 6" xfId="2549" xr:uid="{99EBDA28-1088-4F99-9F57-7130680E6B8F}"/>
    <cellStyle name="Accent5 60" xfId="2550" xr:uid="{814A68BF-B2CE-4519-935D-CC6120A17986}"/>
    <cellStyle name="Accent5 61" xfId="2551" xr:uid="{44B52BDA-1C12-48BA-98F1-7A7EA41653BA}"/>
    <cellStyle name="Accent5 62" xfId="2552" xr:uid="{49135DCD-8282-4375-AB65-E45A99C96DAB}"/>
    <cellStyle name="Accent5 63" xfId="2553" xr:uid="{37004708-18E0-49AE-B7D0-37B031FDDE20}"/>
    <cellStyle name="Accent5 64" xfId="2554" xr:uid="{2E1FD0F1-938B-4295-BB6E-4C62269647A0}"/>
    <cellStyle name="Accent5 65" xfId="2555" xr:uid="{7D10303F-FE2F-4AB9-B827-5C092D93DBC5}"/>
    <cellStyle name="Accent5 66" xfId="2556" xr:uid="{E21F084A-091A-4131-BC2E-C3622E17DE6C}"/>
    <cellStyle name="Accent5 67" xfId="2557" xr:uid="{D36B2130-79EC-4799-BCBD-4BD2687DB9FA}"/>
    <cellStyle name="Accent5 68" xfId="2558" xr:uid="{2759C626-20E3-45C2-9F27-2FBB78A7571E}"/>
    <cellStyle name="Accent5 69" xfId="2559" xr:uid="{521C516B-EAF3-4BEC-895D-ACEC52ED2603}"/>
    <cellStyle name="Accent5 7" xfId="2560" xr:uid="{A5540A24-0F01-4F40-A8A9-F6E28EECFFF7}"/>
    <cellStyle name="Accent5 70" xfId="2561" xr:uid="{1C3960B8-277E-41C9-A97E-BC0AF24270FC}"/>
    <cellStyle name="Accent5 71" xfId="2562" xr:uid="{E7F9985D-772C-47C3-BEAA-6B8F9AE0FF9E}"/>
    <cellStyle name="Accent5 72" xfId="2563" xr:uid="{81C24B28-D6C9-49DC-AC95-4F38848062BD}"/>
    <cellStyle name="Accent5 73" xfId="2564" xr:uid="{C16A9CA4-6C80-46C2-A08B-17B94DE47C83}"/>
    <cellStyle name="Accent5 74" xfId="2565" xr:uid="{10052C9D-4426-4124-8123-731E19D07E3F}"/>
    <cellStyle name="Accent5 75" xfId="2566" xr:uid="{B9C2E22C-C2D3-4900-BEAE-1A505D471D77}"/>
    <cellStyle name="Accent5 8" xfId="2567" xr:uid="{350CB0E6-C269-4092-82E2-EDDFF46EFD93}"/>
    <cellStyle name="Accent5 9" xfId="2568" xr:uid="{EF0AD8A2-B826-49B2-A78D-5A5823416EB4}"/>
    <cellStyle name="Accent6 - 20%" xfId="2569" xr:uid="{E24DCB74-2ECE-4337-AE45-14A44574009A}"/>
    <cellStyle name="Accent6 - 20% 2" xfId="2570" xr:uid="{87250C3D-DC68-4B32-98AD-18D64E0E3AFA}"/>
    <cellStyle name="Accent6 - 20%_5130_new" xfId="2571" xr:uid="{32A056E4-7AA2-4E88-8AD7-19B6B7EE45A7}"/>
    <cellStyle name="Accent6 - 40%" xfId="2572" xr:uid="{2679A3D9-66F3-40B9-8EC3-9A29AFA6E14B}"/>
    <cellStyle name="Accent6 - 40% 2" xfId="2573" xr:uid="{7ABCE7F4-3AE0-476A-9485-F08F2AF20341}"/>
    <cellStyle name="Accent6 - 40%_5130_new" xfId="2574" xr:uid="{C8688201-C776-43CC-9874-68AB3031A550}"/>
    <cellStyle name="Accent6 - 60%" xfId="2575" xr:uid="{619C0769-D00C-4D1F-A7BC-88E86C6B0C10}"/>
    <cellStyle name="Accent6 10" xfId="2576" xr:uid="{6A2A75E1-52CD-4113-8893-1E4C40BA4CFD}"/>
    <cellStyle name="Accent6 11" xfId="2577" xr:uid="{BA7A37F9-CC5F-4827-90F4-F56C93AA09CB}"/>
    <cellStyle name="Accent6 12" xfId="2578" xr:uid="{6CE26995-4829-487A-B617-F229232F9EB8}"/>
    <cellStyle name="Accent6 13" xfId="2579" xr:uid="{F282AF36-C66C-4310-800F-A3CE228CA03A}"/>
    <cellStyle name="Accent6 14" xfId="2580" xr:uid="{30CEC22C-C07A-4456-9CDB-4B7EA50C034F}"/>
    <cellStyle name="Accent6 15" xfId="2581" xr:uid="{A24D84F2-AA7F-420C-BDA1-32E6D144BA4B}"/>
    <cellStyle name="Accent6 16" xfId="2582" xr:uid="{A31C1D4B-7031-4650-A370-234177F91F58}"/>
    <cellStyle name="Accent6 17" xfId="2583" xr:uid="{E8CE81BD-CE77-49F4-8EEB-CC58624D3D49}"/>
    <cellStyle name="Accent6 18" xfId="2584" xr:uid="{05A3057C-2995-4EA4-A199-6891A985513C}"/>
    <cellStyle name="Accent6 19" xfId="2585" xr:uid="{430E59EF-CF83-46A6-90CC-F5C9E8A97F84}"/>
    <cellStyle name="Accent6 2" xfId="2586" xr:uid="{20EEF90A-5855-47F4-A301-B84FB6980800}"/>
    <cellStyle name="Accent6 2 10" xfId="2587" xr:uid="{841745EB-0EC1-4359-9B30-0C8A4289DE04}"/>
    <cellStyle name="Accent6 2 11" xfId="2588" xr:uid="{3656A89B-E6E8-495E-8451-36A41B821767}"/>
    <cellStyle name="Accent6 2 12" xfId="2589" xr:uid="{45DDC630-EA42-46D0-8F49-30725FB8473C}"/>
    <cellStyle name="Accent6 2 13" xfId="2590" xr:uid="{1BB4D96D-CCC7-4B1E-92CB-F6DB7408F13C}"/>
    <cellStyle name="Accent6 2 14" xfId="2591" xr:uid="{8ECDCEF8-C38B-49A7-8323-6AE0E9894A1C}"/>
    <cellStyle name="Accent6 2 15" xfId="2592" xr:uid="{30146AAF-0B33-4D40-B535-9FBA12D81C0F}"/>
    <cellStyle name="Accent6 2 16" xfId="2593" xr:uid="{817C276E-51C4-4BF7-8B2E-FC1AAF216D1C}"/>
    <cellStyle name="Accent6 2 17" xfId="2594" xr:uid="{20B19D49-7FCF-43C3-BD1C-FF7D6E59AC91}"/>
    <cellStyle name="Accent6 2 18" xfId="2595" xr:uid="{BF32BD25-A5CF-4AAD-B0EA-BF35D62FD93D}"/>
    <cellStyle name="Accent6 2 2" xfId="2596" xr:uid="{1D3FDE4F-4572-4FF5-9C8E-80D99BD112B9}"/>
    <cellStyle name="Accent6 2 2 10" xfId="2597" xr:uid="{2B2E7203-487F-4F66-A01A-C331679AA8B0}"/>
    <cellStyle name="Accent6 2 2 11" xfId="2598" xr:uid="{EFAC884A-2960-44CF-80B2-3F22B767883B}"/>
    <cellStyle name="Accent6 2 2 12" xfId="2599" xr:uid="{31581079-3724-45DE-886A-067DCD31AA40}"/>
    <cellStyle name="Accent6 2 2 13" xfId="2600" xr:uid="{16DFE31D-79BB-483A-AA74-85464AE6BF8E}"/>
    <cellStyle name="Accent6 2 2 14" xfId="2601" xr:uid="{724ADE9E-5EFE-4E88-B324-747AD735856F}"/>
    <cellStyle name="Accent6 2 2 15" xfId="2602" xr:uid="{A05B33C2-2D8B-4527-91B0-F539C2AA1E5F}"/>
    <cellStyle name="Accent6 2 2 16" xfId="2603" xr:uid="{48D896C5-C0AF-4C98-B7B3-0406191529C2}"/>
    <cellStyle name="Accent6 2 2 17" xfId="2604" xr:uid="{A7E7E2E8-D06F-455F-ABF0-A721B712D057}"/>
    <cellStyle name="Accent6 2 2 18" xfId="2605" xr:uid="{1E2F80D5-CF57-472F-AA66-6879A6C755FF}"/>
    <cellStyle name="Accent6 2 2 2" xfId="2606" xr:uid="{E4A6DEFF-DC8E-4C92-8470-278717DC1ED0}"/>
    <cellStyle name="Accent6 2 2 2 2" xfId="2607" xr:uid="{C6F5ABC5-9B13-49A1-915F-220D8F2EA249}"/>
    <cellStyle name="Accent6 2 2 3" xfId="2608" xr:uid="{9CCB4BD4-E6BA-4750-85AC-BCDF64D32BF4}"/>
    <cellStyle name="Accent6 2 2 4" xfId="2609" xr:uid="{08CD66EA-2FEA-4D37-9C7D-590B9FA7AEDE}"/>
    <cellStyle name="Accent6 2 2 5" xfId="2610" xr:uid="{29CBF5B4-2235-4622-9C18-A8C80DA3A9EA}"/>
    <cellStyle name="Accent6 2 2 6" xfId="2611" xr:uid="{94E16755-BFC0-46FB-85BC-475429AEC990}"/>
    <cellStyle name="Accent6 2 2 7" xfId="2612" xr:uid="{DA3D6DB0-E522-472F-88B5-0468FF20FC99}"/>
    <cellStyle name="Accent6 2 2 8" xfId="2613" xr:uid="{43537DF2-430C-4CE7-B2FF-0BD100240153}"/>
    <cellStyle name="Accent6 2 2 9" xfId="2614" xr:uid="{A139BEA3-23AC-441C-8D97-708490A1C77E}"/>
    <cellStyle name="Accent6 2 2_Equity reconciliation 2013-03" xfId="2615" xr:uid="{AE7FA84D-6BB2-4796-8559-1A076CF6EE2E}"/>
    <cellStyle name="Accent6 2 3" xfId="2616" xr:uid="{FBBAA122-FE2E-4749-88CD-BD53CF7EFB4B}"/>
    <cellStyle name="Accent6 2 3 2" xfId="2617" xr:uid="{326AA3C6-BB0C-480E-9CFF-4B25105660F1}"/>
    <cellStyle name="Accent6 2 3_Derivatives" xfId="2618" xr:uid="{2B705BB8-1864-41E6-BE1F-535FC638D1BA}"/>
    <cellStyle name="Accent6 2 4" xfId="2619" xr:uid="{AFA9C0B1-11AB-4EC0-94C5-7EBA6406E5D4}"/>
    <cellStyle name="Accent6 2 4 2" xfId="2620" xr:uid="{26EB7740-A1C4-4E5C-AB33-C600A7252B93}"/>
    <cellStyle name="Accent6 2 5" xfId="2621" xr:uid="{B228615C-DA99-4040-820C-ECE4F4B8BDCF}"/>
    <cellStyle name="Accent6 2 6" xfId="2622" xr:uid="{7FB51AC7-4395-4E5B-8930-F049728981FF}"/>
    <cellStyle name="Accent6 2 7" xfId="2623" xr:uid="{FC20831D-4F6A-4A5B-B356-85C64C1A9A27}"/>
    <cellStyle name="Accent6 2 8" xfId="2624" xr:uid="{338CC039-CAB9-486B-9BE3-7323FDB20FC3}"/>
    <cellStyle name="Accent6 2 8 2" xfId="2625" xr:uid="{52F60168-2016-4725-AD49-9AE1D7920549}"/>
    <cellStyle name="Accent6 2 9" xfId="2626" xr:uid="{4F565B27-FB8A-4107-B5F0-2D166DD0C2F1}"/>
    <cellStyle name="Accent6 2_5130_new" xfId="2627" xr:uid="{2C33CAE5-3B17-4062-942F-EFC19E9AAEFC}"/>
    <cellStyle name="Accent6 20" xfId="2628" xr:uid="{3B2C99A6-6C08-486F-9E66-FCC973CFB2C9}"/>
    <cellStyle name="Accent6 21" xfId="2629" xr:uid="{A712F90A-7C5F-4F64-8244-E1085FED4AD5}"/>
    <cellStyle name="Accent6 22" xfId="2630" xr:uid="{92ED3AE3-ED9D-4BF3-BA11-BCBF4F277C6D}"/>
    <cellStyle name="Accent6 23" xfId="2631" xr:uid="{D7249921-F5BC-495A-AD9C-480367DC6252}"/>
    <cellStyle name="Accent6 24" xfId="2632" xr:uid="{407E5E74-CF2B-45FE-93D9-B489B2CD1F91}"/>
    <cellStyle name="Accent6 25" xfId="2633" xr:uid="{45BB1839-41F4-4B10-96D5-BC7E1E7D43FE}"/>
    <cellStyle name="Accent6 26" xfId="2634" xr:uid="{944358F0-EC50-4EF1-A45C-5DD5D8AF59F6}"/>
    <cellStyle name="Accent6 27" xfId="2635" xr:uid="{97965B1A-DF06-4E5B-A24A-1BF109FDC144}"/>
    <cellStyle name="Accent6 28" xfId="2636" xr:uid="{D130BEB5-DD2D-4693-91ED-AD915AD50E08}"/>
    <cellStyle name="Accent6 29" xfId="2637" xr:uid="{A051657D-2110-463B-A785-589A0EEA9E33}"/>
    <cellStyle name="Accent6 3" xfId="2638" xr:uid="{56DE82E1-527F-44C1-9C0E-847F6B6FFF06}"/>
    <cellStyle name="Accent6 3 2" xfId="2639" xr:uid="{A4DBE73A-E62B-45A4-93AE-3F8D05C424C9}"/>
    <cellStyle name="Accent6 3 2 2" xfId="2640" xr:uid="{694A8A97-D592-49C3-9BDB-62F69E51ADC1}"/>
    <cellStyle name="Accent6 3 3" xfId="2641" xr:uid="{1B81CA15-8D6E-446A-BCB2-8C7D7A5F4D60}"/>
    <cellStyle name="Accent6 3 3 2" xfId="2642" xr:uid="{03DC281D-A283-4099-891C-BE8D7479C438}"/>
    <cellStyle name="Accent6 3 3_Derivatives" xfId="2643" xr:uid="{C224E48C-E920-4944-9F55-AD7B9C287436}"/>
    <cellStyle name="Accent6 3 4" xfId="2644" xr:uid="{D735BAF8-FD6D-4921-9599-AED8D6866EDD}"/>
    <cellStyle name="Accent6 3 5" xfId="2645" xr:uid="{48127785-7BFF-46CE-A147-F86F6D64B3B3}"/>
    <cellStyle name="Accent6 3 6" xfId="2646" xr:uid="{6FD779D6-A3B2-444C-A4E5-3D76637F8923}"/>
    <cellStyle name="Accent6 3 7" xfId="2647" xr:uid="{ADE4BDED-730C-4BA9-8BB5-CBBE9E4DB4DE}"/>
    <cellStyle name="Accent6 3 8" xfId="2648" xr:uid="{2F03FB39-21AF-4795-91AD-004AA1CC56D6}"/>
    <cellStyle name="Accent6 3 9" xfId="2649" xr:uid="{8BD67746-1D81-499E-AC1D-479ECEC56E7C}"/>
    <cellStyle name="Accent6 3_EQU" xfId="2650" xr:uid="{99CF8236-C862-48B0-BEAD-F2C7EF215FAE}"/>
    <cellStyle name="Accent6 30" xfId="2651" xr:uid="{B165FAAA-611D-4E76-8023-BD093906BE29}"/>
    <cellStyle name="Accent6 31" xfId="2652" xr:uid="{102F5FD4-0D3B-416E-A4E6-36A8065F71B5}"/>
    <cellStyle name="Accent6 32" xfId="2653" xr:uid="{F1D7D16D-19F8-4C9E-A979-9AA6F49A7CBB}"/>
    <cellStyle name="Accent6 33" xfId="2654" xr:uid="{591FDF63-EB2C-48D2-94D7-95839080C0E1}"/>
    <cellStyle name="Accent6 34" xfId="2655" xr:uid="{79A7181D-5524-4113-A5D6-9E567694708A}"/>
    <cellStyle name="Accent6 35" xfId="2656" xr:uid="{85A11363-F742-4900-9D0B-A6820F0E5BE2}"/>
    <cellStyle name="Accent6 36" xfId="2657" xr:uid="{63A7719A-A7C4-4240-9EF1-DC59F69A472A}"/>
    <cellStyle name="Accent6 37" xfId="2658" xr:uid="{7706716C-1AFB-4003-A058-34B1F87CBC2A}"/>
    <cellStyle name="Accent6 38" xfId="2659" xr:uid="{541FEBF1-615D-4B6B-9B25-87B345AC2084}"/>
    <cellStyle name="Accent6 39" xfId="2660" xr:uid="{FC68810A-8F2B-4F4E-9797-6E7DDA97F553}"/>
    <cellStyle name="Accent6 4" xfId="2661" xr:uid="{9BDEEA72-C6C4-4606-B4E5-8BEF54BE70CC}"/>
    <cellStyle name="Accent6 4 2" xfId="2662" xr:uid="{FB74E43E-B5E2-4308-88D6-3164489E4D39}"/>
    <cellStyle name="Accent6 4 3" xfId="2663" xr:uid="{86567EAC-64C1-472D-90B0-1733892CBB60}"/>
    <cellStyle name="Accent6 4_EQU" xfId="2664" xr:uid="{4F78F0F2-5B30-4FB0-B032-22CA19DEEA28}"/>
    <cellStyle name="Accent6 40" xfId="2665" xr:uid="{4F618D3A-4EC3-4FFD-B36C-E999784E624F}"/>
    <cellStyle name="Accent6 41" xfId="2666" xr:uid="{11FF4965-F887-447A-B352-1D7DB7A19682}"/>
    <cellStyle name="Accent6 42" xfId="2667" xr:uid="{3D3DE555-02C0-4853-8D24-98483D862C5D}"/>
    <cellStyle name="Accent6 43" xfId="2668" xr:uid="{367D632D-F2D0-4712-8130-46A2A3BC34AE}"/>
    <cellStyle name="Accent6 44" xfId="2669" xr:uid="{60340F55-4C2F-4183-9401-84784EE1FFAC}"/>
    <cellStyle name="Accent6 45" xfId="2670" xr:uid="{C0505B53-076D-4BA9-A45C-FDCA3B0B12DA}"/>
    <cellStyle name="Accent6 46" xfId="2671" xr:uid="{08D9D1D2-374E-4910-8DD1-87482EDC70C1}"/>
    <cellStyle name="Accent6 47" xfId="2672" xr:uid="{193A2784-B604-463E-9394-5F4431178FE7}"/>
    <cellStyle name="Accent6 48" xfId="2673" xr:uid="{40295F89-F252-43BB-9453-DE5EAE19ECAA}"/>
    <cellStyle name="Accent6 49" xfId="2674" xr:uid="{E639B730-2C21-415D-A9BF-2F831D6ACB24}"/>
    <cellStyle name="Accent6 5" xfId="2675" xr:uid="{40D42DC3-E914-4DEB-A1A7-03C653D2426F}"/>
    <cellStyle name="Accent6 50" xfId="2676" xr:uid="{08643C50-474D-4A38-9851-9C0C24505ACB}"/>
    <cellStyle name="Accent6 51" xfId="2677" xr:uid="{9BEB30F4-87A2-409F-89DC-2E609446CBDF}"/>
    <cellStyle name="Accent6 52" xfId="2678" xr:uid="{7E7842F4-F4FF-429E-94AA-194F876E320A}"/>
    <cellStyle name="Accent6 53" xfId="2679" xr:uid="{89C60F2C-7095-46ED-A73E-862FFBDA7B47}"/>
    <cellStyle name="Accent6 54" xfId="2680" xr:uid="{819D7986-5A02-4E38-948C-4E92E2447411}"/>
    <cellStyle name="Accent6 55" xfId="2681" xr:uid="{EEAB84DE-A4E9-493E-B2BA-1F3EEB095A5B}"/>
    <cellStyle name="Accent6 56" xfId="2682" xr:uid="{52ECD1E0-A508-4897-89E9-FB2068078AF5}"/>
    <cellStyle name="Accent6 57" xfId="2683" xr:uid="{17345162-EDF7-443B-94CC-5E83DFD7AC35}"/>
    <cellStyle name="Accent6 58" xfId="2684" xr:uid="{2771ED31-EA15-4E8A-8946-E7A4B9C1E7C5}"/>
    <cellStyle name="Accent6 59" xfId="2685" xr:uid="{13E27483-7747-4CBC-B85A-8923E6FBF7C7}"/>
    <cellStyle name="Accent6 6" xfId="2686" xr:uid="{FDB2E882-0CA2-410E-AEFF-52DC79F474DA}"/>
    <cellStyle name="Accent6 60" xfId="2687" xr:uid="{83220150-F883-49B5-8FB0-64F46014B496}"/>
    <cellStyle name="Accent6 61" xfId="2688" xr:uid="{69B0F15D-41F2-43D5-B8D9-E451AC7F065E}"/>
    <cellStyle name="Accent6 62" xfId="2689" xr:uid="{EC4770A6-B79B-49E1-827C-A5DB7D856E08}"/>
    <cellStyle name="Accent6 63" xfId="2690" xr:uid="{771582B7-2C3E-4896-907D-8731FD44D450}"/>
    <cellStyle name="Accent6 64" xfId="2691" xr:uid="{5B8D2465-C69C-417C-A793-828C434DC78C}"/>
    <cellStyle name="Accent6 65" xfId="2692" xr:uid="{4DC134FC-E7A2-43EA-B874-1ED2561AFBD0}"/>
    <cellStyle name="Accent6 66" xfId="2693" xr:uid="{4A744215-0656-40B9-B290-484485160044}"/>
    <cellStyle name="Accent6 67" xfId="2694" xr:uid="{F16467A8-6689-4009-8A3A-83DE380579BB}"/>
    <cellStyle name="Accent6 68" xfId="2695" xr:uid="{3F58D4F0-0CE4-4F76-AD18-79933FC42DFB}"/>
    <cellStyle name="Accent6 69" xfId="2696" xr:uid="{8A7098FB-5F86-42BD-95EB-41B5D66A2457}"/>
    <cellStyle name="Accent6 7" xfId="2697" xr:uid="{BE5986AD-1A60-46B9-A531-A378E73EE584}"/>
    <cellStyle name="Accent6 70" xfId="2698" xr:uid="{4D88D3E4-5AED-481E-AC35-12246D0540D7}"/>
    <cellStyle name="Accent6 71" xfId="2699" xr:uid="{C8246AAA-EBFC-4893-88D3-2993EA911003}"/>
    <cellStyle name="Accent6 72" xfId="2700" xr:uid="{BDCB3FF2-5510-4841-B5C9-298540B2D175}"/>
    <cellStyle name="Accent6 73" xfId="2701" xr:uid="{F958C92D-7FC6-4516-82A9-C3CC541449AB}"/>
    <cellStyle name="Accent6 74" xfId="2702" xr:uid="{B055F29B-C3B0-470B-ABA7-612896FD9FFB}"/>
    <cellStyle name="Accent6 75" xfId="2703" xr:uid="{6C8ECAC7-1761-408C-AF02-10F098806F2E}"/>
    <cellStyle name="Accent6 8" xfId="2704" xr:uid="{C34EA869-D4EF-41D1-A854-2CD81AD03F7C}"/>
    <cellStyle name="Accent6 9" xfId="2705" xr:uid="{03270FDA-23F2-4462-9499-78FC5FD898FF}"/>
    <cellStyle name="Ärenderubrik" xfId="6782" xr:uid="{BD35B1AC-41C4-48AE-ABB1-1D8538E07A7D}"/>
    <cellStyle name="Avertissement" xfId="2706" xr:uid="{08DAF685-87A4-4A26-8A71-C202885887D7}"/>
    <cellStyle name="Bad 10" xfId="2707" xr:uid="{294697E0-6839-44EE-A286-D266DC79D9E4}"/>
    <cellStyle name="Bad 11" xfId="2708" xr:uid="{AE1A74DC-5D7B-4E81-8371-95014B97551E}"/>
    <cellStyle name="Bad 12" xfId="2709" xr:uid="{A8D36490-3033-445A-8B5F-DE7CB2C02BA7}"/>
    <cellStyle name="Bad 13" xfId="2710" xr:uid="{C2862349-7E68-4750-88C0-90EF9C0DABB9}"/>
    <cellStyle name="Bad 2" xfId="2711" xr:uid="{F96D9559-2E4F-492D-B720-49B51302721D}"/>
    <cellStyle name="Bad 2 10" xfId="2712" xr:uid="{BDB7B0EE-6406-4A4F-ACEB-3C661583A898}"/>
    <cellStyle name="Bad 2 11" xfId="2713" xr:uid="{6B55346A-7C20-435D-8636-D57CA2824C5D}"/>
    <cellStyle name="Bad 2 12" xfId="2714" xr:uid="{BF2995B2-8C92-4C9C-9D16-E58B9DDDD378}"/>
    <cellStyle name="Bad 2 13" xfId="2715" xr:uid="{FBE77DE9-3C69-4B70-AB33-FD380EEE932C}"/>
    <cellStyle name="Bad 2 14" xfId="2716" xr:uid="{4CD9094B-B780-426F-9227-EE22EC27A421}"/>
    <cellStyle name="Bad 2 15" xfId="2717" xr:uid="{0D6FEBA7-0112-4FF0-9EA4-D10FB56C497A}"/>
    <cellStyle name="Bad 2 16" xfId="2718" xr:uid="{A0AA9807-BF87-4BDB-9F2C-B78466F2E944}"/>
    <cellStyle name="Bad 2 17" xfId="2719" xr:uid="{07FC1E7D-D2E5-4CEC-8909-C4A92F251DC2}"/>
    <cellStyle name="Bad 2 18" xfId="2720" xr:uid="{47C4C1A1-88D2-42E4-A44D-F8578FCE29CC}"/>
    <cellStyle name="Bad 2 2" xfId="2721" xr:uid="{6096FC94-60D6-410B-AD61-6123B377C7A0}"/>
    <cellStyle name="Bad 2 2 10" xfId="2722" xr:uid="{124D5B94-8DFE-4799-AA1F-2C745B006B7A}"/>
    <cellStyle name="Bad 2 2 11" xfId="2723" xr:uid="{65A5C19C-D7BA-4C0D-BB9E-5F002D0DE50E}"/>
    <cellStyle name="Bad 2 2 12" xfId="2724" xr:uid="{50575D35-CF8B-4847-B246-1461FF0A43E0}"/>
    <cellStyle name="Bad 2 2 13" xfId="2725" xr:uid="{5CDF1146-048D-4DAC-85C7-329D9FAA44EF}"/>
    <cellStyle name="Bad 2 2 14" xfId="2726" xr:uid="{9E1BB410-0047-4FA3-8957-C9C12056FD94}"/>
    <cellStyle name="Bad 2 2 15" xfId="2727" xr:uid="{1375E783-425F-4DE2-A57D-D04DD8BEAC3D}"/>
    <cellStyle name="Bad 2 2 16" xfId="2728" xr:uid="{B985FD40-5AD2-4969-9DCD-B4D5585850F1}"/>
    <cellStyle name="Bad 2 2 17" xfId="2729" xr:uid="{AACA77DF-5038-4C69-A62E-BCD30BA3080C}"/>
    <cellStyle name="Bad 2 2 18" xfId="2730" xr:uid="{C28BC639-4700-4DC1-AFBA-9F8354700048}"/>
    <cellStyle name="Bad 2 2 2" xfId="2731" xr:uid="{2B809B7E-47AA-43A7-BD57-08F502C8E58F}"/>
    <cellStyle name="Bad 2 2 3" xfId="2732" xr:uid="{9445C979-02AD-457F-941B-411F9DA796D7}"/>
    <cellStyle name="Bad 2 2 4" xfId="2733" xr:uid="{01100069-3DD7-4974-8432-4E4307189AB1}"/>
    <cellStyle name="Bad 2 2 5" xfId="2734" xr:uid="{5A96F7DF-6B42-4D18-BDA7-1F46FD8838F7}"/>
    <cellStyle name="Bad 2 2 6" xfId="2735" xr:uid="{F9D71181-BFFB-4D94-8D63-96C54D4BE986}"/>
    <cellStyle name="Bad 2 2 7" xfId="2736" xr:uid="{82847009-FDB4-4F8E-9954-11A7D8F09AD5}"/>
    <cellStyle name="Bad 2 2 8" xfId="2737" xr:uid="{5736F925-40C8-49C2-B6EF-36B9DA4D3EE4}"/>
    <cellStyle name="Bad 2 2 9" xfId="2738" xr:uid="{05C9E853-EEA9-4072-82BF-F401BE31A6FE}"/>
    <cellStyle name="Bad 2 2_Equity reconciliation 2013-03" xfId="2739" xr:uid="{B1CB744C-E347-4FEF-85BA-9F3705F16A78}"/>
    <cellStyle name="Bad 2 3" xfId="2740" xr:uid="{84DEC3A6-E503-4EFF-9EB0-831D6A77AB16}"/>
    <cellStyle name="Bad 2 3 2" xfId="2741" xr:uid="{D6B1AB53-24D7-4A54-B79C-01589C6604C3}"/>
    <cellStyle name="Bad 2 3_Derivatives" xfId="2742" xr:uid="{2428D7FB-92E0-476E-8CCB-08BA7D3733E9}"/>
    <cellStyle name="Bad 2 4" xfId="2743" xr:uid="{6F3F4A0F-9F72-4C7F-A1A6-2574ACA34E3F}"/>
    <cellStyle name="Bad 2 4 2" xfId="2744" xr:uid="{219EE06B-DAFF-414A-899D-3B2E11C14093}"/>
    <cellStyle name="Bad 2 5" xfId="2745" xr:uid="{E760BA9F-17DF-420E-8B59-E75623A2465B}"/>
    <cellStyle name="Bad 2 6" xfId="2746" xr:uid="{EDC33941-88CA-405F-88CA-E6C488CBB112}"/>
    <cellStyle name="Bad 2 7" xfId="2747" xr:uid="{C0CC6D40-98E8-42D5-BFF4-6F13BC5416B8}"/>
    <cellStyle name="Bad 2 8" xfId="2748" xr:uid="{714B9C26-BDF8-438C-AD15-A9B007887B20}"/>
    <cellStyle name="Bad 2 9" xfId="2749" xr:uid="{495278C7-62A6-4AFD-B194-A35467984342}"/>
    <cellStyle name="Bad 2_5130_new" xfId="2750" xr:uid="{FBDF73E6-C7E2-4E10-A3B5-D64048467C99}"/>
    <cellStyle name="Bad 3" xfId="2751" xr:uid="{8DE73DAD-72B2-4B1F-BE30-432B58330608}"/>
    <cellStyle name="Bad 3 2" xfId="2752" xr:uid="{3AE004FB-2F28-4624-B890-CC53DE5B3E4D}"/>
    <cellStyle name="Bad 3 3" xfId="2753" xr:uid="{1D10582F-81D7-4E56-83A9-0A78B7CFF05F}"/>
    <cellStyle name="Bad 3 4" xfId="2754" xr:uid="{EB97514B-A9EF-405D-8E3C-A0CC8313A192}"/>
    <cellStyle name="Bad 3 5" xfId="2755" xr:uid="{F59DCDB6-E428-4939-9092-3AA642B57C2B}"/>
    <cellStyle name="Bad 3 6" xfId="2756" xr:uid="{288C792D-6B62-4B91-8527-88707F2E489E}"/>
    <cellStyle name="Bad 3 7" xfId="2757" xr:uid="{C4A6E0C0-E528-4CF9-9032-D37374139A24}"/>
    <cellStyle name="Bad 3 8" xfId="2758" xr:uid="{F651D9CD-1AB5-4401-87ED-DF29A204AAB1}"/>
    <cellStyle name="Bad 3 9" xfId="2759" xr:uid="{EE7BFE09-8A77-4869-9FFB-9C4D626B0D3B}"/>
    <cellStyle name="Bad 3_EQU" xfId="2760" xr:uid="{2319B302-BB97-4505-878F-DA302601C803}"/>
    <cellStyle name="Bad 4" xfId="2761" xr:uid="{7AADD08E-3986-423E-9960-9BF835413C7F}"/>
    <cellStyle name="Bad 4 2" xfId="2762" xr:uid="{F26F17A6-9387-4521-A66B-2D11EA4367DE}"/>
    <cellStyle name="Bad 4_EQU" xfId="2763" xr:uid="{DB8B365D-C345-4AE4-93C0-C15380C63785}"/>
    <cellStyle name="Bad 5" xfId="2764" xr:uid="{18FA8DEF-40B9-4069-95DF-346BBFB0EDD8}"/>
    <cellStyle name="Bad 6" xfId="2765" xr:uid="{3386FC8C-9DE0-4AEA-82EA-EE42DBD046F7}"/>
    <cellStyle name="Bad 7" xfId="2766" xr:uid="{90D1D788-2FC6-4F51-AC34-387C030264EB}"/>
    <cellStyle name="Bad 8" xfId="2767" xr:uid="{FF935C9B-A305-49BC-BC0F-B97F47B1A9D7}"/>
    <cellStyle name="Bad 9" xfId="2768" xr:uid="{3A1AA4EB-1016-42DD-86AC-3A46C30B5E00}"/>
    <cellStyle name="beide" xfId="2769" xr:uid="{76581B33-3967-4760-B28E-AE570BF3B8B6}"/>
    <cellStyle name="Blankettnamn" xfId="2770" xr:uid="{93720FA0-BB91-4F62-B57F-A7E7D5C85445}"/>
    <cellStyle name="Blankettnamn 2" xfId="2771" xr:uid="{6D2074DE-1615-4D0E-BC8D-D84EB5A9077D}"/>
    <cellStyle name="Blankettnamn 3" xfId="2772" xr:uid="{743267B1-54CC-4335-962D-EAC9D07A4E46}"/>
    <cellStyle name="bottem" xfId="2773" xr:uid="{2B43FF83-9E92-451C-9DD8-1F25D290BF4C}"/>
    <cellStyle name="Calc Currency (0)" xfId="2774" xr:uid="{84DEEC00-EA92-43D0-9D50-90848F922305}"/>
    <cellStyle name="Calc Currency (0) 2" xfId="2775" xr:uid="{173434A2-D790-41D3-9F22-6801502A32B7}"/>
    <cellStyle name="Calc Currency (0) 2 2" xfId="2776" xr:uid="{521C2D52-EEB9-4BA7-A2EF-2DC2A84B2DD1}"/>
    <cellStyle name="Calc Currency (0) 2_Bridges" xfId="2777" xr:uid="{CB11AABE-7CF1-4045-BA2F-543CB321D5A3}"/>
    <cellStyle name="Calc Currency (0)_evdre" xfId="2778" xr:uid="{E35E2312-8FD7-4FD9-A7CA-4B9C0691C1D1}"/>
    <cellStyle name="Calcul" xfId="2779" xr:uid="{8BF76FD5-6108-4500-8477-75F43E311281}"/>
    <cellStyle name="Calculation 10" xfId="2780" xr:uid="{D3271004-4E79-4CFF-800F-72270368E107}"/>
    <cellStyle name="Calculation 11" xfId="2781" xr:uid="{DD554D28-1FAB-4E78-B66B-6B97108A847A}"/>
    <cellStyle name="Calculation 12" xfId="2782" xr:uid="{10A61976-B918-4405-B94C-4F09CBE800A7}"/>
    <cellStyle name="Calculation 13" xfId="2783" xr:uid="{8228E5DB-9F61-4DBC-AF90-A486F711C8DE}"/>
    <cellStyle name="Calculation 2" xfId="2784" xr:uid="{561121E5-17B6-4EE9-B392-31FD8A282BDD}"/>
    <cellStyle name="Calculation 2 10" xfId="2785" xr:uid="{5765EB1E-35E7-48F3-8BBD-774F9E4866B9}"/>
    <cellStyle name="Calculation 2 11" xfId="2786" xr:uid="{2E9062F5-BFDB-449F-BA68-A02F610C7007}"/>
    <cellStyle name="Calculation 2 12" xfId="2787" xr:uid="{0FEC14CC-FE2D-49EE-B62F-8EE7219B6D6B}"/>
    <cellStyle name="Calculation 2 13" xfId="2788" xr:uid="{409DF843-D1CA-4588-94B0-234E0F40D238}"/>
    <cellStyle name="Calculation 2 14" xfId="2789" xr:uid="{6D31B3DF-8B3B-4791-9794-3B7FA2861DD3}"/>
    <cellStyle name="Calculation 2 15" xfId="2790" xr:uid="{D17C446D-25E8-4AD4-9993-AED1CAB4D5E9}"/>
    <cellStyle name="Calculation 2 16" xfId="2791" xr:uid="{0F40BDBE-C12E-449D-A221-5B708658888C}"/>
    <cellStyle name="Calculation 2 17" xfId="2792" xr:uid="{58A6D059-0ED8-469E-82E8-F98DCD409EFA}"/>
    <cellStyle name="Calculation 2 18" xfId="2793" xr:uid="{073E7ABA-65AA-49E8-8B6C-7B51D4D5B9A8}"/>
    <cellStyle name="Calculation 2 2" xfId="2794" xr:uid="{1BDE4115-2EC6-40AC-932F-1F7E38C83E3D}"/>
    <cellStyle name="Calculation 2 2 10" xfId="2795" xr:uid="{F52DEF54-C6F0-4E05-ABBF-D0C145154491}"/>
    <cellStyle name="Calculation 2 2 11" xfId="2796" xr:uid="{757DBFF9-76AF-48DB-AFA6-6CA122C18D22}"/>
    <cellStyle name="Calculation 2 2 12" xfId="2797" xr:uid="{70D8402D-9F6C-4EDB-823E-1DEC1EEEB45F}"/>
    <cellStyle name="Calculation 2 2 13" xfId="2798" xr:uid="{3B7EC425-1B7F-4652-A133-E2F068C68148}"/>
    <cellStyle name="Calculation 2 2 14" xfId="2799" xr:uid="{1E7FD670-694E-4C03-A370-433BDC879860}"/>
    <cellStyle name="Calculation 2 2 15" xfId="2800" xr:uid="{47395C92-7C1D-433B-A2FF-BA35595FC7BA}"/>
    <cellStyle name="Calculation 2 2 16" xfId="2801" xr:uid="{6A3C7FAE-A6EA-4843-8F37-CA9DD5BEEEC1}"/>
    <cellStyle name="Calculation 2 2 17" xfId="2802" xr:uid="{26A5A58B-9630-49A8-B701-AEE6F2E58D02}"/>
    <cellStyle name="Calculation 2 2 18" xfId="2803" xr:uid="{8302FA40-6955-4FAB-9B35-FDA1D5C433D6}"/>
    <cellStyle name="Calculation 2 2 2" xfId="2804" xr:uid="{0C8BC841-3140-4EF6-9712-BCFC3BB7C333}"/>
    <cellStyle name="Calculation 2 2 2 2" xfId="2805" xr:uid="{72DE3C01-C024-4ABF-A12A-CA602EAC4EE8}"/>
    <cellStyle name="Calculation 2 2 3" xfId="2806" xr:uid="{07748224-637B-4C21-986D-A2BE7307DA06}"/>
    <cellStyle name="Calculation 2 2 4" xfId="2807" xr:uid="{A6A26DB1-5014-45FA-B293-8DC1C15C0C9D}"/>
    <cellStyle name="Calculation 2 2 5" xfId="2808" xr:uid="{87440BBE-40DA-4951-9354-B60938DBC1E4}"/>
    <cellStyle name="Calculation 2 2 6" xfId="2809" xr:uid="{DE0A41BA-4F79-4E62-82E5-96A49B79B5DB}"/>
    <cellStyle name="Calculation 2 2 7" xfId="2810" xr:uid="{44022781-2A57-43DA-8C03-2A8B85623B78}"/>
    <cellStyle name="Calculation 2 2 8" xfId="2811" xr:uid="{B53D5FB9-E25B-4688-A64C-14D75B661C5C}"/>
    <cellStyle name="Calculation 2 2 9" xfId="2812" xr:uid="{9C7B3D31-9F82-4136-AB86-B5423A558549}"/>
    <cellStyle name="Calculation 2 2_ACOL eqity" xfId="2813" xr:uid="{C6F4A2BC-48EF-4B33-863C-3FE159B86A9E}"/>
    <cellStyle name="Calculation 2 3" xfId="2814" xr:uid="{EC703B8E-8299-4592-A197-DC389BC1F789}"/>
    <cellStyle name="Calculation 2 3 2" xfId="2815" xr:uid="{E14764F1-E9AD-4980-9E75-4ABDA240ED87}"/>
    <cellStyle name="Calculation 2 3_Derivatives" xfId="2816" xr:uid="{37FC5E2D-8963-478A-9089-2DCFB92CF907}"/>
    <cellStyle name="Calculation 2 4" xfId="2817" xr:uid="{506596A4-AE33-4038-96EB-F0683AA3B5F6}"/>
    <cellStyle name="Calculation 2 4 2" xfId="2818" xr:uid="{A2244026-693A-4509-8974-B8513415B6C8}"/>
    <cellStyle name="Calculation 2 5" xfId="2819" xr:uid="{D4282A10-86E2-4A4F-B299-AA6F0E07DF38}"/>
    <cellStyle name="Calculation 2 6" xfId="2820" xr:uid="{0CC42779-D569-4B44-B32D-C5457535CD35}"/>
    <cellStyle name="Calculation 2 7" xfId="2821" xr:uid="{1ECADA44-F4FF-4260-9DFE-721B95132CD1}"/>
    <cellStyle name="Calculation 2 8" xfId="2822" xr:uid="{718D5923-6845-4658-95E9-642399A43407}"/>
    <cellStyle name="Calculation 2 8 2" xfId="2823" xr:uid="{CBB16A9F-3011-47EF-A5DC-AEE332DFE25A}"/>
    <cellStyle name="Calculation 2 8_Derivatives" xfId="2824" xr:uid="{52D35B72-ECE8-4EDD-ADD8-097FCC9FC66E}"/>
    <cellStyle name="Calculation 2 9" xfId="2825" xr:uid="{D9B4AA50-8B64-427F-BC27-8D999B135289}"/>
    <cellStyle name="Calculation 2_5130_new" xfId="2826" xr:uid="{3622D5B0-7976-4FB0-B556-7F7D13E46F0A}"/>
    <cellStyle name="Calculation 3" xfId="2827" xr:uid="{88D8E20E-506A-450B-AA18-DD03CE9CBC18}"/>
    <cellStyle name="Calculation 3 2" xfId="2828" xr:uid="{A9AD14F0-A16E-438D-BCFB-E4DD264D59DA}"/>
    <cellStyle name="Calculation 3 2 2" xfId="2829" xr:uid="{F4996A01-1988-4665-96B9-90E2B60AAE88}"/>
    <cellStyle name="Calculation 3 2 3" xfId="2830" xr:uid="{67BA67E6-659E-4D40-9A11-F7F4DB834337}"/>
    <cellStyle name="Calculation 3 3" xfId="2831" xr:uid="{6D564474-6BD6-4407-8958-08502E0BEF2E}"/>
    <cellStyle name="Calculation 3 3 2" xfId="2832" xr:uid="{BA5BE106-76D2-40D5-9F25-8919AC476120}"/>
    <cellStyle name="Calculation 3 4" xfId="2833" xr:uid="{B6D13081-5F37-419C-92F6-2706287F0C75}"/>
    <cellStyle name="Calculation 3 5" xfId="2834" xr:uid="{A5618741-A3C1-423B-9B1A-86F9C1D9198B}"/>
    <cellStyle name="Calculation 3 6" xfId="2835" xr:uid="{003F054A-B9EB-4ABD-AFBA-DC7BC306045A}"/>
    <cellStyle name="Calculation 3 7" xfId="2836" xr:uid="{E888B77B-2F8D-4843-A5A4-BFEF5604C3B5}"/>
    <cellStyle name="Calculation 3 8" xfId="2837" xr:uid="{56C62D26-BB09-4E15-8361-AFF2A3CFA5D5}"/>
    <cellStyle name="Calculation 3 9" xfId="2838" xr:uid="{A65F36E0-91A1-482C-BA3A-6119EB490ADA}"/>
    <cellStyle name="Calculation 3_EQU" xfId="2839" xr:uid="{6EA782B8-C977-4B85-9A62-5ABBB26B2BEB}"/>
    <cellStyle name="Calculation 4" xfId="2840" xr:uid="{00E175E8-A1AD-4D68-AA79-E18DEA18932E}"/>
    <cellStyle name="Calculation 4 2" xfId="2841" xr:uid="{922184E6-9162-4353-8ED7-434F76764135}"/>
    <cellStyle name="Calculation 4_EQU" xfId="2842" xr:uid="{0A84E6A8-D233-44E8-B435-7AAC60B001D6}"/>
    <cellStyle name="Calculation 5" xfId="2843" xr:uid="{A0E577E8-2269-4057-88ED-04DA382C9E6C}"/>
    <cellStyle name="Calculation 6" xfId="2844" xr:uid="{E28CC026-B250-49C9-A454-4896DB592F3D}"/>
    <cellStyle name="Calculation 7" xfId="2845" xr:uid="{E32813D4-7206-41EB-97CB-8F3A0D625388}"/>
    <cellStyle name="Calculation 8" xfId="2846" xr:uid="{F974378E-130D-4939-93C8-08E383EDABBB}"/>
    <cellStyle name="Calculation 9" xfId="2847" xr:uid="{391309B9-5095-4307-AFD9-91F2104B827D}"/>
    <cellStyle name="Cellule liée" xfId="2848" xr:uid="{B9940846-41F2-4DAC-BAFC-00B0B365D8A1}"/>
    <cellStyle name="Check Cell 10" xfId="2849" xr:uid="{59BBFD95-0CEA-4861-B945-AAF007BF4BDA}"/>
    <cellStyle name="Check Cell 11" xfId="2850" xr:uid="{F52AB39F-31C1-44E8-8776-21E8366C2B03}"/>
    <cellStyle name="Check Cell 12" xfId="2851" xr:uid="{5E5DC09D-8747-4662-B034-C1D935DC99C1}"/>
    <cellStyle name="Check Cell 13" xfId="2852" xr:uid="{7CE9783F-36E7-48F0-B55D-3E74C47DA11E}"/>
    <cellStyle name="Check Cell 2" xfId="2853" xr:uid="{09E92DFA-1D3D-4A08-A932-AA1970B07CE4}"/>
    <cellStyle name="Check Cell 2 10" xfId="2854" xr:uid="{D19C87DA-F1CD-400E-A446-58341390A4C0}"/>
    <cellStyle name="Check Cell 2 11" xfId="2855" xr:uid="{1E31D934-8C35-4EC1-B239-6F9F46D6D240}"/>
    <cellStyle name="Check Cell 2 12" xfId="2856" xr:uid="{23102CD2-CA0D-46F3-B398-CFF61BA55FF8}"/>
    <cellStyle name="Check Cell 2 13" xfId="2857" xr:uid="{A5B8E590-DE85-47CD-B408-FB35A08424DC}"/>
    <cellStyle name="Check Cell 2 14" xfId="2858" xr:uid="{C57C1299-75BE-4B61-B8BE-363A2BA4E140}"/>
    <cellStyle name="Check Cell 2 15" xfId="2859" xr:uid="{88C845F9-44DD-41B8-9AB5-D9199C694288}"/>
    <cellStyle name="Check Cell 2 16" xfId="2860" xr:uid="{C1777ADE-26AF-4884-8549-B76FC6701715}"/>
    <cellStyle name="Check Cell 2 17" xfId="2861" xr:uid="{42522231-9D39-49CA-95DB-9683FD31DB1D}"/>
    <cellStyle name="Check Cell 2 18" xfId="2862" xr:uid="{AF670FCD-0B40-4526-9D0A-9B84A69EB1B8}"/>
    <cellStyle name="Check Cell 2 2" xfId="2863" xr:uid="{3378D7EE-5429-4D1F-937D-13EDDA9AA8C2}"/>
    <cellStyle name="Check Cell 2 2 10" xfId="2864" xr:uid="{2BDA058D-DD55-4E6D-A899-C975C0474938}"/>
    <cellStyle name="Check Cell 2 2 11" xfId="2865" xr:uid="{9B07AC08-2DD9-45DD-8E7B-6056BCBDAD32}"/>
    <cellStyle name="Check Cell 2 2 12" xfId="2866" xr:uid="{ABD2E4FD-4957-4DF8-A45D-CB748B7B61C5}"/>
    <cellStyle name="Check Cell 2 2 13" xfId="2867" xr:uid="{2DC47DF5-F9FE-4D88-BB77-FB65189E5390}"/>
    <cellStyle name="Check Cell 2 2 14" xfId="2868" xr:uid="{777A237B-FAB6-4157-B002-1C52E8C9CC93}"/>
    <cellStyle name="Check Cell 2 2 15" xfId="2869" xr:uid="{50D7B668-D00F-4AC3-98F4-95216E9DFFD9}"/>
    <cellStyle name="Check Cell 2 2 16" xfId="2870" xr:uid="{F6F5DC22-30DF-4A7A-B4D2-4117A768C3CA}"/>
    <cellStyle name="Check Cell 2 2 17" xfId="2871" xr:uid="{1B4E0E7B-A88F-425A-A0D2-294DC2D41507}"/>
    <cellStyle name="Check Cell 2 2 18" xfId="2872" xr:uid="{E26398BE-7555-45D5-9986-2524FFE8FCBA}"/>
    <cellStyle name="Check Cell 2 2 2" xfId="2873" xr:uid="{C174CF05-9437-4480-B682-235F989B5238}"/>
    <cellStyle name="Check Cell 2 2 3" xfId="2874" xr:uid="{F972E054-AD92-4808-9C6A-E080B919894A}"/>
    <cellStyle name="Check Cell 2 2 4" xfId="2875" xr:uid="{3343F67E-8673-4526-B0C6-444EB12DAFAE}"/>
    <cellStyle name="Check Cell 2 2 5" xfId="2876" xr:uid="{16608ADE-3AB8-47FD-8035-A42094F67C64}"/>
    <cellStyle name="Check Cell 2 2 6" xfId="2877" xr:uid="{092AB10A-EF11-48F8-B8B9-8C4E591336FD}"/>
    <cellStyle name="Check Cell 2 2 7" xfId="2878" xr:uid="{6789D9E2-7C1E-4E1A-AE3E-0720718B4E3F}"/>
    <cellStyle name="Check Cell 2 2 8" xfId="2879" xr:uid="{04EF899D-5A66-474C-968A-6779AA4AF3E7}"/>
    <cellStyle name="Check Cell 2 2 9" xfId="2880" xr:uid="{6D052A87-068E-4E45-9CCA-C52FCC2AB415}"/>
    <cellStyle name="Check Cell 2 2_ACOL eqity" xfId="2881" xr:uid="{3D2A022C-8BBE-49CC-8BEE-66E519348880}"/>
    <cellStyle name="Check Cell 2 3" xfId="2882" xr:uid="{D28AC149-3A74-437A-A42E-C50DC31FD2A8}"/>
    <cellStyle name="Check Cell 2 3 2" xfId="2883" xr:uid="{CA61558A-8858-427A-9285-0E2AA058BBDD}"/>
    <cellStyle name="Check Cell 2 3_Derivatives" xfId="2884" xr:uid="{ABE12289-FA87-4B78-B8CD-8DB43E35EAEF}"/>
    <cellStyle name="Check Cell 2 4" xfId="2885" xr:uid="{9CD320DD-F257-4483-9D3B-23D6934E61B2}"/>
    <cellStyle name="Check Cell 2 4 2" xfId="2886" xr:uid="{FD5EABC7-8B2C-477C-A2AB-71F94CADE5B4}"/>
    <cellStyle name="Check Cell 2 5" xfId="2887" xr:uid="{E4C66005-572C-4E0C-8EC0-F7A093F46A62}"/>
    <cellStyle name="Check Cell 2 6" xfId="2888" xr:uid="{8E2A919E-061E-43C2-B222-012E7F7CF016}"/>
    <cellStyle name="Check Cell 2 7" xfId="2889" xr:uid="{1F72FB2D-4783-4D28-A71F-350DA96AA34B}"/>
    <cellStyle name="Check Cell 2 8" xfId="2890" xr:uid="{07451894-714A-493C-828A-EAF3D4C18280}"/>
    <cellStyle name="Check Cell 2 9" xfId="2891" xr:uid="{DBAAE143-4755-40C9-AD4B-796360489F8F}"/>
    <cellStyle name="Check Cell 2_5130_new" xfId="2892" xr:uid="{BD71B573-FAB4-42E3-9977-8366573613B0}"/>
    <cellStyle name="Check Cell 3" xfId="2893" xr:uid="{18A1718C-F24B-450D-AD3C-D6B1588AB396}"/>
    <cellStyle name="Check Cell 3 2" xfId="2894" xr:uid="{B57F595F-E56F-4065-A3D6-B831D963507C}"/>
    <cellStyle name="Check Cell 3 3" xfId="2895" xr:uid="{599DB2F7-938D-4D3C-8C8B-24A1C8F6ACD4}"/>
    <cellStyle name="Check Cell 3 4" xfId="2896" xr:uid="{5C475A7B-97B1-4F54-8442-EDC460EE018A}"/>
    <cellStyle name="Check Cell 3 5" xfId="2897" xr:uid="{BACB8E09-059F-4570-A2DD-5AFF8BB7F53B}"/>
    <cellStyle name="Check Cell 3 6" xfId="2898" xr:uid="{DA1E1D66-EB30-4026-8161-D2D03646F0EE}"/>
    <cellStyle name="Check Cell 3 7" xfId="2899" xr:uid="{CF76579D-E985-4DF0-A86B-383F13286246}"/>
    <cellStyle name="Check Cell 3 8" xfId="2900" xr:uid="{995DCA13-D185-4D5B-A19D-526B03F68C7F}"/>
    <cellStyle name="Check Cell 3 9" xfId="2901" xr:uid="{B00E91F0-5B70-41E9-8AE8-340256C2D96C}"/>
    <cellStyle name="Check Cell 3_EQU" xfId="2902" xr:uid="{73070195-50DB-4380-B807-CA412CA77CED}"/>
    <cellStyle name="Check Cell 4" xfId="2903" xr:uid="{71B93474-BDDE-46B6-BB0D-D78A45779168}"/>
    <cellStyle name="Check Cell 4 2" xfId="2904" xr:uid="{FA6272BC-AF69-4BB3-B8A9-FED5917080BB}"/>
    <cellStyle name="Check Cell 4_EQU" xfId="2905" xr:uid="{98E8BEBE-9A71-485B-8EB6-0A912C16DBB0}"/>
    <cellStyle name="Check Cell 5" xfId="2906" xr:uid="{36FBCD0D-F65A-4F1F-B9FE-2539E25A43A3}"/>
    <cellStyle name="Check Cell 6" xfId="2907" xr:uid="{D4571706-FCED-4C82-AD05-6907C10E187A}"/>
    <cellStyle name="Check Cell 7" xfId="2908" xr:uid="{6B40172D-B2D1-44F3-B652-F78816BEE4E3}"/>
    <cellStyle name="Check Cell 8" xfId="2909" xr:uid="{02DB5AC9-D306-48A6-BEFE-C209DF545A82}"/>
    <cellStyle name="Check Cell 9" xfId="2910" xr:uid="{65B23092-5102-46EB-AAAD-B0FF0902C59D}"/>
    <cellStyle name="ColumnHeading" xfId="2911" xr:uid="{E2446646-4BD3-4614-9A2D-839BC9656F57}"/>
    <cellStyle name="ColumnHeading 2" xfId="2912" xr:uid="{AB830D6D-4CFE-46EA-9D01-4C957B2C4278}"/>
    <cellStyle name="Comma" xfId="6796" builtinId="3"/>
    <cellStyle name="Comma [0] 2" xfId="2913" xr:uid="{9FC5FAFF-CA60-4F0D-931D-088CD59333F7}"/>
    <cellStyle name="Comma [0] 2 2" xfId="2914" xr:uid="{5E476B97-E2AF-46A0-8D43-AFE5B571A11C}"/>
    <cellStyle name="Comma [0] 2 2 2" xfId="2915" xr:uid="{2768A02A-8A50-48D6-BE67-9E3BA484D42D}"/>
    <cellStyle name="Comma [0] 2 3" xfId="2916" xr:uid="{F2884220-4282-47F6-88E1-5DA33D052771}"/>
    <cellStyle name="Comma [0] 2_Derivatives" xfId="2917" xr:uid="{6E1F0932-41ED-4889-B6B3-ECCEE81160F8}"/>
    <cellStyle name="Comma [0] 3" xfId="2918" xr:uid="{AC6F99C1-E4E2-4857-85D1-0F5E9C29967D}"/>
    <cellStyle name="Comma 10" xfId="2919" xr:uid="{1CD5E88A-2B29-4964-A690-40A70E608783}"/>
    <cellStyle name="Comma 10 2" xfId="2920" xr:uid="{89F7EE73-690F-4D33-9C51-A538D777F528}"/>
    <cellStyle name="Comma 10 2 2" xfId="2921" xr:uid="{C3BD740B-56BE-4FEE-B83E-0D3A03D87491}"/>
    <cellStyle name="Comma 10 3" xfId="2922" xr:uid="{D56C200B-F8A8-411C-AD01-45D06E0B17E2}"/>
    <cellStyle name="Comma 10 3 2" xfId="2923" xr:uid="{6C75D07A-1E06-46AE-AA45-53421F9C67B6}"/>
    <cellStyle name="Comma 10 4" xfId="2924" xr:uid="{B2F059DA-0CDE-48A5-8014-C3D5401F866E}"/>
    <cellStyle name="Comma 10_Derivatives" xfId="2925" xr:uid="{F6F5BF77-BB65-4967-BD2C-96CFC7B7725F}"/>
    <cellStyle name="Comma 11" xfId="2926" xr:uid="{D9E335DE-EDB6-4617-ADB3-42B295AF675E}"/>
    <cellStyle name="Comma 11 2" xfId="2927" xr:uid="{578571FF-989F-471D-AAF7-A890B100AE87}"/>
    <cellStyle name="Comma 11 2 2" xfId="2928" xr:uid="{2A514AE6-048E-4F05-BB1B-02AC34F37AED}"/>
    <cellStyle name="Comma 11_EQU" xfId="2929" xr:uid="{4525A8C6-707B-45D3-8E9F-EED753346B9C}"/>
    <cellStyle name="Comma 12" xfId="2930" xr:uid="{9C005638-54CE-431B-9605-5D85E7896453}"/>
    <cellStyle name="Comma 12 2" xfId="2931" xr:uid="{071140D4-6520-42BC-B015-934020F54B78}"/>
    <cellStyle name="Comma 12 2 2" xfId="2932" xr:uid="{6BCBE78C-F272-462E-AA1D-BF4D25FFDB46}"/>
    <cellStyle name="Comma 12 3" xfId="2933" xr:uid="{C9A6B073-7D6A-4BAE-A280-CC320913B39B}"/>
    <cellStyle name="Comma 12_Geography" xfId="2934" xr:uid="{2F17D6BF-B334-4D10-8657-E7A3E85B7F62}"/>
    <cellStyle name="Comma 13" xfId="2935" xr:uid="{BA76C94B-27FB-4546-9915-B3453A0E46DC}"/>
    <cellStyle name="Comma 13 2" xfId="2936" xr:uid="{1D642F32-A309-4455-8614-6D05DECEB2F5}"/>
    <cellStyle name="Comma 13 2 2" xfId="2937" xr:uid="{A66AE7CF-C5D9-472C-B412-1F2AC4F4C09A}"/>
    <cellStyle name="Comma 13_Geography" xfId="2938" xr:uid="{E2AB71F4-432D-4661-AB08-115BA025105F}"/>
    <cellStyle name="Comma 14" xfId="2939" xr:uid="{2CF2554A-EDE8-4F2F-82EF-814F5AF3142D}"/>
    <cellStyle name="Comma 14 2" xfId="2940" xr:uid="{4508B45F-D260-4622-92F9-5A098C79859F}"/>
    <cellStyle name="Comma 14 3" xfId="2941" xr:uid="{D0D40CEA-C149-443A-B0CB-32D1A7180691}"/>
    <cellStyle name="Comma 14_Derivatives" xfId="2942" xr:uid="{D2992018-17A5-41BE-A0DD-793C5045F268}"/>
    <cellStyle name="Comma 15" xfId="2943" xr:uid="{6BD069B5-B25A-4349-B4F0-B98CC9638033}"/>
    <cellStyle name="Comma 15 2" xfId="2944" xr:uid="{4951C9DC-E86A-44ED-BA0D-42EEB9B8BBD2}"/>
    <cellStyle name="Comma 15 3" xfId="2945" xr:uid="{1655C82A-7C30-40E7-89E6-B73C5F0F8585}"/>
    <cellStyle name="Comma 15_Derivatives" xfId="2946" xr:uid="{463C684A-357B-4114-BD64-E86B057DA641}"/>
    <cellStyle name="Comma 16" xfId="2947" xr:uid="{3E870D1E-8080-415B-BE3F-4E17E92B430E}"/>
    <cellStyle name="Comma 16 2" xfId="2948" xr:uid="{D17B76F2-25FB-4F80-9CDF-C90D3506A241}"/>
    <cellStyle name="Comma 17" xfId="2949" xr:uid="{14CE2FF4-11E9-4B29-A68A-262327379C94}"/>
    <cellStyle name="Comma 17 2" xfId="2950" xr:uid="{CED2789E-268F-4E7F-A0FF-D423305459E8}"/>
    <cellStyle name="Comma 18" xfId="2951" xr:uid="{55A55B5F-5DA0-473D-9E79-707E9711D29C}"/>
    <cellStyle name="Comma 18 2" xfId="2952" xr:uid="{6134D9A6-E1A0-4C72-9CA5-D5F1EA15FD5B}"/>
    <cellStyle name="Comma 19" xfId="2953" xr:uid="{1B11D77F-C404-4349-86B2-A47774C4D60B}"/>
    <cellStyle name="Comma 19 2" xfId="2954" xr:uid="{68F755EF-28F7-4748-A71E-A8292C760F9A}"/>
    <cellStyle name="Comma 19 3" xfId="2955" xr:uid="{1F675A46-53E6-49A2-8C36-9414018A2501}"/>
    <cellStyle name="Comma 19_Summary" xfId="2956" xr:uid="{4B522FC2-4E8B-41B8-B00B-CCB3D46C9D0A}"/>
    <cellStyle name="Comma 2" xfId="2957" xr:uid="{29C1142E-7726-4082-8341-E36A0CB3F6B2}"/>
    <cellStyle name="Comma 2 10" xfId="2958" xr:uid="{8665793F-4895-4EA6-B375-FC6D3E7DAE0A}"/>
    <cellStyle name="Comma 2 10 2" xfId="2959" xr:uid="{E3A17FBA-D59F-474A-B7E6-C49542CDA15E}"/>
    <cellStyle name="Comma 2 11" xfId="6794" xr:uid="{A9EA28ED-48ED-4AC3-9C99-40686CCE835C}"/>
    <cellStyle name="Comma 2 2" xfId="2960" xr:uid="{EDD916F6-551B-40FF-8931-6C9419A41577}"/>
    <cellStyle name="Comma 2 2 2" xfId="2961" xr:uid="{4692D366-B8A2-4EB4-90EA-210541F70754}"/>
    <cellStyle name="Comma 2 2 3" xfId="2962" xr:uid="{D792EF30-CCE4-4C20-96EF-4829426E3A04}"/>
    <cellStyle name="Comma 2 2 4" xfId="2963" xr:uid="{CE134B47-B4ED-4B5F-80BE-71966C93B314}"/>
    <cellStyle name="Comma 2 2 5" xfId="2964" xr:uid="{C14D5B32-3B0C-4AB3-844B-2BEF276C735F}"/>
    <cellStyle name="Comma 2 2 5 2" xfId="2965" xr:uid="{1B42B80B-4560-4E2F-8A80-F1BE4FE9BEF0}"/>
    <cellStyle name="Comma 2 2 5 3" xfId="2966" xr:uid="{AAED3130-8EB6-4B7C-8AA0-DA1C60A4E5FA}"/>
    <cellStyle name="Comma 2 2 5_Summary" xfId="2967" xr:uid="{107D73CB-4C9E-4BB9-9390-E0323FE9735A}"/>
    <cellStyle name="Comma 2 2 6" xfId="2968" xr:uid="{05D9972D-0944-4DAB-8E88-8A57BA5E863F}"/>
    <cellStyle name="Comma 2 2 7" xfId="2969" xr:uid="{8C91BDEC-66CF-4077-94E1-DE351DD90707}"/>
    <cellStyle name="Comma 2 2 7 2" xfId="2970" xr:uid="{7B947FA1-2958-4BEA-BB89-783E45E4AF01}"/>
    <cellStyle name="Comma 2 2 8" xfId="2971" xr:uid="{B198A992-58F3-4847-BBAE-EBBD87714328}"/>
    <cellStyle name="Comma 2 2 8 2" xfId="2972" xr:uid="{0CDEA825-6508-45AF-A485-FD1A27AC7686}"/>
    <cellStyle name="Comma 2 2_Derivatives" xfId="2973" xr:uid="{9BC13535-A98D-45CD-9086-B2C3EC0651D7}"/>
    <cellStyle name="Comma 2 3" xfId="2974" xr:uid="{45A7FFA9-BC97-4610-B3EA-5A6104BF552F}"/>
    <cellStyle name="Comma 2 3 2" xfId="2975" xr:uid="{BA698FF4-C800-4D0F-82B9-9173C7520474}"/>
    <cellStyle name="Comma 2 3 3" xfId="2976" xr:uid="{268E340A-FD58-4FEF-A741-10C09550FDA2}"/>
    <cellStyle name="Comma 2 3 4" xfId="2977" xr:uid="{88362473-9C19-48DF-BD34-37AF99ABC5CB}"/>
    <cellStyle name="Comma 2 3 4 2" xfId="2978" xr:uid="{DC8DC387-528A-4299-875D-65FE74085DA0}"/>
    <cellStyle name="Comma 2 3_Derivatives" xfId="2979" xr:uid="{FB2CEB95-DD9A-4F9B-9FE5-0DFF90E65B64}"/>
    <cellStyle name="Comma 2 4" xfId="2980" xr:uid="{CC59F685-97F3-46DB-BCBE-F3A99CB375BD}"/>
    <cellStyle name="Comma 2 4 2" xfId="2981" xr:uid="{05226183-C54F-438B-978B-34B67098B517}"/>
    <cellStyle name="Comma 2 4 3" xfId="2982" xr:uid="{0A2EDD15-1833-4462-BBB7-75614B7B52E7}"/>
    <cellStyle name="Comma 2 4 4" xfId="2983" xr:uid="{830697E1-AE32-44DA-9D64-E4CA79E40484}"/>
    <cellStyle name="Comma 2 4 5" xfId="2984" xr:uid="{54B5CB4B-83C8-4D82-9EA4-16559FD67307}"/>
    <cellStyle name="Comma 2 4_Derivatives" xfId="2985" xr:uid="{2D97C6BD-7041-478B-99B9-4A418A7A22D5}"/>
    <cellStyle name="Comma 2 5" xfId="2986" xr:uid="{5EB29D15-F9D4-4D85-A19A-1A0DBCF435BD}"/>
    <cellStyle name="Comma 2 5 2" xfId="2987" xr:uid="{BA9C5B47-3937-4301-86CF-70944BA0A7A4}"/>
    <cellStyle name="Comma 2 5_Derivatives" xfId="2988" xr:uid="{DC143ADF-118F-44D7-8F6D-A970B670F8D5}"/>
    <cellStyle name="Comma 2 6" xfId="2989" xr:uid="{971DCF7E-B9D0-4EAD-993F-DD9AD8DB0DE2}"/>
    <cellStyle name="Comma 2 6 2" xfId="2990" xr:uid="{DF215169-3199-4AAD-ABF2-03ED06E577E9}"/>
    <cellStyle name="Comma 2 6 3" xfId="2991" xr:uid="{157A05AA-7C02-422D-A8C4-3E6383FFC5E6}"/>
    <cellStyle name="Comma 2 6_Derivatives" xfId="2992" xr:uid="{7D532608-D475-415A-88D2-45C71FB96612}"/>
    <cellStyle name="Comma 2 7" xfId="2993" xr:uid="{0C15341C-6B9C-4797-872B-A6927BFF2049}"/>
    <cellStyle name="Comma 2 7 2" xfId="2994" xr:uid="{180AF9D5-3911-4616-A557-591D28D12EBF}"/>
    <cellStyle name="Comma 2 7 2 2" xfId="2995" xr:uid="{AB3434C9-3174-49DE-8008-10F2870B6471}"/>
    <cellStyle name="Comma 2 7 3" xfId="2996" xr:uid="{45E5BDCE-B47A-44B3-9D3D-6CD0CE181964}"/>
    <cellStyle name="Comma 2 7_Derivatives" xfId="2997" xr:uid="{F7FF3870-0E8E-4994-9EF5-070550D2B3CD}"/>
    <cellStyle name="Comma 2 8" xfId="2998" xr:uid="{3A4F0C1B-B294-45B9-BD3D-BCCB26951AE8}"/>
    <cellStyle name="Comma 2 8 2" xfId="2999" xr:uid="{F1DA2495-C6A6-4DBB-8687-2B64AC4670B4}"/>
    <cellStyle name="Comma 2 9" xfId="3000" xr:uid="{CE649CED-54C8-4F5E-84E2-7D7686589C48}"/>
    <cellStyle name="Comma 2 9 2" xfId="3001" xr:uid="{555C741D-9457-4574-B815-57F557A79D24}"/>
    <cellStyle name="Comma 2 9 2 2" xfId="3002" xr:uid="{F037F4E0-55BD-44A4-B114-F78C377722C0}"/>
    <cellStyle name="Comma 2 9 3" xfId="3003" xr:uid="{3213A8DD-A640-4511-A545-89AF179F856C}"/>
    <cellStyle name="Comma 2 9_Derivatives" xfId="3004" xr:uid="{E1365048-6886-4E60-8DF1-63CD4EC9320D}"/>
    <cellStyle name="Comma 2_Cash pool" xfId="3005" xr:uid="{68C63B7B-F063-4ADC-BE81-D35371EE6B65}"/>
    <cellStyle name="Comma 20" xfId="3006" xr:uid="{EC5F54CA-E732-46CD-83E3-14F19C38A7B1}"/>
    <cellStyle name="Comma 20 2" xfId="3007" xr:uid="{221A2CA9-75A4-4183-A490-E2A8F7EF06DE}"/>
    <cellStyle name="Comma 21" xfId="3008" xr:uid="{F45F5FB6-365C-4684-8457-4E06AEE28D22}"/>
    <cellStyle name="Comma 21 2" xfId="3009" xr:uid="{37E5B1B0-9E84-4A9D-855E-86EBA9A619E1}"/>
    <cellStyle name="Comma 22" xfId="3010" xr:uid="{51D21121-A1EC-427A-A9A7-4878422FDED0}"/>
    <cellStyle name="Comma 22 2" xfId="3011" xr:uid="{B86D2F72-B8E0-478B-BB88-4D4BD9739521}"/>
    <cellStyle name="Comma 23" xfId="3012" xr:uid="{C8BB90A2-6E40-4CD7-A4FE-E50D379A53EC}"/>
    <cellStyle name="Comma 23 2" xfId="3013" xr:uid="{113982AE-97D4-4A3C-8099-FD8733236B02}"/>
    <cellStyle name="Comma 24" xfId="3014" xr:uid="{4489D73D-6014-47AF-9C03-351E0432FE9F}"/>
    <cellStyle name="Comma 24 2" xfId="3015" xr:uid="{32155572-44D7-4F89-BB58-D19328E7289B}"/>
    <cellStyle name="Comma 25" xfId="3016" xr:uid="{8DB87E44-3425-4BC6-A1D0-AFB53637F3E5}"/>
    <cellStyle name="Comma 25 2" xfId="3017" xr:uid="{B8DBCA13-D95F-43FB-8B3E-C9ED725CF249}"/>
    <cellStyle name="Comma 25 2 2" xfId="3018" xr:uid="{E13C2D4C-B5B6-4ADC-A184-E49170A7DBB0}"/>
    <cellStyle name="Comma 25 3" xfId="3019" xr:uid="{8B314AF4-09EA-45E1-9DED-22CE42D4146C}"/>
    <cellStyle name="Comma 25_Derivatives" xfId="3020" xr:uid="{70A34A04-E7CA-4636-AF92-A8FB590D6026}"/>
    <cellStyle name="Comma 26" xfId="3021" xr:uid="{C2404445-A65A-4526-8648-D37C484797A3}"/>
    <cellStyle name="Comma 26 2" xfId="3022" xr:uid="{BD0FC27F-D6E8-4216-AD37-144088EE53AC}"/>
    <cellStyle name="Comma 26 2 2" xfId="3023" xr:uid="{E2A82041-48B1-49D3-9C76-731ADB21B729}"/>
    <cellStyle name="Comma 26 3" xfId="3024" xr:uid="{833F24DC-E62A-4984-BDEF-1985CE81C13B}"/>
    <cellStyle name="Comma 26_Derivatives" xfId="3025" xr:uid="{184F0F9A-AC48-4501-AB77-14E3C417B511}"/>
    <cellStyle name="Comma 27" xfId="3026" xr:uid="{726F54D2-58A0-468A-866A-CCFDEE9894D5}"/>
    <cellStyle name="Comma 27 2" xfId="3027" xr:uid="{FD6595BF-8E26-4F29-A574-18453F9FF2C4}"/>
    <cellStyle name="Comma 27 2 2" xfId="3028" xr:uid="{9333F5B4-39D1-460E-8A5B-C8F05CE83DFC}"/>
    <cellStyle name="Comma 27 3" xfId="3029" xr:uid="{061E00CD-593A-4E65-9A2F-A584A64752BF}"/>
    <cellStyle name="Comma 27_Derivatives" xfId="3030" xr:uid="{EF471B97-A5D2-450B-BC53-438B06A581AF}"/>
    <cellStyle name="Comma 28" xfId="3031" xr:uid="{71C0E676-1B20-4640-AA32-23A3CE8EBECB}"/>
    <cellStyle name="Comma 28 2" xfId="3032" xr:uid="{129936D9-FBE4-4FA4-966C-027CCF0FBD15}"/>
    <cellStyle name="Comma 28 2 2" xfId="3033" xr:uid="{D93DE3CD-1D8C-4746-BA86-01FABE8E280B}"/>
    <cellStyle name="Comma 28 3" xfId="3034" xr:uid="{468CB67C-9031-4E37-BC65-D2D9BDFC7ECD}"/>
    <cellStyle name="Comma 28_Derivatives" xfId="3035" xr:uid="{F6B55DB1-16F0-4877-8649-7CE306EBEB4D}"/>
    <cellStyle name="Comma 29" xfId="3036" xr:uid="{CC8CF227-7DF6-4604-8316-DEAF35DDAB36}"/>
    <cellStyle name="Comma 29 2" xfId="3037" xr:uid="{C69EC618-21E1-4E36-AA2E-6F3CCCB5631E}"/>
    <cellStyle name="Comma 29 2 2" xfId="3038" xr:uid="{67A35C7A-6EEB-4C13-9BA6-A08EABCB22F0}"/>
    <cellStyle name="Comma 29 3" xfId="3039" xr:uid="{70956C22-6ED3-44F8-B2F5-0B9B7F914F3C}"/>
    <cellStyle name="Comma 29_Derivatives" xfId="3040" xr:uid="{0CC2B778-5AEF-4FD2-A085-CD690FD7E3CC}"/>
    <cellStyle name="Comma 3" xfId="3041" xr:uid="{F6D5AA37-EB39-4DBD-A0D3-5F4BEAB5F3F6}"/>
    <cellStyle name="Comma 3 10" xfId="3042" xr:uid="{DD871B58-DC43-4C04-B4EE-D5218E42A588}"/>
    <cellStyle name="Comma 3 10 2" xfId="3043" xr:uid="{C94CAB66-DCD9-49BC-8DD0-045DD71BA9A7}"/>
    <cellStyle name="Comma 3 10 3" xfId="3044" xr:uid="{6C517E9D-C4CF-4C97-821A-8EDDE8AA8C9B}"/>
    <cellStyle name="Comma 3 10 4" xfId="3045" xr:uid="{834A81EF-4A02-4586-8C25-23DD313213A2}"/>
    <cellStyle name="Comma 3 10_Derivatives" xfId="3046" xr:uid="{1990610A-3C19-4452-9EBD-D2E4644AF472}"/>
    <cellStyle name="Comma 3 11" xfId="3047" xr:uid="{3E0ED0C6-2029-4AB0-8497-8A1DDD49BAF6}"/>
    <cellStyle name="Comma 3 11 2" xfId="3048" xr:uid="{C3B124BB-DE2A-4097-81C8-77DC04465EDC}"/>
    <cellStyle name="Comma 3 11 3" xfId="3049" xr:uid="{8256BFAD-0E41-4591-91D7-F0CDB75F1613}"/>
    <cellStyle name="Comma 3 11 4" xfId="3050" xr:uid="{4F776A16-9206-41CE-A5C0-9086E869FD55}"/>
    <cellStyle name="Comma 3 11_Derivatives" xfId="3051" xr:uid="{EC9FE8CA-45E9-4614-8642-897C6A73DB1E}"/>
    <cellStyle name="Comma 3 12" xfId="3052" xr:uid="{45DF18EE-DAF2-42E5-A24F-A97E0E260CA5}"/>
    <cellStyle name="Comma 3 12 2" xfId="3053" xr:uid="{75BC149A-CACF-40BD-A8DB-A863AC1EAA84}"/>
    <cellStyle name="Comma 3 12 3" xfId="3054" xr:uid="{0766B962-42F8-4689-B65E-EDEDDEA14E55}"/>
    <cellStyle name="Comma 3 13" xfId="3055" xr:uid="{18CB92A1-026D-43C8-98E0-9675F91FDA95}"/>
    <cellStyle name="Comma 3 13 2" xfId="3056" xr:uid="{8EF17F74-DBF7-49FE-AE34-BD8A6EA0321B}"/>
    <cellStyle name="Comma 3 13 3" xfId="3057" xr:uid="{A6DC21A6-CA4A-4733-9774-1F64D5F71DA4}"/>
    <cellStyle name="Comma 3 14" xfId="3058" xr:uid="{D145BFDF-F7A8-4C9A-A993-C941DB19AC54}"/>
    <cellStyle name="Comma 3 14 2" xfId="3059" xr:uid="{79CCF6AF-E361-464A-8699-30EDFED587FA}"/>
    <cellStyle name="Comma 3 14 3" xfId="3060" xr:uid="{1028D62F-655E-4FEB-B1A9-C5E746FA3B48}"/>
    <cellStyle name="Comma 3 15" xfId="3061" xr:uid="{33348A7C-4BB7-4A89-88EA-C68D82F6CB9E}"/>
    <cellStyle name="Comma 3 15 2" xfId="3062" xr:uid="{89602171-8A27-4B59-9417-5DCC61C0D4AE}"/>
    <cellStyle name="Comma 3 15 3" xfId="3063" xr:uid="{B63056D7-6F34-4E9D-8C39-8AAF92C7EF96}"/>
    <cellStyle name="Comma 3 16" xfId="3064" xr:uid="{7E8B92AF-2D47-4217-AFBE-4C0BB29C2A59}"/>
    <cellStyle name="Comma 3 16 2" xfId="3065" xr:uid="{228B1B8B-0758-4457-A39B-A1E591B8C0BC}"/>
    <cellStyle name="Comma 3 16 3" xfId="3066" xr:uid="{7FDA4DE5-E6F1-474B-90DD-4878F90FA5FA}"/>
    <cellStyle name="Comma 3 17" xfId="3067" xr:uid="{77FC12F7-3D67-46CB-91BD-EB0118AD2AB4}"/>
    <cellStyle name="Comma 3 17 2" xfId="3068" xr:uid="{5CBD29B6-9BE5-4243-9DE8-01E6296E4F31}"/>
    <cellStyle name="Comma 3 17 3" xfId="3069" xr:uid="{DD81E81C-FD4D-4687-88FA-A614AE37C4D8}"/>
    <cellStyle name="Comma 3 18" xfId="3070" xr:uid="{D919F001-0013-4D93-A90D-0405556A1490}"/>
    <cellStyle name="Comma 3 18 2" xfId="3071" xr:uid="{A01AB6F6-1F2C-48F6-B3B1-5EA1333A7F79}"/>
    <cellStyle name="Comma 3 18 3" xfId="3072" xr:uid="{674EEE9D-553D-463C-89B3-4A6983ADFE12}"/>
    <cellStyle name="Comma 3 19" xfId="3073" xr:uid="{7C91CCD9-8F6F-4192-AE37-F92F2F482B96}"/>
    <cellStyle name="Comma 3 19 2" xfId="3074" xr:uid="{FF81A955-6F88-464F-B4BF-35996B9B4508}"/>
    <cellStyle name="Comma 3 19 3" xfId="3075" xr:uid="{347B69D6-7FDC-4D0D-8D93-FE1D6D9B1F7D}"/>
    <cellStyle name="Comma 3 2" xfId="3076" xr:uid="{0587AA68-270E-4CFD-924B-C3D4BD8C2A3B}"/>
    <cellStyle name="Comma 3 2 2" xfId="3077" xr:uid="{C115FCF4-C151-48E9-ACB5-9F2E465F800E}"/>
    <cellStyle name="Comma 3 2 2 2" xfId="3078" xr:uid="{DFEBE1C3-105C-433B-A971-3FDBE5DAC1F7}"/>
    <cellStyle name="Comma 3 2 2 2 2" xfId="3079" xr:uid="{A230785B-8AC8-478C-A112-2948F52DB42E}"/>
    <cellStyle name="Comma 3 2 2 3" xfId="3080" xr:uid="{6E70CA16-DEEE-45EF-85AC-8B19DD8C64D0}"/>
    <cellStyle name="Comma 3 2 2 3 2" xfId="3081" xr:uid="{9643C179-07BA-4F65-AACB-5DB9E8D11F64}"/>
    <cellStyle name="Comma 3 2 2 4" xfId="3082" xr:uid="{9D217A21-73D0-46A9-97EA-09CCCF99661E}"/>
    <cellStyle name="Comma 3 2 2 4 2" xfId="3083" xr:uid="{FE604954-EA71-4CCA-99A0-CE94CBB22365}"/>
    <cellStyle name="Comma 3 2 2 5" xfId="3084" xr:uid="{30BDE3B1-7528-48EC-A513-5AB9A7B8E2F2}"/>
    <cellStyle name="Comma 3 2 2 5 2" xfId="3085" xr:uid="{03C3B55B-23AB-47FC-A9EF-C435F31E8D87}"/>
    <cellStyle name="Comma 3 2 2 6" xfId="3086" xr:uid="{DC8B28A8-FF9C-44C1-9402-623F648CA063}"/>
    <cellStyle name="Comma 3 2 2 6 2" xfId="3087" xr:uid="{E9AA231B-888B-4DB8-BDAB-6604AAE07CB6}"/>
    <cellStyle name="Comma 3 2 2 7" xfId="3088" xr:uid="{9071F5F9-4011-4D06-86AF-370F1D91F5D5}"/>
    <cellStyle name="Comma 3 2 2 7 2" xfId="3089" xr:uid="{5A3AFC06-5853-4D2D-8939-0BEAD8927C94}"/>
    <cellStyle name="Comma 3 2 2 8" xfId="3090" xr:uid="{6E39C46C-5034-4C47-AB74-AF06A0AB5889}"/>
    <cellStyle name="Comma 3 2 2 8 2" xfId="3091" xr:uid="{69AA9AFE-0F44-425C-BB16-773A7D212B35}"/>
    <cellStyle name="Comma 3 2 2_Geography" xfId="3092" xr:uid="{C120F842-EB63-446E-9E0B-CE39B574096F}"/>
    <cellStyle name="Comma 3 2 3" xfId="3093" xr:uid="{B684FA9B-F881-464F-B853-FA66C2053134}"/>
    <cellStyle name="Comma 3 2 3 2" xfId="3094" xr:uid="{30A13557-D3D8-43D5-A88A-EDA2937E49CC}"/>
    <cellStyle name="Comma 3 2 4" xfId="3095" xr:uid="{939EABB3-50BB-4CFB-AF7B-5CDE3E17E0FB}"/>
    <cellStyle name="Comma 3 2 4 2" xfId="3096" xr:uid="{68C6E447-26B9-4E45-AA39-4C1D386F8DFC}"/>
    <cellStyle name="Comma 3 2 5" xfId="3097" xr:uid="{B414F6FF-68DF-4BF2-B36C-93516B8BE947}"/>
    <cellStyle name="Comma 3 2 5 2" xfId="3098" xr:uid="{7D57FD72-EC6E-480B-B7D1-C5D6FB473AD2}"/>
    <cellStyle name="Comma 3 2 6" xfId="3099" xr:uid="{6FBFB61C-3959-47D1-98EF-BB1FB362B74C}"/>
    <cellStyle name="Comma 3 2 6 2" xfId="3100" xr:uid="{3EA6DB92-BD7F-4584-A7EF-A76CF4783AC8}"/>
    <cellStyle name="Comma 3 2 7" xfId="3101" xr:uid="{E1EAA0A2-C2DC-4F65-BBD1-5DC1D7CEB3D9}"/>
    <cellStyle name="Comma 3 2 7 2" xfId="3102" xr:uid="{84D3789E-CC79-45C1-B950-A54745896AE3}"/>
    <cellStyle name="Comma 3 2_Derivatives" xfId="3103" xr:uid="{50011EDA-7071-4092-BF78-DD76E873CB1B}"/>
    <cellStyle name="Comma 3 20" xfId="3104" xr:uid="{EBFED040-176A-4C8A-B1D9-438C331C3EEA}"/>
    <cellStyle name="Comma 3 20 2" xfId="3105" xr:uid="{72DAFA15-5AAE-4DA1-847C-045425A26715}"/>
    <cellStyle name="Comma 3 20 3" xfId="3106" xr:uid="{84782CE8-D6B7-4C8D-A48F-017058023A42}"/>
    <cellStyle name="Comma 3 21" xfId="3107" xr:uid="{E0A3BC76-423D-4A39-9060-92783F573102}"/>
    <cellStyle name="Comma 3 21 2" xfId="3108" xr:uid="{0C4EA09F-440C-4094-A7D7-92F73603707E}"/>
    <cellStyle name="Comma 3 21 3" xfId="3109" xr:uid="{D39FB102-A6DD-4B3A-8833-69D95881C5CC}"/>
    <cellStyle name="Comma 3 22" xfId="3110" xr:uid="{26FDE84C-F796-4F13-AA1B-33F4E538EF42}"/>
    <cellStyle name="Comma 3 23" xfId="3111" xr:uid="{2C35D639-C5DB-406D-86B5-B81FEA98EE66}"/>
    <cellStyle name="Comma 3 24" xfId="3112" xr:uid="{89779E75-C7AD-437A-AE2D-2741A7ECCFEC}"/>
    <cellStyle name="Comma 3 25" xfId="3113" xr:uid="{97CBBADA-C7FE-41B3-8B11-BA0495D749AD}"/>
    <cellStyle name="Comma 3 26" xfId="3114" xr:uid="{D417880B-09BE-41D7-99AB-71B5AAC8A252}"/>
    <cellStyle name="Comma 3 27" xfId="3115" xr:uid="{CA711CDD-D027-4B19-BF53-217956E9CD58}"/>
    <cellStyle name="Comma 3 28" xfId="3116" xr:uid="{C47CA00A-76E1-474F-9ADA-FEDDF9B1F692}"/>
    <cellStyle name="Comma 3 28 2" xfId="3117" xr:uid="{1FA91D3A-08CD-4905-840A-2588B74E4B45}"/>
    <cellStyle name="Comma 3 29" xfId="3118" xr:uid="{04C0C324-776F-48C6-A3A0-5E92F7380663}"/>
    <cellStyle name="Comma 3 3" xfId="3119" xr:uid="{0A301CB2-451C-48C5-88C7-92F46496C979}"/>
    <cellStyle name="Comma 3 3 2" xfId="3120" xr:uid="{7858E55E-8FEC-43C9-B022-A9C8A7BA5F81}"/>
    <cellStyle name="Comma 3 3 3" xfId="3121" xr:uid="{21CA865B-A7CF-40E8-8A23-3ECB99D08E77}"/>
    <cellStyle name="Comma 3 3 4" xfId="3122" xr:uid="{2BBBB4E2-9237-486B-B3D1-EA005AF4E04D}"/>
    <cellStyle name="Comma 3 3 5" xfId="3123" xr:uid="{D54827EF-AEEB-4E0A-9DAB-551F19E476A0}"/>
    <cellStyle name="Comma 3 3 5 2" xfId="3124" xr:uid="{A8AA67A7-15BA-43E4-B2A6-470A5FAB8B6B}"/>
    <cellStyle name="Comma 3 3_Derivatives" xfId="3125" xr:uid="{5B049E50-1007-400E-80D0-8A28A9BDAA3A}"/>
    <cellStyle name="Comma 3 30" xfId="3126" xr:uid="{EDE290EA-B049-4ADF-AD0E-9222C1A46EE6}"/>
    <cellStyle name="Comma 3 4" xfId="3127" xr:uid="{29C15DA9-190C-4FBA-80E3-3FF08405FD13}"/>
    <cellStyle name="Comma 3 4 2" xfId="3128" xr:uid="{805970C0-55EA-43C3-8230-5AEB07B9B2F6}"/>
    <cellStyle name="Comma 3 4 3" xfId="3129" xr:uid="{F964F082-288B-4BB2-BD1B-D37B2371AC87}"/>
    <cellStyle name="Comma 3 4 4" xfId="3130" xr:uid="{80248D80-F771-4403-80BD-E5304518FB6F}"/>
    <cellStyle name="Comma 3 4_Derivatives" xfId="3131" xr:uid="{46D83A62-8C80-484C-98B3-319D517B8D8C}"/>
    <cellStyle name="Comma 3 5" xfId="3132" xr:uid="{22BB9886-9412-4F02-A545-37C55E865B7C}"/>
    <cellStyle name="Comma 3 5 2" xfId="3133" xr:uid="{C15654F8-44CD-4A3C-AE4B-C988B4B49EAE}"/>
    <cellStyle name="Comma 3 5 3" xfId="3134" xr:uid="{71220EC5-187E-4656-B4EC-AEBF966E15F1}"/>
    <cellStyle name="Comma 3 5 4" xfId="3135" xr:uid="{B8C0A3D7-B9CF-4F44-9958-F6CFBB072C51}"/>
    <cellStyle name="Comma 3 5 5" xfId="3136" xr:uid="{615CFD47-B5A4-4F54-AEDE-B992C361D26C}"/>
    <cellStyle name="Comma 3 5_Derivatives" xfId="3137" xr:uid="{40AE8FAA-9192-48C2-B3DD-3EE3DCDA4D24}"/>
    <cellStyle name="Comma 3 6" xfId="3138" xr:uid="{29BCF735-27D0-46AE-95BF-891485D096A5}"/>
    <cellStyle name="Comma 3 6 2" xfId="3139" xr:uid="{CD5B5EF5-6E85-4E60-B75F-0A77470087B6}"/>
    <cellStyle name="Comma 3 6 3" xfId="3140" xr:uid="{43E2A6FB-B722-474C-8FDB-17C2D8E7F679}"/>
    <cellStyle name="Comma 3 6 4" xfId="3141" xr:uid="{9EF740E6-EA82-425F-BF9E-AF5015FD02B8}"/>
    <cellStyle name="Comma 3 6_Derivatives" xfId="3142" xr:uid="{E4C13657-6251-4A7B-B2FA-18D16E7E329C}"/>
    <cellStyle name="Comma 3 7" xfId="3143" xr:uid="{6B9FCF61-872D-4519-9A69-06E3B7BF9816}"/>
    <cellStyle name="Comma 3 7 2" xfId="3144" xr:uid="{AE431BCE-2DF4-4823-8E34-8362BEB56B26}"/>
    <cellStyle name="Comma 3 7 3" xfId="3145" xr:uid="{5FF2A904-5F68-44C7-8B6D-43892764A0AB}"/>
    <cellStyle name="Comma 3 7 4" xfId="3146" xr:uid="{7714B472-A629-40FB-9B30-DF4F1EB7E60D}"/>
    <cellStyle name="Comma 3 7 5" xfId="3147" xr:uid="{BBEDC752-002C-4CED-AA98-ACBFA02129E7}"/>
    <cellStyle name="Comma 3 7_Derivatives" xfId="3148" xr:uid="{A2617713-020F-423A-8648-0FC1D987E5D4}"/>
    <cellStyle name="Comma 3 8" xfId="3149" xr:uid="{9F5572B7-D246-4C96-AEE3-EE351C445C01}"/>
    <cellStyle name="Comma 3 8 2" xfId="3150" xr:uid="{11D69873-B2E4-4CFE-9A00-274D3C3851AF}"/>
    <cellStyle name="Comma 3 8 3" xfId="3151" xr:uid="{3FEB0A1B-85FD-41D5-BFE8-2B5820F4EEB9}"/>
    <cellStyle name="Comma 3 8 4" xfId="3152" xr:uid="{F2784264-D389-4244-BAE1-68F96769ECF0}"/>
    <cellStyle name="Comma 3 8_Derivatives" xfId="3153" xr:uid="{57825F4A-A751-45A5-92B5-7EAA3217AB20}"/>
    <cellStyle name="Comma 3 9" xfId="3154" xr:uid="{41A03502-42B8-4B12-BC45-86A520FB6303}"/>
    <cellStyle name="Comma 3 9 2" xfId="3155" xr:uid="{98E8A613-AF7F-42E3-B562-1A1D3EF7634C}"/>
    <cellStyle name="Comma 3 9 3" xfId="3156" xr:uid="{2D94419F-6229-4A25-808E-0AA64EEAE6E4}"/>
    <cellStyle name="Comma 3_Derivatives" xfId="3157" xr:uid="{1F3B54F8-C546-4A3B-B022-70B26D063E10}"/>
    <cellStyle name="Comma 30" xfId="3158" xr:uid="{291D6C22-4340-4703-97EB-52C0DA038056}"/>
    <cellStyle name="Comma 30 2" xfId="3159" xr:uid="{50841CF4-B9B6-48CC-9672-C7D9BEC66091}"/>
    <cellStyle name="Comma 30 2 2" xfId="3160" xr:uid="{7C843E30-BCAF-476C-9C98-80BBB3E7F6E5}"/>
    <cellStyle name="Comma 30 3" xfId="3161" xr:uid="{33717EE6-2E3D-4B37-AB57-8A185FBA793F}"/>
    <cellStyle name="Comma 30_Derivatives" xfId="3162" xr:uid="{0EA2B7DD-435D-46CD-8633-EC66238338D1}"/>
    <cellStyle name="Comma 31" xfId="3163" xr:uid="{ABA616F1-2091-44C0-BE57-4BD228A0F8B8}"/>
    <cellStyle name="Comma 31 2" xfId="3164" xr:uid="{FB7C3BDF-9A63-4D71-9748-78DA19F89AA6}"/>
    <cellStyle name="Comma 31 2 2" xfId="3165" xr:uid="{752E4642-3A72-41AB-880C-2B7B89FB57A8}"/>
    <cellStyle name="Comma 31 3" xfId="3166" xr:uid="{A04D2A3A-85BF-4828-9A6E-9211EDEC4EFD}"/>
    <cellStyle name="Comma 31_Derivatives" xfId="3167" xr:uid="{DD7522D0-E1CB-4C13-8667-DCD05A235721}"/>
    <cellStyle name="Comma 32" xfId="3168" xr:uid="{5C5DDDC3-943B-45B6-B169-B34650B633C6}"/>
    <cellStyle name="Comma 32 2" xfId="3169" xr:uid="{7F25B633-8695-4F4A-8023-5CD093881586}"/>
    <cellStyle name="Comma 32 2 2" xfId="3170" xr:uid="{524E6E75-FF0B-43DF-A7CC-31F9F1B42E1F}"/>
    <cellStyle name="Comma 32 3" xfId="3171" xr:uid="{3389745D-4E67-4D36-B550-9525AAEEA9B2}"/>
    <cellStyle name="Comma 32_Derivatives" xfId="3172" xr:uid="{E33C5EF6-6D4C-408D-A268-62232BF22FAB}"/>
    <cellStyle name="Comma 33" xfId="3173" xr:uid="{28C0DECF-769C-4634-A2C2-CDE495C21D63}"/>
    <cellStyle name="Comma 33 2" xfId="3174" xr:uid="{13DD3C69-E0F8-43F8-B6FC-CFB484AAE0EF}"/>
    <cellStyle name="Comma 33 2 2" xfId="3175" xr:uid="{F76D3B4C-D8B9-4DBF-96B8-955F407BF448}"/>
    <cellStyle name="Comma 33 3" xfId="3176" xr:uid="{80161B06-E695-42D2-B348-E88B224D8963}"/>
    <cellStyle name="Comma 33_Derivatives" xfId="3177" xr:uid="{D1C8A035-54E1-4FB6-85CB-57618500DECD}"/>
    <cellStyle name="Comma 34" xfId="3178" xr:uid="{D3D654A5-DDDC-4C74-B3E3-987A9B249881}"/>
    <cellStyle name="Comma 34 2" xfId="3179" xr:uid="{B030209D-5D0F-4DA3-A0B1-8C09A2E602CF}"/>
    <cellStyle name="Comma 34 3" xfId="3180" xr:uid="{10C21BB8-B274-4A9A-BD3B-F6120211685D}"/>
    <cellStyle name="Comma 34_Derivatives" xfId="3181" xr:uid="{E0C6AB88-5313-4138-9157-B23AF01EDBE6}"/>
    <cellStyle name="Comma 35" xfId="3182" xr:uid="{610F428E-5A7B-43AF-8034-B6C1550B219D}"/>
    <cellStyle name="Comma 35 2" xfId="3183" xr:uid="{9EA9773B-26B1-4262-90A2-7675106F7EA1}"/>
    <cellStyle name="Comma 35 3" xfId="3184" xr:uid="{B113B216-ADCB-49E7-8EAE-CBFE976E2394}"/>
    <cellStyle name="Comma 35_Derivatives" xfId="3185" xr:uid="{4FAB3796-2E2F-492F-B3A7-69E39D5E9B91}"/>
    <cellStyle name="Comma 36" xfId="3186" xr:uid="{E3474BBD-F118-4B5C-8E76-579CBE180025}"/>
    <cellStyle name="Comma 36 2" xfId="3187" xr:uid="{A6B82A6D-6FBE-41C8-883A-596A86410D86}"/>
    <cellStyle name="Comma 36 3" xfId="3188" xr:uid="{A70F813F-E8B9-40E6-A715-61B72BA9B33F}"/>
    <cellStyle name="Comma 36_Derivatives" xfId="3189" xr:uid="{701BFEB3-C601-425C-A8F0-CFEDF55C1EDB}"/>
    <cellStyle name="Comma 37" xfId="3190" xr:uid="{511967EE-7A1B-454B-A469-7D7497C786B9}"/>
    <cellStyle name="Comma 37 2" xfId="3191" xr:uid="{7F726FEE-5D00-4EFD-918B-BE2FF8B0B4DE}"/>
    <cellStyle name="Comma 38" xfId="3192" xr:uid="{102FC686-6BD1-419E-AAA0-EAA3A5F3B5AD}"/>
    <cellStyle name="Comma 39" xfId="3193" xr:uid="{73DD51E9-BFBD-4539-972A-869F3AB0F65F}"/>
    <cellStyle name="Comma 39 2" xfId="3194" xr:uid="{D320A670-AD46-4441-811D-4FCDF7CA0418}"/>
    <cellStyle name="Comma 4" xfId="3195" xr:uid="{9FCF807B-EEE8-4808-AE04-D3860DC3087C}"/>
    <cellStyle name="Comma 4 2" xfId="3196" xr:uid="{40901ABA-1E37-4B12-A12F-F994CA6D0358}"/>
    <cellStyle name="Comma 4 2 2" xfId="3197" xr:uid="{1CF8FD18-A697-417B-8B4B-733021B7EE7B}"/>
    <cellStyle name="Comma 4 2 2 2" xfId="3198" xr:uid="{0AAC55AF-5C17-4B4A-BB0F-5F3FC676A8C2}"/>
    <cellStyle name="Comma 4 2_Geography" xfId="3199" xr:uid="{CC3C010E-2BA9-4247-B3C3-CFF9E2A04AC6}"/>
    <cellStyle name="Comma 4 3" xfId="3200" xr:uid="{9739238D-34D6-42F0-89BD-B50AD0A8C326}"/>
    <cellStyle name="Comma 4 3 2" xfId="3201" xr:uid="{CAE7312A-26E3-4D2F-9BEC-069018DD7D9A}"/>
    <cellStyle name="Comma 4 4" xfId="3202" xr:uid="{15350DC6-2BD2-435E-B823-C910AE26117B}"/>
    <cellStyle name="Comma 4 4 2" xfId="3203" xr:uid="{94AA4FB2-CEDB-4110-9638-93F87B5B9C9D}"/>
    <cellStyle name="Comma 4_Derivatives" xfId="3204" xr:uid="{B58D9E65-C851-446E-B23D-2B092A3A990A}"/>
    <cellStyle name="Comma 40" xfId="3205" xr:uid="{D40800E1-C6C2-4695-8AC6-063541BF586C}"/>
    <cellStyle name="Comma 40 2" xfId="3206" xr:uid="{93B02EA6-DA3A-40DC-B62E-993FD796E247}"/>
    <cellStyle name="Comma 41" xfId="3207" xr:uid="{5860AE77-92AE-426B-AD5E-6FA64BE93E6D}"/>
    <cellStyle name="Comma 41 2" xfId="3208" xr:uid="{637E6E04-CDCC-4D21-A33B-1296CA4C6020}"/>
    <cellStyle name="Comma 42" xfId="3209" xr:uid="{02862C4B-E78A-4470-9360-4CC5C60776D3}"/>
    <cellStyle name="Comma 42 2" xfId="3210" xr:uid="{31A33081-201D-4962-942A-8A4F76E44C47}"/>
    <cellStyle name="Comma 5" xfId="3211" xr:uid="{F67A9332-FD8A-4514-87C1-6457714C67CD}"/>
    <cellStyle name="Comma 5 2" xfId="3212" xr:uid="{D4904132-7E63-4AB8-9A64-1607B19AA573}"/>
    <cellStyle name="Comma 5 2 2" xfId="3213" xr:uid="{6C409209-5165-4886-AD44-05D03715AE89}"/>
    <cellStyle name="Comma 5 2 2 2" xfId="3214" xr:uid="{F8B5105B-FEE1-43C3-B201-9500D5012D8E}"/>
    <cellStyle name="Comma 5 2 2 3" xfId="3215" xr:uid="{BC410D28-F904-446B-A18D-7C981F4F51F7}"/>
    <cellStyle name="Comma 5 2 2_Graphs" xfId="3216" xr:uid="{9977378C-480C-49B9-84E4-5D6AF84A7F2C}"/>
    <cellStyle name="Comma 5 2 3" xfId="3217" xr:uid="{9E9A845F-47FC-4791-8902-C4E237D4CB78}"/>
    <cellStyle name="Comma 5 2 3 2" xfId="3218" xr:uid="{477445CF-1687-4C1A-BF5F-5331C0FDBA48}"/>
    <cellStyle name="Comma 5 2 4" xfId="3219" xr:uid="{EEA5C554-8FF5-4804-A006-2F7AA43E09DB}"/>
    <cellStyle name="Comma 5 2 4 2" xfId="3220" xr:uid="{D63B5DF5-A930-467E-882E-9549B20FF9FA}"/>
    <cellStyle name="Comma 5 2_Geography" xfId="3221" xr:uid="{C9B14DFD-E0CA-4DFD-87F2-6376508DF3E8}"/>
    <cellStyle name="Comma 5 3" xfId="3222" xr:uid="{CA9B818B-4F40-4EC7-B4DB-61B9769C565B}"/>
    <cellStyle name="Comma 5 3 2" xfId="3223" xr:uid="{921CB31F-96DF-44AD-AA5F-28AE72AE6506}"/>
    <cellStyle name="Comma 5 4" xfId="3224" xr:uid="{8A1DB5CF-EEA9-414C-A197-03AFC7AAE66B}"/>
    <cellStyle name="Comma 5 5" xfId="3225" xr:uid="{C05C3C38-77AA-4B06-8E12-14BEE540D139}"/>
    <cellStyle name="Comma 5_Derivatives" xfId="3226" xr:uid="{EB1CB989-533A-4FD4-8F88-6835562615DB}"/>
    <cellStyle name="Comma 6" xfId="3227" xr:uid="{F4A87A64-186D-4A2C-B0B8-62B300F5C3BE}"/>
    <cellStyle name="Comma 6 2" xfId="3228" xr:uid="{B30E9A61-155C-4986-B8EC-D9C14CD56DDC}"/>
    <cellStyle name="Comma 6 2 2" xfId="3229" xr:uid="{7DD8FFCE-B779-4AF8-8F1D-BC01958D50A6}"/>
    <cellStyle name="Comma 6 3" xfId="3230" xr:uid="{F2F2F995-AA3A-488B-A61F-DA7FD0B5A490}"/>
    <cellStyle name="Comma 6 3 2" xfId="3231" xr:uid="{AAF72AA5-5F5B-432B-9EF6-E38189EE53B3}"/>
    <cellStyle name="Comma 6 4" xfId="3232" xr:uid="{1AF3768E-F001-4AD9-88D2-55093A7384E4}"/>
    <cellStyle name="Comma 6_Derivatives" xfId="3233" xr:uid="{5BC8F86E-4325-4F4F-8A2C-7C6CE9815504}"/>
    <cellStyle name="Comma 7" xfId="3234" xr:uid="{C22E57EF-42D9-4986-9AB3-838D85519162}"/>
    <cellStyle name="Comma 7 2" xfId="3235" xr:uid="{1B6161EB-7668-4ECB-820F-8B8A18F734D0}"/>
    <cellStyle name="Comma 7 2 2" xfId="3236" xr:uid="{64463F5A-B0E8-427B-B2BC-BDB927C74E2A}"/>
    <cellStyle name="Comma 7 2 2 2" xfId="3237" xr:uid="{BE3E1F68-8330-4DD4-8D69-F938C4BF75BC}"/>
    <cellStyle name="Comma 7 2_Geography" xfId="3238" xr:uid="{5FCE94C8-3145-4B25-A72E-F133E26E616B}"/>
    <cellStyle name="Comma 7 3" xfId="3239" xr:uid="{7F745062-AF36-42DA-909F-F9152A4B9758}"/>
    <cellStyle name="Comma 7 3 2" xfId="3240" xr:uid="{08810F45-5F47-416B-BCE5-4F6D95329A02}"/>
    <cellStyle name="Comma 7 4" xfId="3241" xr:uid="{F753CE33-5542-4F5F-9B48-763514646CB1}"/>
    <cellStyle name="Comma 7_Derivatives" xfId="3242" xr:uid="{DFF79CD4-4EFE-4684-A05C-C93CE0567125}"/>
    <cellStyle name="Comma 8" xfId="3243" xr:uid="{CEC5F14F-F22B-42A0-B951-C18B874692AF}"/>
    <cellStyle name="Comma 8 2" xfId="3244" xr:uid="{3F107A48-2711-45E6-B445-47CECF86FF55}"/>
    <cellStyle name="Comma 8 2 2" xfId="3245" xr:uid="{F7C1A39D-8849-4E52-BA0F-2257F641DD61}"/>
    <cellStyle name="Comma 8 2 2 2" xfId="3246" xr:uid="{9672B980-6706-4582-B00C-8F85729274CE}"/>
    <cellStyle name="Comma 8 2_Geography" xfId="3247" xr:uid="{4E4C7ECF-1CAA-4D5A-BF6C-C2A674348336}"/>
    <cellStyle name="Comma 8 3" xfId="3248" xr:uid="{2338C382-7E2C-417D-97C5-D362CEEB19B9}"/>
    <cellStyle name="Comma 8 3 2" xfId="3249" xr:uid="{A0C6F213-9A69-490A-B2FD-CFA3C0D1FBFB}"/>
    <cellStyle name="Comma 8 4" xfId="3250" xr:uid="{7CB0360B-884C-4E70-B4CD-3B49CA60EA64}"/>
    <cellStyle name="Comma 8_Derivatives" xfId="3251" xr:uid="{5EE68CBE-7474-449A-A0B7-0FDE8335ABF8}"/>
    <cellStyle name="Comma 9" xfId="3252" xr:uid="{8C4E90E0-88AD-45C1-9802-22C9EF716F69}"/>
    <cellStyle name="Comma 9 2" xfId="3253" xr:uid="{33F24010-6581-4AC7-BAF3-308B5A0D2052}"/>
    <cellStyle name="Comma 9 2 2" xfId="3254" xr:uid="{4A9FC39E-C431-45BF-8475-E5483E5A6F41}"/>
    <cellStyle name="Comma 9 3" xfId="3255" xr:uid="{4838E838-66C0-4975-95E1-A4D1323B1345}"/>
    <cellStyle name="Comma 9 3 2" xfId="3256" xr:uid="{E26096C6-88D6-4118-8B7C-762EA0CEFD99}"/>
    <cellStyle name="Comma 9 4" xfId="3257" xr:uid="{68ADD355-5713-4B72-964B-FCB2AA0463A6}"/>
    <cellStyle name="Comma 9_Derivatives" xfId="3258" xr:uid="{5B446BFE-2CE9-4B1B-AE4D-1D4ACC52BE09}"/>
    <cellStyle name="Comma0" xfId="3259" xr:uid="{B57ED039-FE8E-4B40-B906-0D4FF884E21F}"/>
    <cellStyle name="Commentaire" xfId="3260" xr:uid="{D97E6D5F-8476-41BF-AABA-38FAA549285C}"/>
    <cellStyle name="Commentaire 2" xfId="3261" xr:uid="{4C616E20-8F81-4469-90F8-D39CCE1CF168}"/>
    <cellStyle name="Commentaire 2 2" xfId="3262" xr:uid="{E060DC62-D66B-43FA-9C51-1C8B1CEEE9CC}"/>
    <cellStyle name="Commentaire 2 2 2" xfId="3263" xr:uid="{9BAC0141-C7F8-4806-8420-723C01309091}"/>
    <cellStyle name="Commentaire 2 2_Note 23 Employee b" xfId="3264" xr:uid="{4EF24E09-5F32-4647-BF12-46E6AF6EED96}"/>
    <cellStyle name="Commentaire 2 3" xfId="3265" xr:uid="{A5FA7491-8248-4737-9C24-CD76EB05E44E}"/>
    <cellStyle name="Commentaire 2_Note 23 Employee b" xfId="3266" xr:uid="{88610F70-5036-4D7C-B9C8-881D0637A74C}"/>
    <cellStyle name="Commentaire 3" xfId="3267" xr:uid="{5D0082EA-3D99-4504-8FA7-EA1AAA57E744}"/>
    <cellStyle name="Commentaire 3 2" xfId="3268" xr:uid="{E935E6A9-D4CB-4EDB-8002-06B9DD451B8A}"/>
    <cellStyle name="Commentaire 3 2 2" xfId="3269" xr:uid="{B4BF6E02-DE4A-4F2E-8CF1-B78FE4B9B113}"/>
    <cellStyle name="Commentaire 3 2_Note 23 Employee b" xfId="3270" xr:uid="{F5118ED8-242F-4180-9E45-C31940A7EB75}"/>
    <cellStyle name="Commentaire 3 3" xfId="3271" xr:uid="{8C9711F2-4AFE-4D0B-8884-2D192ECD17A6}"/>
    <cellStyle name="Commentaire 3_Note 23 Employee b" xfId="3272" xr:uid="{6E88CA33-391C-43D9-9DCC-26545FA0243F}"/>
    <cellStyle name="Commentaire 4" xfId="3273" xr:uid="{85B3FA61-E5A7-4FC3-9C54-8D368273CB78}"/>
    <cellStyle name="Commentaire 4 2" xfId="3274" xr:uid="{8B30E6A9-47CD-4DB0-A98B-3F7DCEE2700E}"/>
    <cellStyle name="Commentaire 4_Note 23 Employee b" xfId="3275" xr:uid="{34412192-C314-47B6-BE91-393B489AFAF9}"/>
    <cellStyle name="Commentaire_1.Entity" xfId="3276" xr:uid="{16CF8193-ECFE-43F5-8B14-3D4CC259A9AF}"/>
    <cellStyle name="Copied" xfId="3277" xr:uid="{FEF70ABC-275E-4531-9131-3A15A18CA4DB}"/>
    <cellStyle name="Copied 2" xfId="3278" xr:uid="{11DADBC3-4132-46F0-8BBA-E13097570BCE}"/>
    <cellStyle name="Copied 2 2" xfId="3279" xr:uid="{0EDCBA58-5FB5-4526-B40D-DEA85520887D}"/>
    <cellStyle name="Copied 2_Bridges" xfId="3280" xr:uid="{C850D41D-4F26-419B-930F-AC9F640B7DE1}"/>
    <cellStyle name="Copied_evdre" xfId="3281" xr:uid="{DEC749C9-14E8-47FD-96C0-CBBC3C6CAB38}"/>
    <cellStyle name="Currency 2" xfId="3282" xr:uid="{8863373A-50AB-426F-8967-0767D1DDBC1A}"/>
    <cellStyle name="Currency 2 2" xfId="3283" xr:uid="{C055F67E-EC1B-40ED-9778-DEA257117D24}"/>
    <cellStyle name="Currency 2 2 2" xfId="3284" xr:uid="{577DE086-D4C5-4C2E-8FB6-818C91284970}"/>
    <cellStyle name="Currency 2 3" xfId="3285" xr:uid="{5F9A3B30-1EC2-404D-B0AF-BDECB60996B6}"/>
    <cellStyle name="Currency 2_Derivatives" xfId="3286" xr:uid="{0193E071-ADF6-46B8-8D26-2AD9FC548229}"/>
    <cellStyle name="Currency0" xfId="3287" xr:uid="{C8374E6A-2093-4912-94EE-2C6CA826D70F}"/>
    <cellStyle name="Data Input" xfId="3288" xr:uid="{85DACCE0-63E0-4D54-8D87-67E57AD998B8}"/>
    <cellStyle name="Date" xfId="3289" xr:uid="{09490C26-ABE0-4981-8580-96235D31AE26}"/>
    <cellStyle name="Datum" xfId="3290" xr:uid="{F97ED826-C47C-45EA-89BC-F3FD54A6E58E}"/>
    <cellStyle name="Datum 2" xfId="3291" xr:uid="{F87F8B3C-C51B-490F-94D9-B4FC3F55141A}"/>
    <cellStyle name="Datum 3" xfId="3292" xr:uid="{892844B6-D8E4-42CF-AA8D-D751C12850C5}"/>
    <cellStyle name="Datum 4" xfId="3293" xr:uid="{7E0DD435-14CE-4C1E-915E-9FCD4DD98732}"/>
    <cellStyle name="Datum 5" xfId="3294" xr:uid="{4C5270D9-E280-4082-ABED-68EB69D055B7}"/>
    <cellStyle name="Datum 6" xfId="3295" xr:uid="{B6CDBB35-A6A0-4A03-8FEE-428328D903E3}"/>
    <cellStyle name="Datum 7" xfId="3296" xr:uid="{FAF76283-2CA5-4379-9BCC-C4B124ACD260}"/>
    <cellStyle name="Datum_Equity" xfId="3297" xr:uid="{CB6729F6-AA7C-4D37-B522-A106B20347EA}"/>
    <cellStyle name="ddd" xfId="3298" xr:uid="{374278B3-6860-4DE0-871A-84502D279DC2}"/>
    <cellStyle name="Dezimal [0]_2ADJ" xfId="3299" xr:uid="{7A9A0A0A-00C5-4697-B280-82D75E0C9462}"/>
    <cellStyle name="Dezimal_2ADJ" xfId="3300" xr:uid="{C631AFD5-7D60-4C87-8713-BBFEFA157BB0}"/>
    <cellStyle name="Emphasis 1 2" xfId="3301" xr:uid="{356C465A-CA5E-4264-BF8F-A974D6699D39}"/>
    <cellStyle name="Emphasis 1 3" xfId="3302" xr:uid="{34E2AB85-2941-4F01-BA8E-EBAF738E689B}"/>
    <cellStyle name="Emphasis 1 4" xfId="3303" xr:uid="{B8AC201B-73E8-430E-A63B-71286C475072}"/>
    <cellStyle name="Emphasis 2 2" xfId="3304" xr:uid="{8C2A15EC-FDB6-47A3-B683-872C007CFBCF}"/>
    <cellStyle name="Emphasis 2 3" xfId="3305" xr:uid="{E7D5E6A0-3CCF-413C-B208-0F6BAAAD9C90}"/>
    <cellStyle name="Emphasis 2 4" xfId="3306" xr:uid="{3CB23E5D-3BFE-47EE-B290-5CCF576BA4BA}"/>
    <cellStyle name="Emphasis 3 2" xfId="3307" xr:uid="{326E05DE-EEC8-4541-A934-E3FD3FAA566D}"/>
    <cellStyle name="Emphasis 3 3" xfId="3308" xr:uid="{563EAEBF-4693-4DAF-BC0D-12FEE69951F0}"/>
    <cellStyle name="Emphasis 3 4" xfId="3309" xr:uid="{CE28D9BE-2156-462A-9AEF-CC2DFA4459C9}"/>
    <cellStyle name="Entered" xfId="3310" xr:uid="{ABDF528E-6B48-4945-B7B7-E61802E76AE6}"/>
    <cellStyle name="Entered 2" xfId="3311" xr:uid="{C9A1DF8E-6917-4C2C-B429-2E0A16F9CCBB}"/>
    <cellStyle name="Entered 2 2" xfId="3312" xr:uid="{1E3F1963-510A-461B-AAA2-E30E0F815028}"/>
    <cellStyle name="Entered 2_Bridges" xfId="3313" xr:uid="{84EEA98C-C2ED-4720-8D32-0755AFD74F78}"/>
    <cellStyle name="Entered_evdre" xfId="3314" xr:uid="{854285A6-8A4C-4B8F-84C2-4B44CDF263DD}"/>
    <cellStyle name="Entrée" xfId="3315" xr:uid="{2F313232-5B63-48BD-914B-1793F71F2DA0}"/>
    <cellStyle name="Estilo 1" xfId="3316" xr:uid="{E7E15C2A-A584-48A0-ACB0-216E185681B4}"/>
    <cellStyle name="Euro" xfId="3317" xr:uid="{41C3C71E-A27C-4FD3-B752-513F75307E25}"/>
    <cellStyle name="Explanatory Text 10" xfId="3318" xr:uid="{A45BE9D2-7CCA-4A85-8826-A3457F23285B}"/>
    <cellStyle name="Explanatory Text 11" xfId="3319" xr:uid="{4F7E36E2-561C-4B47-A2C5-815B8E5B5698}"/>
    <cellStyle name="Explanatory Text 12" xfId="3320" xr:uid="{E8162703-5B06-4896-8E13-DFF5D3DAE983}"/>
    <cellStyle name="Explanatory Text 13" xfId="3321" xr:uid="{F41ABBEF-2732-4448-A228-D92076D991AD}"/>
    <cellStyle name="Explanatory Text 2" xfId="3322" xr:uid="{19D3F0F1-E226-4678-B352-CDDE00DABB6E}"/>
    <cellStyle name="Explanatory Text 2 10" xfId="3323" xr:uid="{D896C6DA-6C9D-47CC-B452-A6EDD51F78F5}"/>
    <cellStyle name="Explanatory Text 2 11" xfId="3324" xr:uid="{7CD30422-78E2-4361-B318-0179B80E0D8F}"/>
    <cellStyle name="Explanatory Text 2 12" xfId="3325" xr:uid="{2EE5D607-E09B-41A7-BAC6-9124B918C236}"/>
    <cellStyle name="Explanatory Text 2 13" xfId="3326" xr:uid="{FA2823BB-2E0C-410E-AB0D-D77F44BD6B73}"/>
    <cellStyle name="Explanatory Text 2 14" xfId="3327" xr:uid="{60EBD443-D3D6-480D-A1E2-CFF6F6EC0D73}"/>
    <cellStyle name="Explanatory Text 2 15" xfId="3328" xr:uid="{2DD4B5A3-1513-49E1-86CC-CA3451297385}"/>
    <cellStyle name="Explanatory Text 2 2" xfId="3329" xr:uid="{B96DBB92-9143-41B2-822A-7A84A1999F0A}"/>
    <cellStyle name="Explanatory Text 2 2 10" xfId="3330" xr:uid="{EE7012A0-30AD-4EEF-A3A4-7A634556E9C5}"/>
    <cellStyle name="Explanatory Text 2 2 11" xfId="3331" xr:uid="{4E1D0EF0-017C-4108-8514-6483B8654EE2}"/>
    <cellStyle name="Explanatory Text 2 2 12" xfId="3332" xr:uid="{EA3F09C1-373A-40EE-A17E-E8BE4B7C87D2}"/>
    <cellStyle name="Explanatory Text 2 2 2" xfId="3333" xr:uid="{5868932C-8AFC-4A4C-8566-F15527B0A11F}"/>
    <cellStyle name="Explanatory Text 2 2 3" xfId="3334" xr:uid="{CE70AD80-458A-4184-AF27-9C674D03C8FF}"/>
    <cellStyle name="Explanatory Text 2 2 4" xfId="3335" xr:uid="{8ABCFEC3-7EB8-411A-B353-D2148DF080A4}"/>
    <cellStyle name="Explanatory Text 2 2 5" xfId="3336" xr:uid="{7410331F-EA8E-4BA3-A8C7-7891BC2763F2}"/>
    <cellStyle name="Explanatory Text 2 2 6" xfId="3337" xr:uid="{B9D901B5-FD55-471F-82BB-CFC2B744CA62}"/>
    <cellStyle name="Explanatory Text 2 2 7" xfId="3338" xr:uid="{B6C2A7F7-39B7-46F9-AA32-1B8951673B4C}"/>
    <cellStyle name="Explanatory Text 2 2 8" xfId="3339" xr:uid="{1C65920F-B4BB-46BC-B19A-7681ABCF51A5}"/>
    <cellStyle name="Explanatory Text 2 2 9" xfId="3340" xr:uid="{53F0040E-A5E3-478F-93B9-1366A55107A3}"/>
    <cellStyle name="Explanatory Text 2 2_Equity reconciliation 2013-03" xfId="3341" xr:uid="{D570FBAC-3C10-484E-B002-AA116944EF06}"/>
    <cellStyle name="Explanatory Text 2 3" xfId="3342" xr:uid="{A89E1247-BECA-4E0B-A374-3C21656DD26D}"/>
    <cellStyle name="Explanatory Text 2 4" xfId="3343" xr:uid="{9ED99A21-8708-49B2-B2CE-516B2AD8C85E}"/>
    <cellStyle name="Explanatory Text 2 5" xfId="3344" xr:uid="{FC976648-19BE-4697-9F72-24EA7ABF8B8E}"/>
    <cellStyle name="Explanatory Text 2 6" xfId="3345" xr:uid="{C459B4AA-A5DD-4912-9C61-4A31FCF3A53E}"/>
    <cellStyle name="Explanatory Text 2 7" xfId="3346" xr:uid="{76505FF7-BA4A-4B99-A548-A903142E3429}"/>
    <cellStyle name="Explanatory Text 2 8" xfId="3347" xr:uid="{501858CB-9D45-4448-9B70-65B473B2BDED}"/>
    <cellStyle name="Explanatory Text 2 9" xfId="3348" xr:uid="{57EF06BC-7127-4483-BC60-34A757D1CC90}"/>
    <cellStyle name="Explanatory Text 2_EQU" xfId="3349" xr:uid="{BD54D8C3-603C-4A01-99EE-DEF87A0E8558}"/>
    <cellStyle name="Explanatory Text 3" xfId="3350" xr:uid="{C72E9F87-2983-449F-B6F3-326ACEF7E16D}"/>
    <cellStyle name="Explanatory Text 3 2" xfId="3351" xr:uid="{C9186ECB-3107-4D3F-A89F-03BBA059BAF8}"/>
    <cellStyle name="Explanatory Text 3_EQU" xfId="3352" xr:uid="{A0781B88-3D3E-4611-A580-125CCB3415BC}"/>
    <cellStyle name="Explanatory Text 4" xfId="3353" xr:uid="{017E4387-9909-4869-BCCD-655B1DD7B68D}"/>
    <cellStyle name="Explanatory Text 4 2" xfId="3354" xr:uid="{0E685623-9349-46F3-92B6-7ED36E900F69}"/>
    <cellStyle name="Explanatory Text 4_EQU" xfId="3355" xr:uid="{EB55ABFA-40E5-4F1C-8ACF-C7F03C1858A5}"/>
    <cellStyle name="Explanatory Text 5" xfId="3356" xr:uid="{4E28B8C7-85AA-4198-B926-F1461B10F39E}"/>
    <cellStyle name="Explanatory Text 6" xfId="3357" xr:uid="{978FA259-AE56-4FB2-A1F4-DC182E01D198}"/>
    <cellStyle name="Explanatory Text 7" xfId="3358" xr:uid="{A9C30E5D-9D65-4BE6-8737-964D90E73937}"/>
    <cellStyle name="Explanatory Text 8" xfId="3359" xr:uid="{E43F6FFC-298C-470E-9DC9-4D398C84271E}"/>
    <cellStyle name="Explanatory Text 9" xfId="3360" xr:uid="{EC1BE774-4CC6-445A-B07E-25EA3E77BB52}"/>
    <cellStyle name="Fill" xfId="3361" xr:uid="{A8F2C9A0-E0E7-4C1D-B569-000083391E8D}"/>
    <cellStyle name="Finstilt" xfId="3362" xr:uid="{4525ACCC-3429-4606-867C-D604F1C8B9E4}"/>
    <cellStyle name="Finstilt låst" xfId="3363" xr:uid="{FD4C542B-E2D6-417E-B5A3-9A1F3784F2FB}"/>
    <cellStyle name="Fixed" xfId="3364" xr:uid="{18FF0A30-4D33-4A31-9826-575A477687B8}"/>
    <cellStyle name="Format Datum (ÅÅ-MM-DD t.mm)" xfId="3366" xr:uid="{869FD263-F5A2-45E0-B418-EEC413832D47}"/>
    <cellStyle name="Format Datum (ÅÅ-MM-DD)" xfId="3367" xr:uid="{CD2D2D6A-7499-4C99-BC88-390BFE4B09B5}"/>
    <cellStyle name="Format Datum (MMM-ÅÅ)" xfId="3365" xr:uid="{A0BC26AC-BC78-4CD5-80CF-856E29AF1D02}"/>
    <cellStyle name="Format Procent (0,0%)" xfId="3369" xr:uid="{9EB744CA-2532-4D42-A7D0-3EA7F3A84E24}"/>
    <cellStyle name="Format Procent (0%)" xfId="3368" xr:uid="{00E7D994-6CC1-445E-B879-390007608431}"/>
    <cellStyle name="Format Tal (# ##0,00)" xfId="3371" xr:uid="{BD464A0C-5B6E-4D8E-9039-D7FBFC814DA7}"/>
    <cellStyle name="Format Tal (# ##0)" xfId="3370" xr:uid="{44BCB8EE-CF24-4649-B762-F225DCAFE19E}"/>
    <cellStyle name="Format Tid (t.mm)" xfId="3372" xr:uid="{24926967-4A13-4347-84D1-EB50DCBFE6EC}"/>
    <cellStyle name="Good 10" xfId="3373" xr:uid="{3C798732-AFDA-4B38-8115-6E430A39C503}"/>
    <cellStyle name="Good 11" xfId="3374" xr:uid="{CFB8819D-11EB-45EB-B80F-3C64479B21FB}"/>
    <cellStyle name="Good 12" xfId="3375" xr:uid="{307B0789-FE72-4C79-9842-1D1912A1176C}"/>
    <cellStyle name="Good 13" xfId="3376" xr:uid="{95250B70-588B-46CF-9F72-46CBE23538FD}"/>
    <cellStyle name="Good 2" xfId="3377" xr:uid="{781F5219-D19F-42E1-B167-328D84696E99}"/>
    <cellStyle name="Good 2 10" xfId="3378" xr:uid="{2B8CD531-3496-4F54-933F-A55563EEA868}"/>
    <cellStyle name="Good 2 11" xfId="3379" xr:uid="{7386AB6B-AB2A-4C3A-8266-5EE36426CB88}"/>
    <cellStyle name="Good 2 12" xfId="3380" xr:uid="{AA9CCB6E-CE9C-4EF4-98B7-60E739397FA0}"/>
    <cellStyle name="Good 2 13" xfId="3381" xr:uid="{2F6FDE0D-9072-46FB-BFC4-5F8DCB781A71}"/>
    <cellStyle name="Good 2 14" xfId="3382" xr:uid="{ECBD86BA-5BDE-40EC-879C-D94484B92C76}"/>
    <cellStyle name="Good 2 15" xfId="3383" xr:uid="{34495E87-6F91-42A2-A13E-FCB61D37789A}"/>
    <cellStyle name="Good 2 16" xfId="3384" xr:uid="{EC43CFDC-5226-4017-91E5-B65E16375FC0}"/>
    <cellStyle name="Good 2 2" xfId="3385" xr:uid="{0481C6E8-F354-4909-AAEE-DAC93FC0AFBF}"/>
    <cellStyle name="Good 2 2 10" xfId="3386" xr:uid="{3D0FBFD6-042F-430F-B46C-C88209547409}"/>
    <cellStyle name="Good 2 2 11" xfId="3387" xr:uid="{9F8C1D58-E666-4A31-9CAF-DE6E1F17742F}"/>
    <cellStyle name="Good 2 2 12" xfId="3388" xr:uid="{07E841A1-09D5-4AA6-8953-7F65AB805B50}"/>
    <cellStyle name="Good 2 2 13" xfId="3389" xr:uid="{DD5B66F0-CD31-4DCE-A7D9-7B44252F5D25}"/>
    <cellStyle name="Good 2 2 14" xfId="3390" xr:uid="{19216BC4-12AD-49EA-BDB6-87028C201DE8}"/>
    <cellStyle name="Good 2 2 15" xfId="3391" xr:uid="{DB8AEA59-9C50-4068-B383-FCC574C263B4}"/>
    <cellStyle name="Good 2 2 2" xfId="3392" xr:uid="{BC211746-DFB1-4EB4-B123-8E8C0C9B68B5}"/>
    <cellStyle name="Good 2 2 3" xfId="3393" xr:uid="{D2DD7691-2226-4E89-A2A7-30AC104F8E80}"/>
    <cellStyle name="Good 2 2 4" xfId="3394" xr:uid="{76018DC3-13D6-4338-BFC7-646C340C9AFD}"/>
    <cellStyle name="Good 2 2 5" xfId="3395" xr:uid="{E214962D-925C-46F2-8CB7-DA2FD9A2A56C}"/>
    <cellStyle name="Good 2 2 6" xfId="3396" xr:uid="{6ADC95D9-0626-43B8-A5BB-6F4F314BB37E}"/>
    <cellStyle name="Good 2 2 7" xfId="3397" xr:uid="{8E0712FC-EA4C-43FF-BB64-451502632D02}"/>
    <cellStyle name="Good 2 2 8" xfId="3398" xr:uid="{C4B8D269-DC70-448D-8927-E4B7E128A54A}"/>
    <cellStyle name="Good 2 2 9" xfId="3399" xr:uid="{542D462E-2B5F-467E-A43A-8E483014E4F6}"/>
    <cellStyle name="Good 2 2_Equity reconciliation 2013-03" xfId="3400" xr:uid="{A1500737-E7F0-43BA-B31F-C9C14CA9FD48}"/>
    <cellStyle name="Good 2 3" xfId="3401" xr:uid="{E65EBE1D-115A-4227-861B-6146E3719A3D}"/>
    <cellStyle name="Good 2 3 2" xfId="3402" xr:uid="{35090BF3-014A-435E-98DC-1204E6E125EC}"/>
    <cellStyle name="Good 2 3_Derivatives" xfId="3403" xr:uid="{CC80DBFE-B8D2-4740-9141-2FA38FAD18AA}"/>
    <cellStyle name="Good 2 4" xfId="3404" xr:uid="{F34015B1-8051-440F-BBA2-81D58C4E4CB7}"/>
    <cellStyle name="Good 2 4 2" xfId="3405" xr:uid="{DCC02036-56C6-4BC0-8063-95B2F86EB6D7}"/>
    <cellStyle name="Good 2 5" xfId="3406" xr:uid="{8D7FC5FC-EBC4-45F2-B0A6-7A4BC862955E}"/>
    <cellStyle name="Good 2 6" xfId="3407" xr:uid="{1AFA3882-E4ED-4199-8559-9E6A23A4B57C}"/>
    <cellStyle name="Good 2 7" xfId="3408" xr:uid="{608DB2FD-98D3-4531-ADDB-B087897826CF}"/>
    <cellStyle name="Good 2 8" xfId="3409" xr:uid="{59B7E45E-51CB-4B04-91D7-524A1A3D9D42}"/>
    <cellStyle name="Good 2 9" xfId="3410" xr:uid="{D998678C-706D-4C9A-AD7C-5D7FA2C3BC5B}"/>
    <cellStyle name="Good 2_EQU" xfId="3411" xr:uid="{C3512914-C396-43EB-847B-1FC3A9D11D2A}"/>
    <cellStyle name="Good 3" xfId="3412" xr:uid="{8B0F8A63-2335-4AC8-8995-DF6363A05611}"/>
    <cellStyle name="Good 3 2" xfId="3413" xr:uid="{E428B19E-6E27-4EBE-BC48-9C290B8D0D68}"/>
    <cellStyle name="Good 3 3" xfId="3414" xr:uid="{98D7B389-4B5E-4EBC-804F-34F3A6DD09B8}"/>
    <cellStyle name="Good 3 4" xfId="3415" xr:uid="{257EED63-C40F-47D0-8870-B53236CA30B5}"/>
    <cellStyle name="Good 3 5" xfId="3416" xr:uid="{DCF37006-BDD7-46B5-B616-05BBA9071C78}"/>
    <cellStyle name="Good 3 6" xfId="3417" xr:uid="{693AF6FB-DDE5-4948-BF82-0273A506D46F}"/>
    <cellStyle name="Good 3 7" xfId="3418" xr:uid="{6BEADD5E-D06F-4EE6-B483-A9F6F90DFD20}"/>
    <cellStyle name="Good 3 8" xfId="3419" xr:uid="{E4B43940-2B62-4EFE-B674-87FFC0400FE0}"/>
    <cellStyle name="Good 3 9" xfId="3420" xr:uid="{C12AEAA7-3BE1-4E43-921E-9361039A5DA1}"/>
    <cellStyle name="Good 3_EQU" xfId="3421" xr:uid="{F8EF3025-A5A1-48D4-B4D6-48212A5BB987}"/>
    <cellStyle name="Good 4" xfId="3422" xr:uid="{FB949454-EB53-4C76-9988-A25B1F6A9C8F}"/>
    <cellStyle name="Good 4 2" xfId="3423" xr:uid="{4717EE87-E397-4870-B8A9-110E6D0E9EFA}"/>
    <cellStyle name="Good 4_EQU" xfId="3424" xr:uid="{31FABAA1-D1ED-40E2-A60C-C1C53E34568F}"/>
    <cellStyle name="Good 5" xfId="3425" xr:uid="{7EF564EE-48E9-4DC8-BC24-40E3C0BDE463}"/>
    <cellStyle name="Good 6" xfId="3426" xr:uid="{73C44C2A-1A0C-429F-AB19-D15D9B4AE469}"/>
    <cellStyle name="Good 7" xfId="3427" xr:uid="{90A66D00-14D6-48AA-B8F6-C4AC9A16DB17}"/>
    <cellStyle name="Good 8" xfId="3428" xr:uid="{0A22E04F-5DBC-44EE-9A30-9EC8D8066340}"/>
    <cellStyle name="Good 9" xfId="3429" xr:uid="{D98A968B-D921-446B-9893-AED68E17B8D3}"/>
    <cellStyle name="Grey" xfId="3430" xr:uid="{5A4AA1A9-542B-4DEE-90B5-22BC076ADA70}"/>
    <cellStyle name="hard no" xfId="3431" xr:uid="{BFF2D7C2-1E77-4291-BD60-018E107FEBDD}"/>
    <cellStyle name="hard no 2" xfId="3432" xr:uid="{39A1B3EA-1FD7-498A-B742-CCD045557668}"/>
    <cellStyle name="hard no 2 2" xfId="3433" xr:uid="{61F6DEB7-76C5-44ED-BDD9-EB3A787BA45D}"/>
    <cellStyle name="hard no 3" xfId="3434" xr:uid="{6DD667CE-7DB7-403A-8363-578F77286C87}"/>
    <cellStyle name="hardno" xfId="3435" xr:uid="{073FB33D-1B00-4AD5-92AE-BD95B3A1E52F}"/>
    <cellStyle name="Header1" xfId="3436" xr:uid="{6C802092-9273-4BF7-87C6-7B51369F4991}"/>
    <cellStyle name="Header2" xfId="3437" xr:uid="{C4B5C14A-18C7-4056-B043-729BDE16C8CD}"/>
    <cellStyle name="Header2 2" xfId="3438" xr:uid="{A3E5365C-667A-4DB2-B65F-E8DD0CBBE1C5}"/>
    <cellStyle name="Heading 1 10" xfId="3439" xr:uid="{E8F684F1-7AB7-492C-BBCB-8ECA42438AEE}"/>
    <cellStyle name="Heading 1 11" xfId="3440" xr:uid="{4EEFD74A-B52C-4005-9E91-5026CBAC6627}"/>
    <cellStyle name="Heading 1 12" xfId="3441" xr:uid="{8F1BFD0B-7B9C-4072-8539-BFAB8ADA5F08}"/>
    <cellStyle name="Heading 1 13" xfId="3442" xr:uid="{58A2BCE8-1422-427B-B820-25796B4156E0}"/>
    <cellStyle name="Heading 1 2" xfId="3443" xr:uid="{3E349438-9FD7-4E37-9A3B-25D449DAFB20}"/>
    <cellStyle name="Heading 1 2 10" xfId="3444" xr:uid="{B5255BA6-1EEE-47C0-A85C-301DCE4DCFD8}"/>
    <cellStyle name="Heading 1 2 11" xfId="3445" xr:uid="{D0CEFD51-F11D-4E58-BA6F-13BBFC4C4B88}"/>
    <cellStyle name="Heading 1 2 12" xfId="3446" xr:uid="{BEECEAC4-3B22-4B18-8498-73811BAD1E40}"/>
    <cellStyle name="Heading 1 2 13" xfId="3447" xr:uid="{9B179AC1-DBE2-4913-A486-B1F137789FA0}"/>
    <cellStyle name="Heading 1 2 14" xfId="3448" xr:uid="{2A411B68-2233-47C3-8227-FE5BED0220C5}"/>
    <cellStyle name="Heading 1 2 15" xfId="3449" xr:uid="{77F44515-D85A-4BDB-8841-34435AEEABA9}"/>
    <cellStyle name="Heading 1 2 16" xfId="3450" xr:uid="{363CB3FB-D244-4DEC-BE70-840664610D41}"/>
    <cellStyle name="Heading 1 2 2" xfId="3451" xr:uid="{C544D1C8-0098-4536-8502-8621420A6B89}"/>
    <cellStyle name="Heading 1 2 2 10" xfId="3452" xr:uid="{4522D5AB-1CAC-42C3-AB33-7D8A9646B4F3}"/>
    <cellStyle name="Heading 1 2 2 11" xfId="3453" xr:uid="{99A17778-76A4-4BDF-B2A1-8A4EF8999AA5}"/>
    <cellStyle name="Heading 1 2 2 12" xfId="3454" xr:uid="{96EAB361-0BB8-4ED9-AEDC-F12A8B848DC2}"/>
    <cellStyle name="Heading 1 2 2 13" xfId="3455" xr:uid="{99A86F25-96DB-4768-892E-D1B66D6927B5}"/>
    <cellStyle name="Heading 1 2 2 14" xfId="3456" xr:uid="{20084C57-8CA9-416B-AADE-E0C74A93D19B}"/>
    <cellStyle name="Heading 1 2 2 15" xfId="3457" xr:uid="{679A7FED-8796-4DF5-B303-7A5504526176}"/>
    <cellStyle name="Heading 1 2 2 2" xfId="3458" xr:uid="{702D6BA6-C39F-4128-8607-60BEB173E63C}"/>
    <cellStyle name="Heading 1 2 2 2 2" xfId="3459" xr:uid="{A8EBED97-2C10-4257-9B3D-72527A2F045D}"/>
    <cellStyle name="Heading 1 2 2 3" xfId="3460" xr:uid="{DEA901EF-1DF5-45B7-BDEC-73C74F50FCA1}"/>
    <cellStyle name="Heading 1 2 2 4" xfId="3461" xr:uid="{5BC18C5C-8EDF-4E78-927E-5D3E9D5172DD}"/>
    <cellStyle name="Heading 1 2 2 5" xfId="3462" xr:uid="{E04CC87D-B885-4ABF-A817-C457790F385E}"/>
    <cellStyle name="Heading 1 2 2 6" xfId="3463" xr:uid="{BCAE15AD-3382-4980-9B76-9EE85CEDBA84}"/>
    <cellStyle name="Heading 1 2 2 7" xfId="3464" xr:uid="{3E1B022B-A6DF-40C1-8595-E1CF82118DDA}"/>
    <cellStyle name="Heading 1 2 2 8" xfId="3465" xr:uid="{D5C7495C-CFC9-4BAA-8FF4-E61016395975}"/>
    <cellStyle name="Heading 1 2 2 9" xfId="3466" xr:uid="{9B435D09-A24D-4A9B-A37A-6814E2BA2AD7}"/>
    <cellStyle name="Heading 1 2 2_EQU" xfId="3467" xr:uid="{56982F66-1E14-4DF1-86E3-C4F059769AC5}"/>
    <cellStyle name="Heading 1 2 3" xfId="3468" xr:uid="{CF2326E7-EA1C-416C-AC25-5ADCEDB6C408}"/>
    <cellStyle name="Heading 1 2 3 2" xfId="3469" xr:uid="{B4FB889B-8DFF-4320-8E97-710A35F02C2E}"/>
    <cellStyle name="Heading 1 2 3_Derivatives" xfId="3470" xr:uid="{70631826-E0B1-478C-BCBC-70FC830A414C}"/>
    <cellStyle name="Heading 1 2 4" xfId="3471" xr:uid="{B99F532A-7CC1-4CC0-9BCA-11D3F65E5970}"/>
    <cellStyle name="Heading 1 2 4 2" xfId="3472" xr:uid="{00982F4B-2B27-4074-8C57-5BB4D88678C1}"/>
    <cellStyle name="Heading 1 2 5" xfId="3473" xr:uid="{F977B97A-6D6C-4DFF-83D3-5699643A45E4}"/>
    <cellStyle name="Heading 1 2 6" xfId="3474" xr:uid="{76271D58-606D-49F7-A114-2DD2E65E59C6}"/>
    <cellStyle name="Heading 1 2 7" xfId="3475" xr:uid="{5FE71E19-A608-4014-8262-0A086825B180}"/>
    <cellStyle name="Heading 1 2 8" xfId="3476" xr:uid="{78470110-C01B-47D5-B80E-A7B732D9BA21}"/>
    <cellStyle name="Heading 1 2 8 2" xfId="3477" xr:uid="{FA00DC7E-61E7-4C6D-87A8-44C37AA70691}"/>
    <cellStyle name="Heading 1 2 8_Derivatives" xfId="3478" xr:uid="{A9DD2449-B79C-4EFA-89FA-E314ABB381A1}"/>
    <cellStyle name="Heading 1 2 9" xfId="3479" xr:uid="{28383589-AE71-42D7-8C14-A2F1A1FBD262}"/>
    <cellStyle name="Heading 1 2_EQU" xfId="3480" xr:uid="{6F8E9121-D476-4E35-AEB6-0607B8AE6564}"/>
    <cellStyle name="Heading 1 3" xfId="3481" xr:uid="{1495A2AA-347A-440A-976B-D6AB3490F8CA}"/>
    <cellStyle name="Heading 1 3 10" xfId="3482" xr:uid="{52E882D1-E1FF-45F6-BE3E-79652AA1EFC7}"/>
    <cellStyle name="Heading 1 3 2" xfId="3483" xr:uid="{1464F4DD-ACCA-4383-8E97-62215EA243A2}"/>
    <cellStyle name="Heading 1 3 2 2" xfId="3484" xr:uid="{76C06731-0875-4447-A247-FB3C5E46C8D9}"/>
    <cellStyle name="Heading 1 3 2 3" xfId="3485" xr:uid="{A703A499-56FC-499D-8F3A-D983B72A8D7A}"/>
    <cellStyle name="Heading 1 3 2_Derivatives" xfId="3486" xr:uid="{87E9AB40-8B19-4884-B080-AEE2F1324594}"/>
    <cellStyle name="Heading 1 3 3" xfId="3487" xr:uid="{67742F97-FE6C-40C4-8861-59291B1F063B}"/>
    <cellStyle name="Heading 1 3 3 2" xfId="3488" xr:uid="{65C06470-3CDB-41D7-93FF-910451ED1FBC}"/>
    <cellStyle name="Heading 1 3 3_Derivatives" xfId="3489" xr:uid="{7F8DF56D-15A1-4E37-AE24-77EE32D8CC37}"/>
    <cellStyle name="Heading 1 3 4" xfId="3490" xr:uid="{95E74FD3-2E83-4008-ABD2-D6C4288FC89C}"/>
    <cellStyle name="Heading 1 3 5" xfId="3491" xr:uid="{2C41DB4A-31C0-4BDE-BF70-817F1790B79D}"/>
    <cellStyle name="Heading 1 3 6" xfId="3492" xr:uid="{79640FD7-94C1-42FD-A429-7471DAC7D8EE}"/>
    <cellStyle name="Heading 1 3 7" xfId="3493" xr:uid="{2AF278FA-9774-42FB-98D8-12622417F071}"/>
    <cellStyle name="Heading 1 3 8" xfId="3494" xr:uid="{D66CF55E-DF3D-4B53-8CF5-2BE7F8F16812}"/>
    <cellStyle name="Heading 1 3 9" xfId="3495" xr:uid="{EA29DCBC-D875-4A37-8DEE-55E547944331}"/>
    <cellStyle name="Heading 1 3_EQU" xfId="3496" xr:uid="{493A0448-8F2F-4CE7-9873-85037C31E83B}"/>
    <cellStyle name="Heading 1 4" xfId="3497" xr:uid="{A81D0A06-4F2A-4684-9A17-226BD6C1456A}"/>
    <cellStyle name="Heading 1 4 2" xfId="3498" xr:uid="{D34B0844-6AEC-4B70-887D-FE0718795A0C}"/>
    <cellStyle name="Heading 1 4_EQU" xfId="3499" xr:uid="{8825E0D3-3BE9-4951-87E3-41E100783C82}"/>
    <cellStyle name="Heading 1 5" xfId="3500" xr:uid="{17605A80-D6B7-4132-8F8B-C20C1D74D39A}"/>
    <cellStyle name="Heading 1 6" xfId="3501" xr:uid="{FE48FEEF-B54A-455E-AAEB-177DA8BC9E49}"/>
    <cellStyle name="Heading 1 7" xfId="3502" xr:uid="{0973E619-2C7E-436F-A7D7-549EBBEDDA85}"/>
    <cellStyle name="Heading 1 8" xfId="3503" xr:uid="{F7313505-CC05-4A54-B508-76EB5A0ADFF7}"/>
    <cellStyle name="Heading 1 9" xfId="3504" xr:uid="{5DCEA83A-EC51-4F83-8FA4-D2D5C3E2DEC3}"/>
    <cellStyle name="Heading 2 10" xfId="3505" xr:uid="{98D76083-BA61-464A-905E-EEA12C918FAC}"/>
    <cellStyle name="Heading 2 11" xfId="3506" xr:uid="{6543DF7A-7AC7-4D2F-83A7-34D150FB98CF}"/>
    <cellStyle name="Heading 2 12" xfId="3507" xr:uid="{7CA15146-B302-49CC-9F4B-C3A2A99A312C}"/>
    <cellStyle name="Heading 2 13" xfId="3508" xr:uid="{AB7F28DB-E3C2-4856-90E2-6DD663E369B4}"/>
    <cellStyle name="Heading 2 2" xfId="3509" xr:uid="{88D65B5A-4846-40F9-8333-309E6E5F6193}"/>
    <cellStyle name="Heading 2 2 10" xfId="3510" xr:uid="{BBC9E712-1B47-4A6A-975F-A943F272726E}"/>
    <cellStyle name="Heading 2 2 11" xfId="3511" xr:uid="{E800A7EB-4891-4584-8159-7BA5DD0DEE0F}"/>
    <cellStyle name="Heading 2 2 12" xfId="3512" xr:uid="{23E2E2CB-6E85-4705-8FA0-15EF1CDC4198}"/>
    <cellStyle name="Heading 2 2 13" xfId="3513" xr:uid="{CBD765C8-B85F-4778-AAC4-E737C7832055}"/>
    <cellStyle name="Heading 2 2 14" xfId="3514" xr:uid="{5C61C47E-FF65-4AF5-8727-2CED82AD60F8}"/>
    <cellStyle name="Heading 2 2 15" xfId="3515" xr:uid="{F0293657-B850-4020-9FD4-753384BC485B}"/>
    <cellStyle name="Heading 2 2 16" xfId="3516" xr:uid="{522EB006-5A73-4FF5-911F-40162831024B}"/>
    <cellStyle name="Heading 2 2 2" xfId="3517" xr:uid="{653A53F8-6CCE-4F0E-BF5F-36A3B050D439}"/>
    <cellStyle name="Heading 2 2 2 10" xfId="3518" xr:uid="{B23AAE9E-18DF-4688-91DE-FADE9B20A168}"/>
    <cellStyle name="Heading 2 2 2 11" xfId="3519" xr:uid="{0B314814-FE49-4269-8543-6A9DDB0AD115}"/>
    <cellStyle name="Heading 2 2 2 12" xfId="3520" xr:uid="{80DBDE34-9F58-4C62-99E6-AE0CABB8AF1B}"/>
    <cellStyle name="Heading 2 2 2 13" xfId="3521" xr:uid="{5B306DD0-F75C-47FE-9E99-8C22053808D3}"/>
    <cellStyle name="Heading 2 2 2 14" xfId="3522" xr:uid="{A1FBD981-C41A-49A4-866C-DAAA05D130A8}"/>
    <cellStyle name="Heading 2 2 2 15" xfId="3523" xr:uid="{D5AEB0D8-823B-432E-BC3F-7640A419E6A2}"/>
    <cellStyle name="Heading 2 2 2 2" xfId="3524" xr:uid="{B3CFB200-1804-4D09-B22E-4E051CC25A1B}"/>
    <cellStyle name="Heading 2 2 2 2 2" xfId="3525" xr:uid="{21CBFB15-8739-4F9D-A659-4FA821B60F0F}"/>
    <cellStyle name="Heading 2 2 2 3" xfId="3526" xr:uid="{8FD4A263-D1B0-4BAF-8C0F-09A680EFB992}"/>
    <cellStyle name="Heading 2 2 2 4" xfId="3527" xr:uid="{A274B2AC-1F50-4CFB-8689-891E1C8A84F3}"/>
    <cellStyle name="Heading 2 2 2 5" xfId="3528" xr:uid="{47B4BDFD-E050-4B36-8B99-1E241B6953A9}"/>
    <cellStyle name="Heading 2 2 2 6" xfId="3529" xr:uid="{A08D21A4-BDB0-4B97-80A5-EEB18C9F8452}"/>
    <cellStyle name="Heading 2 2 2 7" xfId="3530" xr:uid="{81BBF618-145C-4130-BFC6-A1A186C29FD0}"/>
    <cellStyle name="Heading 2 2 2 8" xfId="3531" xr:uid="{E375DACC-5149-4890-9F7E-0F8C16C7D714}"/>
    <cellStyle name="Heading 2 2 2 9" xfId="3532" xr:uid="{2ABE251A-B3C2-4658-B425-7FA5F074A7BD}"/>
    <cellStyle name="Heading 2 2 2_EQU" xfId="3533" xr:uid="{E8EA5A9F-C57B-4012-BDAC-E4DBCFC3E5C3}"/>
    <cellStyle name="Heading 2 2 3" xfId="3534" xr:uid="{AB6E45D7-3C49-49E7-8361-BA0765261291}"/>
    <cellStyle name="Heading 2 2 3 2" xfId="3535" xr:uid="{2A9522B1-49AB-4DB3-BE61-999A3BB1CD92}"/>
    <cellStyle name="Heading 2 2 3_Derivatives" xfId="3536" xr:uid="{C260A6B0-A420-4FD1-AADC-E6FBB960B5F2}"/>
    <cellStyle name="Heading 2 2 4" xfId="3537" xr:uid="{F786395F-AEE7-4794-BB84-3E6FA26A1CF1}"/>
    <cellStyle name="Heading 2 2 4 2" xfId="3538" xr:uid="{5FCE7227-733B-463E-8082-C7EE59019B03}"/>
    <cellStyle name="Heading 2 2 5" xfId="3539" xr:uid="{73F4BBE6-5524-4F2D-8132-98304F2B769E}"/>
    <cellStyle name="Heading 2 2 6" xfId="3540" xr:uid="{99BE7D95-570B-4BB5-B3C5-768326A8B61C}"/>
    <cellStyle name="Heading 2 2 7" xfId="3541" xr:uid="{479131EC-40D0-4D32-BBB1-999BE43E48CF}"/>
    <cellStyle name="Heading 2 2 8" xfId="3542" xr:uid="{7A9F4F75-8C33-4DFE-96F7-FC80E99ECED4}"/>
    <cellStyle name="Heading 2 2 8 2" xfId="3543" xr:uid="{AFA728A4-8CC3-421D-A31F-FDE827AF75BA}"/>
    <cellStyle name="Heading 2 2 8_Derivatives" xfId="3544" xr:uid="{6473ECE4-BC75-4B0F-8063-A3CDE05E18BF}"/>
    <cellStyle name="Heading 2 2 9" xfId="3545" xr:uid="{DDE97C2F-EF0C-4FE1-8BBE-B9D7106D9E40}"/>
    <cellStyle name="Heading 2 2_EQU" xfId="3546" xr:uid="{AA91D1D4-FD33-4C1B-81F9-EE06A3686FD7}"/>
    <cellStyle name="Heading 2 3" xfId="3547" xr:uid="{0DD693FE-419D-43AD-8577-9142434C93A6}"/>
    <cellStyle name="Heading 2 3 2" xfId="3548" xr:uid="{5DAFAFD1-2BC5-4B38-B756-65AA12B741E4}"/>
    <cellStyle name="Heading 2 3 2 2" xfId="3549" xr:uid="{E5526216-E235-48BE-B9F9-60FCF41A3663}"/>
    <cellStyle name="Heading 2 3 2 3" xfId="3550" xr:uid="{A3BAD75B-8142-472D-9F74-2C7E134571B1}"/>
    <cellStyle name="Heading 2 3 2_Derivatives" xfId="3551" xr:uid="{FDCC87B8-590B-43C1-BE29-212243198AD4}"/>
    <cellStyle name="Heading 2 3 3" xfId="3552" xr:uid="{3EF5362A-320F-403F-8CF0-67B84D226DF0}"/>
    <cellStyle name="Heading 2 3 3 2" xfId="3553" xr:uid="{E56B7F95-3073-4756-950E-8BF037C145FC}"/>
    <cellStyle name="Heading 2 3 3_Derivatives" xfId="3554" xr:uid="{0560B663-718B-4DCA-A84B-55904992B2AB}"/>
    <cellStyle name="Heading 2 3 4" xfId="3555" xr:uid="{60EDB1C9-CBE0-4A16-B029-C3C8F5DD0BA9}"/>
    <cellStyle name="Heading 2 3 5" xfId="3556" xr:uid="{0E24A515-E67A-4767-94E8-43CEBCD3DB93}"/>
    <cellStyle name="Heading 2 3 6" xfId="3557" xr:uid="{21E72193-D2BC-4A86-9FDA-237B2B9FBF6C}"/>
    <cellStyle name="Heading 2 3 7" xfId="3558" xr:uid="{84F74995-7F85-4992-8E7D-58966EC2B51C}"/>
    <cellStyle name="Heading 2 3 8" xfId="3559" xr:uid="{9DA6AD20-32F8-49C8-8B45-85C1EEA0BED4}"/>
    <cellStyle name="Heading 2 3 9" xfId="3560" xr:uid="{B0A4CD42-8D8C-420A-9616-98753BF57364}"/>
    <cellStyle name="Heading 2 3_EQU" xfId="3561" xr:uid="{AE1E689B-0ACD-4BB8-9F0C-050E359162D8}"/>
    <cellStyle name="Heading 2 4" xfId="3562" xr:uid="{F254CCE3-3C9F-4B43-B622-9B4CD5C196D9}"/>
    <cellStyle name="Heading 2 4 2" xfId="3563" xr:uid="{6770B7E5-BA97-4CBD-AB03-1120E3B6CAAA}"/>
    <cellStyle name="Heading 2 4_EQU" xfId="3564" xr:uid="{EB94B9C0-A766-4E3B-9F2A-895B76010C97}"/>
    <cellStyle name="Heading 2 5" xfId="3565" xr:uid="{62E5B4BB-6B99-41B2-BFF3-730360C75C4E}"/>
    <cellStyle name="Heading 2 6" xfId="3566" xr:uid="{A1820D1A-9603-4FD0-8C66-F85E024EDF92}"/>
    <cellStyle name="Heading 2 7" xfId="3567" xr:uid="{F05CFC43-7FA6-4783-8911-AD64C310A4FE}"/>
    <cellStyle name="Heading 2 8" xfId="3568" xr:uid="{07BA5652-A16D-4CFF-A2C6-F2DDC2739369}"/>
    <cellStyle name="Heading 2 9" xfId="3569" xr:uid="{6B99DC9A-F5C7-4CA8-BED7-1CCE6B07757F}"/>
    <cellStyle name="Heading 3 10" xfId="3570" xr:uid="{870AFFB2-45C5-4600-9AE3-64B86FAB6292}"/>
    <cellStyle name="Heading 3 11" xfId="3571" xr:uid="{2B76F04D-D1FE-48E6-AA1A-9E87EBEDB271}"/>
    <cellStyle name="Heading 3 12" xfId="3572" xr:uid="{575AA259-306A-473B-B7C2-00EC0D7E9BF5}"/>
    <cellStyle name="Heading 3 13" xfId="3573" xr:uid="{932C55A9-FB5E-4173-BBDC-02BB27025E22}"/>
    <cellStyle name="Heading 3 2" xfId="3574" xr:uid="{C5EE1B9A-2285-440E-8BEE-55717FF3FDF9}"/>
    <cellStyle name="Heading 3 2 10" xfId="3575" xr:uid="{E572D2B1-35D6-4555-9045-9964C65B727B}"/>
    <cellStyle name="Heading 3 2 11" xfId="3576" xr:uid="{79589FC6-6767-4979-9925-0207DF6E9C30}"/>
    <cellStyle name="Heading 3 2 12" xfId="3577" xr:uid="{47C5BD16-909A-449C-BC87-1D8B301D1890}"/>
    <cellStyle name="Heading 3 2 13" xfId="3578" xr:uid="{B9196353-08A4-4730-AA67-027BB89A3346}"/>
    <cellStyle name="Heading 3 2 14" xfId="3579" xr:uid="{7420F97F-8E69-4049-B57C-2F11CF58F673}"/>
    <cellStyle name="Heading 3 2 15" xfId="3580" xr:uid="{52EE0EA5-45DD-46CD-A9F2-05BD7F577DBA}"/>
    <cellStyle name="Heading 3 2 16" xfId="3581" xr:uid="{5EE7E611-61E1-4CD7-B5F3-960CB24EAD42}"/>
    <cellStyle name="Heading 3 2 2" xfId="3582" xr:uid="{9565049E-FFBE-4FA1-AF92-648523E76EC9}"/>
    <cellStyle name="Heading 3 2 2 10" xfId="3583" xr:uid="{8B96949E-693B-483B-B2A4-14F1886E3935}"/>
    <cellStyle name="Heading 3 2 2 11" xfId="3584" xr:uid="{17A403A1-8B1C-4DEB-AC0E-E7B8D767963D}"/>
    <cellStyle name="Heading 3 2 2 12" xfId="3585" xr:uid="{DAC994F1-EF03-423F-B71D-39CA63A9CBD5}"/>
    <cellStyle name="Heading 3 2 2 13" xfId="3586" xr:uid="{229C3617-CDDC-4E2B-AA7B-BC1A3EB794EC}"/>
    <cellStyle name="Heading 3 2 2 14" xfId="3587" xr:uid="{0360CD28-4012-443A-9D67-38AF55379D59}"/>
    <cellStyle name="Heading 3 2 2 15" xfId="3588" xr:uid="{98828D4B-7514-49DC-B58B-9290AE083C65}"/>
    <cellStyle name="Heading 3 2 2 2" xfId="3589" xr:uid="{05CCBB1D-3329-418A-94DB-CAA8582FCA8C}"/>
    <cellStyle name="Heading 3 2 2 2 2" xfId="3590" xr:uid="{D4E06CE8-EC52-4F48-AFA0-0892EE79FF43}"/>
    <cellStyle name="Heading 3 2 2 3" xfId="3591" xr:uid="{93E421C8-3597-4889-BFDD-7965D3FAC692}"/>
    <cellStyle name="Heading 3 2 2 4" xfId="3592" xr:uid="{BF4955E9-DFC1-451A-A165-9D017465E5A1}"/>
    <cellStyle name="Heading 3 2 2 5" xfId="3593" xr:uid="{A0D99F7D-16AB-4941-A69E-A328445DE26F}"/>
    <cellStyle name="Heading 3 2 2 6" xfId="3594" xr:uid="{8348A02A-AE66-430C-8758-A7BEA9968E17}"/>
    <cellStyle name="Heading 3 2 2 7" xfId="3595" xr:uid="{964F36A0-2414-47FB-AF3F-008F79094C91}"/>
    <cellStyle name="Heading 3 2 2 8" xfId="3596" xr:uid="{4B005D20-C1A7-48BC-A9E2-63E05A1CE467}"/>
    <cellStyle name="Heading 3 2 2 9" xfId="3597" xr:uid="{D6C56933-E94E-46FA-A235-E8F1647388C9}"/>
    <cellStyle name="Heading 3 2 2_EQU" xfId="3598" xr:uid="{027A7F08-1E00-47B1-B469-A47584CC68A9}"/>
    <cellStyle name="Heading 3 2 3" xfId="3599" xr:uid="{D3C81112-F235-4CB6-A569-6B43B2BE3024}"/>
    <cellStyle name="Heading 3 2 3 2" xfId="3600" xr:uid="{18170071-BD65-4769-922E-1D852467014E}"/>
    <cellStyle name="Heading 3 2 3_Derivatives" xfId="3601" xr:uid="{3825E229-3DA3-4F8C-B1FC-3950BFF2367D}"/>
    <cellStyle name="Heading 3 2 4" xfId="3602" xr:uid="{B985D41B-AC35-425C-AEC8-ACA8A419AC6A}"/>
    <cellStyle name="Heading 3 2 4 2" xfId="3603" xr:uid="{255628EB-6400-4C51-9EBD-9BB64CE00E8C}"/>
    <cellStyle name="Heading 3 2 5" xfId="3604" xr:uid="{565371A8-0EC6-4F99-9E81-64682E5EF34B}"/>
    <cellStyle name="Heading 3 2 6" xfId="3605" xr:uid="{E8A5F8B5-008F-4CD9-A165-3DF17598171C}"/>
    <cellStyle name="Heading 3 2 7" xfId="3606" xr:uid="{1A104FD1-7234-45DE-8FD0-31BF8CA967A4}"/>
    <cellStyle name="Heading 3 2 8" xfId="3607" xr:uid="{74E6019D-0732-432C-9CB1-A960026F2406}"/>
    <cellStyle name="Heading 3 2 8 2" xfId="3608" xr:uid="{C3F9A3F0-30F8-4105-88B8-EBA84A621A4D}"/>
    <cellStyle name="Heading 3 2 8_Derivatives" xfId="3609" xr:uid="{9326103B-4D36-404D-A808-FF7F972CAF47}"/>
    <cellStyle name="Heading 3 2 9" xfId="3610" xr:uid="{300C6441-82C6-4505-8DB0-0B6DFF8C0135}"/>
    <cellStyle name="Heading 3 2_EQU" xfId="3611" xr:uid="{D0260D67-8E2A-4155-AAC1-78CD8ADB755C}"/>
    <cellStyle name="Heading 3 3" xfId="3612" xr:uid="{A6BE66BD-F8A9-467E-9FC6-913F422F2987}"/>
    <cellStyle name="Heading 3 3 10" xfId="3613" xr:uid="{CEEBDFCE-C2B2-4489-B18F-EE717B47EC01}"/>
    <cellStyle name="Heading 3 3 2" xfId="3614" xr:uid="{6332ED76-AF97-4E3B-8B3E-576E95FB266F}"/>
    <cellStyle name="Heading 3 3 2 2" xfId="3615" xr:uid="{42FA5B53-194B-470B-B552-462B4691789B}"/>
    <cellStyle name="Heading 3 3 2 3" xfId="3616" xr:uid="{C8D2AE8C-58AF-4456-A798-FF351DB85126}"/>
    <cellStyle name="Heading 3 3 2_Derivatives" xfId="3617" xr:uid="{1471C795-752A-45D3-8A0F-27D63B4ECA20}"/>
    <cellStyle name="Heading 3 3 3" xfId="3618" xr:uid="{456B928C-FEE0-4B90-ABB4-8F4F8D1B296D}"/>
    <cellStyle name="Heading 3 3 3 2" xfId="3619" xr:uid="{1C26B107-3CCE-48B0-A06B-7723948808F5}"/>
    <cellStyle name="Heading 3 3 3_Derivatives" xfId="3620" xr:uid="{7859BDEF-F903-49A2-BC96-D17FFFCD86DE}"/>
    <cellStyle name="Heading 3 3 4" xfId="3621" xr:uid="{90216375-B05A-456C-922D-32C24855E140}"/>
    <cellStyle name="Heading 3 3 5" xfId="3622" xr:uid="{C9DFB393-5CB9-46FD-B50D-D6CE1EA324B3}"/>
    <cellStyle name="Heading 3 3 6" xfId="3623" xr:uid="{9AB5C03B-4D1D-4CE7-9DCD-5E880F30A1DC}"/>
    <cellStyle name="Heading 3 3 7" xfId="3624" xr:uid="{4BA5A750-007A-4FEA-8850-0F704A99DFA5}"/>
    <cellStyle name="Heading 3 3 8" xfId="3625" xr:uid="{199BB4CA-D1AC-4D97-8CA5-E00819718EF3}"/>
    <cellStyle name="Heading 3 3 9" xfId="3626" xr:uid="{09E79CCD-7FFF-40AF-B74D-2ED6B3ACA9F7}"/>
    <cellStyle name="Heading 3 3_EQU" xfId="3627" xr:uid="{AD2D6EA0-A77C-4C9A-84AF-8260ADAA4AF8}"/>
    <cellStyle name="Heading 3 4" xfId="3628" xr:uid="{0ACAA041-DE66-40B7-834E-FA4DDA851AD7}"/>
    <cellStyle name="Heading 3 4 2" xfId="3629" xr:uid="{B0A36CCD-1BD9-46C1-801D-95066CD92B4A}"/>
    <cellStyle name="Heading 3 4_EQU" xfId="3630" xr:uid="{AFC50533-710C-41A8-930A-9980C1906805}"/>
    <cellStyle name="Heading 3 5" xfId="3631" xr:uid="{DDC72807-77F6-41C6-9D22-384BFBA22E9C}"/>
    <cellStyle name="Heading 3 6" xfId="3632" xr:uid="{242D17D1-8172-4038-A5FD-F6747CDC5E46}"/>
    <cellStyle name="Heading 3 7" xfId="3633" xr:uid="{EAA13E4B-82E3-4E4F-84D3-07B5D2D0A3BE}"/>
    <cellStyle name="Heading 3 8" xfId="3634" xr:uid="{09C2F428-48B3-44BE-9598-C4DB371B7407}"/>
    <cellStyle name="Heading 3 9" xfId="3635" xr:uid="{20D633CF-E6D0-4693-A1D8-5644E61CCF25}"/>
    <cellStyle name="Heading 4 10" xfId="3636" xr:uid="{FFF5A259-FD26-4D0E-8ACD-870C7EFF1CFB}"/>
    <cellStyle name="Heading 4 11" xfId="3637" xr:uid="{2C06CCCC-E08B-4009-A23A-06436CCC0081}"/>
    <cellStyle name="Heading 4 12" xfId="3638" xr:uid="{3AED4646-7A7B-4210-8D54-E50FAE53B539}"/>
    <cellStyle name="Heading 4 13" xfId="3639" xr:uid="{25E54F8D-5D0E-4C94-9B80-4877EC8002FE}"/>
    <cellStyle name="Heading 4 2" xfId="3640" xr:uid="{6811B308-EB3F-4A3D-B5C1-2BE3721B04ED}"/>
    <cellStyle name="Heading 4 2 10" xfId="3641" xr:uid="{EAEF786F-26D5-4291-872D-A08AA2ACE428}"/>
    <cellStyle name="Heading 4 2 11" xfId="3642" xr:uid="{AB33DA02-29D8-4FE7-950B-335F73E64B10}"/>
    <cellStyle name="Heading 4 2 12" xfId="3643" xr:uid="{EE234B7F-4207-4BDA-B307-427FAE2FDFFE}"/>
    <cellStyle name="Heading 4 2 13" xfId="3644" xr:uid="{6CACFC95-AB02-42FE-A4FE-6380EEE92D7E}"/>
    <cellStyle name="Heading 4 2 14" xfId="3645" xr:uid="{561C11C3-9907-4BC5-B660-FF99B07A4093}"/>
    <cellStyle name="Heading 4 2 15" xfId="3646" xr:uid="{FD65B982-2470-401C-9BCF-661FC380297A}"/>
    <cellStyle name="Heading 4 2 2" xfId="3647" xr:uid="{B22BDF2E-D77B-4566-820F-AEED936158AF}"/>
    <cellStyle name="Heading 4 2 2 10" xfId="3648" xr:uid="{A7082A5C-8DE3-4A07-8DB7-BD98FC90362D}"/>
    <cellStyle name="Heading 4 2 2 11" xfId="3649" xr:uid="{ECFA8445-04C7-4717-9DD8-30D001D8BA2D}"/>
    <cellStyle name="Heading 4 2 2 12" xfId="3650" xr:uid="{A4CA3CE5-EE1C-45D4-957B-707A7380773B}"/>
    <cellStyle name="Heading 4 2 2 2" xfId="3651" xr:uid="{A3499331-4853-43E0-BFF1-F83B2939B40D}"/>
    <cellStyle name="Heading 4 2 2 3" xfId="3652" xr:uid="{CCA72F2D-43EA-43EF-BEAE-B371EBA9396D}"/>
    <cellStyle name="Heading 4 2 2 4" xfId="3653" xr:uid="{3E9E29B1-7158-472D-BDBB-EB23915E92F1}"/>
    <cellStyle name="Heading 4 2 2 5" xfId="3654" xr:uid="{CD71C77B-9725-41CB-8781-63CC96B9D6A2}"/>
    <cellStyle name="Heading 4 2 2 6" xfId="3655" xr:uid="{8C45D51C-C9F9-40A8-B9FA-6B289E7B943D}"/>
    <cellStyle name="Heading 4 2 2 7" xfId="3656" xr:uid="{3B39496A-91F7-415F-A2CC-B14F4B7DD81C}"/>
    <cellStyle name="Heading 4 2 2 8" xfId="3657" xr:uid="{381F733F-8890-41B7-8477-CD3E7DE4E47F}"/>
    <cellStyle name="Heading 4 2 2 9" xfId="3658" xr:uid="{69248C34-2629-439E-9BB7-CFF0E5EC0E91}"/>
    <cellStyle name="Heading 4 2 2_EQU" xfId="3659" xr:uid="{CF4D634A-35BD-4DC1-AF48-698F842A426C}"/>
    <cellStyle name="Heading 4 2 3" xfId="3660" xr:uid="{D81B57C0-CB5C-42A6-8E74-EE08D51BDD50}"/>
    <cellStyle name="Heading 4 2 3 2" xfId="3661" xr:uid="{A3B88717-B210-4E64-8454-571A9FF6D771}"/>
    <cellStyle name="Heading 4 2 3_Derivatives" xfId="3662" xr:uid="{6610B245-B5D5-4A4C-AC5D-E8A9FA5A0399}"/>
    <cellStyle name="Heading 4 2 4" xfId="3663" xr:uid="{48E9A8B6-ECE2-4E6D-893E-75D5E7DB03E5}"/>
    <cellStyle name="Heading 4 2 4 2" xfId="3664" xr:uid="{F9464856-7213-4376-9A45-0314AF73CAA2}"/>
    <cellStyle name="Heading 4 2 5" xfId="3665" xr:uid="{2223BBD5-0436-4CFE-9C93-54E4D0E3B62D}"/>
    <cellStyle name="Heading 4 2 6" xfId="3666" xr:uid="{A93AABA1-BE79-49AE-B957-842D60598D22}"/>
    <cellStyle name="Heading 4 2 7" xfId="3667" xr:uid="{E319F700-45CF-4729-A184-D94DE053AB3C}"/>
    <cellStyle name="Heading 4 2 8" xfId="3668" xr:uid="{B3326A16-3785-4AAD-84D2-44FE9140C751}"/>
    <cellStyle name="Heading 4 2 8 2" xfId="3669" xr:uid="{B7E0731E-0875-471E-9EF6-3100F299E534}"/>
    <cellStyle name="Heading 4 2 8_Derivatives" xfId="3670" xr:uid="{87C1F17B-C484-4CA4-BF07-0E04B81F4A0F}"/>
    <cellStyle name="Heading 4 2 9" xfId="3671" xr:uid="{6601D15E-6487-4D30-A093-84BF0DC475A3}"/>
    <cellStyle name="Heading 4 2_EQU" xfId="3672" xr:uid="{AE272118-0496-440D-A716-595F68DBA3D7}"/>
    <cellStyle name="Heading 4 3" xfId="3673" xr:uid="{3CC9691D-78C6-4492-9DFC-EBE7C0F0787F}"/>
    <cellStyle name="Heading 4 3 2" xfId="3674" xr:uid="{2D96A017-E365-4574-9DF3-B7A42338CF07}"/>
    <cellStyle name="Heading 4 3 2 2" xfId="3675" xr:uid="{9529B713-4F25-4587-8C54-CB8F99181051}"/>
    <cellStyle name="Heading 4 3 3" xfId="3676" xr:uid="{733E7797-E204-42C1-93FA-3ECD8C945552}"/>
    <cellStyle name="Heading 4 3 3 2" xfId="3677" xr:uid="{AE4DFD4F-2BB7-49A1-A95B-C280F6613592}"/>
    <cellStyle name="Heading 4 3 4" xfId="3678" xr:uid="{FDDAEED9-D796-4339-8F42-805C343FFC03}"/>
    <cellStyle name="Heading 4 3 5" xfId="3679" xr:uid="{49A9C086-D9B1-446E-BEC1-B76574644E6E}"/>
    <cellStyle name="Heading 4 3 6" xfId="3680" xr:uid="{1EEA2C9E-375C-4DE3-805C-DF703742B238}"/>
    <cellStyle name="Heading 4 3 7" xfId="3681" xr:uid="{B57A8BFC-5145-4BD8-891C-399A6D628258}"/>
    <cellStyle name="Heading 4 3 8" xfId="3682" xr:uid="{6B66F2BF-D667-43E9-8815-337661DDC0E3}"/>
    <cellStyle name="Heading 4 3_EQU" xfId="3683" xr:uid="{076DFBBD-20EF-49BE-85FD-80EA6F7291C2}"/>
    <cellStyle name="Heading 4 4" xfId="3684" xr:uid="{7142E474-A5FD-4F25-B6A8-916DA71DE7AF}"/>
    <cellStyle name="Heading 4 4 2" xfId="3685" xr:uid="{0CCB4E1B-3776-40D3-A538-2E43F15F3122}"/>
    <cellStyle name="Heading 4 4_EQU" xfId="3686" xr:uid="{D23FB337-1002-46F3-8E8F-8B75E7C18954}"/>
    <cellStyle name="Heading 4 5" xfId="3687" xr:uid="{8F2246D0-9920-4F1B-894C-A678FD3FCB51}"/>
    <cellStyle name="Heading 4 6" xfId="3688" xr:uid="{11B2468B-5830-4A7E-AE68-D34AB198B2B8}"/>
    <cellStyle name="Heading 4 7" xfId="3689" xr:uid="{83F367E9-C62F-4A55-B327-584EA035D25E}"/>
    <cellStyle name="Heading 4 8" xfId="3690" xr:uid="{8CCA59D7-7252-4FC4-9806-0ED58DFD7AD8}"/>
    <cellStyle name="Heading 4 9" xfId="3691" xr:uid="{E136CD7F-8BA8-408E-8733-51A330C6271E}"/>
    <cellStyle name="HEADING1" xfId="3692" xr:uid="{5D414497-3518-4C29-8329-3F335334D301}"/>
    <cellStyle name="HEADING2" xfId="3693" xr:uid="{D9628A26-0E11-4277-A649-84344B3AFCDD}"/>
    <cellStyle name="heading3" xfId="3694" xr:uid="{BAA323AE-7DD1-444E-9B0C-C64AF4E65E5A}"/>
    <cellStyle name="Huvud indata" xfId="3695" xr:uid="{626873E6-399E-4538-9CEF-F593AEF24CF8}"/>
    <cellStyle name="Hyperlink 2" xfId="3696" xr:uid="{6DC9E02B-DDCB-4584-898B-E3C2729E8785}"/>
    <cellStyle name="Hyperlink 3" xfId="3697" xr:uid="{63331643-C923-41CA-AF22-A95641C58955}"/>
    <cellStyle name="Hyperlink 4" xfId="3698" xr:uid="{2648437C-9C75-4D4B-A07B-3F1A397FBC05}"/>
    <cellStyle name="Hyperlink 5" xfId="6793" xr:uid="{89A31B8B-4F1F-4A77-8815-94121D726B35}"/>
    <cellStyle name="Indata" xfId="3699" xr:uid="{B177B621-25B2-495D-9101-B8A9DA385EAF}"/>
    <cellStyle name="Indata 14" xfId="3700" xr:uid="{BB2E600E-F431-4D56-B3A1-174133511860}"/>
    <cellStyle name="Indata 14 2" xfId="3701" xr:uid="{2EA0F2C0-24BC-4E20-A174-6B720A27176C}"/>
    <cellStyle name="Indata 2" xfId="3702" xr:uid="{DF029E3F-A9DD-41A0-A9B5-13EE259E90B6}"/>
    <cellStyle name="Indata 3" xfId="3703" xr:uid="{F41324B4-CB73-4A6C-A6F6-8BD9BC778857}"/>
    <cellStyle name="Indata text 11" xfId="3704" xr:uid="{95D3EB3E-39B6-4090-9F39-5092239F04B1}"/>
    <cellStyle name="Indata text 12" xfId="3705" xr:uid="{702F11A5-D594-4692-99D3-3FDEE500FA6C}"/>
    <cellStyle name="Indata_1 KeyFig" xfId="3706" xr:uid="{89238339-CB11-4FC5-9797-B653C5D03A57}"/>
    <cellStyle name="Input [yellow]" xfId="3707" xr:uid="{B8F7F7C3-F99E-4AE8-990A-90D2B2E5C80C}"/>
    <cellStyle name="Input [yellow] 2" xfId="3708" xr:uid="{C1164DFB-8B73-496A-AF22-47FE6945D3D4}"/>
    <cellStyle name="Input 10" xfId="3709" xr:uid="{435C5FD0-5F66-44DC-8A70-E20B62778BA4}"/>
    <cellStyle name="Input 11" xfId="3710" xr:uid="{5C8F25F0-A005-4D4E-BF3E-CE0F51EEB3C8}"/>
    <cellStyle name="Input 12" xfId="3711" xr:uid="{915DCD25-107D-41B9-A908-B06AE3C59BE3}"/>
    <cellStyle name="Input 13" xfId="3712" xr:uid="{777DC840-A0D4-4325-B8E6-42033E3697AF}"/>
    <cellStyle name="Input 14" xfId="3713" xr:uid="{AB5AACCA-552D-44DD-9209-9D17EF96A1AC}"/>
    <cellStyle name="Input 15" xfId="3714" xr:uid="{536ADD3D-0631-465F-BB96-6FF915E82881}"/>
    <cellStyle name="Input 16" xfId="3715" xr:uid="{8D1D260E-DE0C-4316-88B6-39E10C298D29}"/>
    <cellStyle name="Input 17" xfId="3716" xr:uid="{EED1E866-499B-47FD-9C43-E86010E8B5CC}"/>
    <cellStyle name="Input 18" xfId="3717" xr:uid="{E09BC8B2-D31A-45B3-B04C-AB2C83646069}"/>
    <cellStyle name="Input 19" xfId="3718" xr:uid="{A232BDB4-6D1A-470C-9CB2-E4B8A7ED41B9}"/>
    <cellStyle name="Input 2" xfId="3719" xr:uid="{CD434604-B936-4010-9311-103F3F603F13}"/>
    <cellStyle name="Input 2 10" xfId="3720" xr:uid="{09F9AB6C-880D-4215-AA58-977D032CAA2C}"/>
    <cellStyle name="Input 2 11" xfId="3721" xr:uid="{2E81788C-753C-4E09-B052-F9284F1AF981}"/>
    <cellStyle name="Input 2 12" xfId="3722" xr:uid="{AE110483-9B9D-4486-AEDA-B055920719D0}"/>
    <cellStyle name="Input 2 13" xfId="3723" xr:uid="{9579E6B2-D94A-4AB1-9312-43BB28355860}"/>
    <cellStyle name="Input 2 14" xfId="3724" xr:uid="{DDA30DF5-AA1F-4E46-BF92-6110EFD2F9B1}"/>
    <cellStyle name="Input 2 15" xfId="3725" xr:uid="{9E831E05-430F-4F2C-B675-192014ABC5B2}"/>
    <cellStyle name="Input 2 16" xfId="3726" xr:uid="{E2AF3CBC-9996-40B2-8CB4-828A6754D352}"/>
    <cellStyle name="Input 2 2" xfId="3727" xr:uid="{33559614-B6A7-4F00-858F-19A6A777AD85}"/>
    <cellStyle name="Input 2 2 10" xfId="3728" xr:uid="{85443E12-E6E2-4E4D-B7CB-9A9E8FD76200}"/>
    <cellStyle name="Input 2 2 11" xfId="3729" xr:uid="{0E3C4CB9-A1DA-45E1-A5FD-C4308E44CD70}"/>
    <cellStyle name="Input 2 2 12" xfId="3730" xr:uid="{0D23BAD9-76B0-45F3-9F56-5EDD419F3C67}"/>
    <cellStyle name="Input 2 2 13" xfId="3731" xr:uid="{974B739B-312D-4D47-8BD9-691AB23E8AE1}"/>
    <cellStyle name="Input 2 2 14" xfId="3732" xr:uid="{8B0AB1EE-014B-4E90-ADBC-58E5379DEA78}"/>
    <cellStyle name="Input 2 2 15" xfId="3733" xr:uid="{939FC513-F994-4590-9EC0-8349D04CDD1E}"/>
    <cellStyle name="Input 2 2 2" xfId="3734" xr:uid="{9A7AFFF3-61DE-4E08-AC81-E3CAA94C2F2D}"/>
    <cellStyle name="Input 2 2 3" xfId="3735" xr:uid="{0FB0988D-EA3E-4F1E-AD02-36D9AF87F135}"/>
    <cellStyle name="Input 2 2 4" xfId="3736" xr:uid="{3606920F-B86E-4AF4-BD32-FB2F4ABE358C}"/>
    <cellStyle name="Input 2 2 5" xfId="3737" xr:uid="{AD4FA435-0421-469A-ABDD-65D5BE170E32}"/>
    <cellStyle name="Input 2 2 6" xfId="3738" xr:uid="{25530053-121A-411A-8733-4291B434EB44}"/>
    <cellStyle name="Input 2 2 7" xfId="3739" xr:uid="{F135E4A2-AFB5-43D7-8788-5AAC7DCD11B0}"/>
    <cellStyle name="Input 2 2 8" xfId="3740" xr:uid="{C3FD53E9-79BF-4CDE-A38D-F672585F0FE3}"/>
    <cellStyle name="Input 2 2 9" xfId="3741" xr:uid="{C698AB7B-03E2-4984-9EC3-FFABB0AFF582}"/>
    <cellStyle name="Input 2 2_Equity reconciliation 2013-03" xfId="3742" xr:uid="{791DF891-2613-4253-BBAA-7B469DC73151}"/>
    <cellStyle name="Input 2 3" xfId="3743" xr:uid="{1FD375AE-27BD-4692-B9C0-E993D7A9B7F3}"/>
    <cellStyle name="Input 2 3 2" xfId="3744" xr:uid="{ED4C4B5D-7AFE-4311-B517-F1C0B5C9E1AE}"/>
    <cellStyle name="Input 2 3_Derivatives" xfId="3745" xr:uid="{29112419-C539-4105-A122-0B073A4AB782}"/>
    <cellStyle name="Input 2 4" xfId="3746" xr:uid="{03844B21-0BA3-41A9-8ACF-B925936CF2A5}"/>
    <cellStyle name="Input 2 4 2" xfId="3747" xr:uid="{A9003923-74DC-4734-8A69-98FB2A9C8BCC}"/>
    <cellStyle name="Input 2 5" xfId="3748" xr:uid="{99DB5400-4977-419C-B146-4FDDE082E0FE}"/>
    <cellStyle name="Input 2 6" xfId="3749" xr:uid="{97AE2C50-9FAC-48E9-A407-5D502879B3FC}"/>
    <cellStyle name="Input 2 7" xfId="3750" xr:uid="{494CB7C0-287B-4C3E-9EF9-20A6B03F917F}"/>
    <cellStyle name="Input 2 8" xfId="3751" xr:uid="{0CD4D3DF-DB90-4CC3-8509-E45876C35074}"/>
    <cellStyle name="Input 2 9" xfId="3752" xr:uid="{97BC23CD-52B5-4A93-9294-411CC1CD987E}"/>
    <cellStyle name="Input 2_EQU" xfId="3753" xr:uid="{A0DEEB97-C6BC-461C-82F8-E4DB3F4DF6C4}"/>
    <cellStyle name="Input 3" xfId="3754" xr:uid="{145AB4FF-DF4D-49A2-9F12-C2CC61CA8236}"/>
    <cellStyle name="Input 3 2" xfId="3755" xr:uid="{0F657CC1-872A-42AE-AB7F-A18F17C0B83D}"/>
    <cellStyle name="Input 3 3" xfId="3756" xr:uid="{3D0287BA-ED09-44F3-9598-DE467DB5A37B}"/>
    <cellStyle name="Input 3 4" xfId="3757" xr:uid="{1C1E96B0-1399-4355-86A9-F1ADC225A3F6}"/>
    <cellStyle name="Input 3 5" xfId="3758" xr:uid="{BCDF9292-764A-49A2-9FF0-1DB1BC2A16AB}"/>
    <cellStyle name="Input 3 6" xfId="3759" xr:uid="{AB9D83C4-A88E-4420-922A-E7432CE0BB0E}"/>
    <cellStyle name="Input 3 7" xfId="3760" xr:uid="{3A8AD0CE-544F-430A-8C29-9456DE268FA2}"/>
    <cellStyle name="Input 3 8" xfId="3761" xr:uid="{66C2072F-C2AC-4BE9-9E1B-3F5E81D826B7}"/>
    <cellStyle name="Input 3 9" xfId="3762" xr:uid="{D58C15F3-F1B8-407D-96B5-BAE4AE10AD66}"/>
    <cellStyle name="Input 3_EQU" xfId="3763" xr:uid="{8D121B3D-0DEE-4D89-8E5C-A5A5F02B03F3}"/>
    <cellStyle name="Input 4" xfId="3764" xr:uid="{A3BC9E34-CC4C-49C2-8DC3-9641DA55DCBD}"/>
    <cellStyle name="Input 4 2" xfId="3765" xr:uid="{88900891-FCF7-40FC-8661-D692B69E91F2}"/>
    <cellStyle name="Input 4_EQU" xfId="3766" xr:uid="{1D1DD1A2-5E9C-4C50-8FA3-ACFD0164D874}"/>
    <cellStyle name="Input 5" xfId="3767" xr:uid="{7385F106-36D6-4384-9D4F-ECCB3D41FAD6}"/>
    <cellStyle name="Input 6" xfId="3768" xr:uid="{45E381F1-84C6-4E6F-89E1-FCF9BF492BEA}"/>
    <cellStyle name="Input 7" xfId="3769" xr:uid="{6F616B03-4203-4182-8E24-D26B560EFF83}"/>
    <cellStyle name="Input 8" xfId="3770" xr:uid="{C9A81617-28C1-4498-A867-0177DB6BD312}"/>
    <cellStyle name="Input 9" xfId="3771" xr:uid="{29E88159-506B-4914-8BBE-9EF4E091E602}"/>
    <cellStyle name="Input box" xfId="3772" xr:uid="{8EE5A054-261B-40BF-95F0-3D721D2682E5}"/>
    <cellStyle name="Input screen" xfId="3773" xr:uid="{C9A50B9A-9601-43F7-90FB-5D36777A866E}"/>
    <cellStyle name="Inputs" xfId="3774" xr:uid="{3E2C411E-CB15-4322-83EB-952DAC1E041D}"/>
    <cellStyle name="Insatisfaisant" xfId="3775" xr:uid="{0DC7184B-C975-4368-B34E-BB433DBEF265}"/>
    <cellStyle name="Kolrubr" xfId="3776" xr:uid="{A6A4599D-6325-4F24-9DC0-F5A8AD9C3AB0}"/>
    <cellStyle name="Kolrubr låst" xfId="3777" xr:uid="{D7ABC316-65F5-4FA8-8894-FD39C970BFFA}"/>
    <cellStyle name="Kolumnrubrik" xfId="3778" xr:uid="{4E71D5EE-D0E3-4422-9789-697D8922B701}"/>
    <cellStyle name="Kolumnrubrik 2" xfId="3779" xr:uid="{EB03545C-5B6A-4888-942A-2AAE0E276119}"/>
    <cellStyle name="Kolumnrubrik 3" xfId="3780" xr:uid="{50A8516B-892A-4D6F-A17A-B80D1A14A337}"/>
    <cellStyle name="Kolumnrubrik 3 2" xfId="3781" xr:uid="{C3CC670E-F4B8-46FE-8456-E2E2C7AF031F}"/>
    <cellStyle name="Komma (0)" xfId="3782" xr:uid="{F202C50C-76A2-4D35-AD8D-CE891093D9CD}"/>
    <cellStyle name="Kommentarer" xfId="3783" xr:uid="{12E84D7C-9664-4709-B6F0-3445C70734D5}"/>
    <cellStyle name="KRADSFI" xfId="3784" xr:uid="{217B1368-026A-4C4B-9E7F-E802B96D125B}"/>
    <cellStyle name="KRADSFI 2" xfId="3785" xr:uid="{DF0647C0-3F62-41E5-9745-68763B837386}"/>
    <cellStyle name="KRADSFI 3" xfId="3786" xr:uid="{4C6BF199-7EE5-439F-B388-5664E8E35565}"/>
    <cellStyle name="KRADSFI 3 2" xfId="3787" xr:uid="{266B04CB-252D-4310-B6E6-C9C22625259D}"/>
    <cellStyle name="KRADSFI 4" xfId="3788" xr:uid="{69DC21B1-A074-434A-AE0F-C6BA3DE7CC0D}"/>
    <cellStyle name="KRADSFI 5" xfId="3789" xr:uid="{D253AE13-A0B8-4C6D-B45A-535DE29EB10A}"/>
    <cellStyle name="KRADSFI 6" xfId="3790" xr:uid="{9F9B6876-E0F1-4B87-B7EA-68A6D22BF9B4}"/>
    <cellStyle name="KRADSFI 7" xfId="3791" xr:uid="{8138BAAB-9B3D-46DC-B330-4717F2AEBE99}"/>
    <cellStyle name="KRADSFI_Equity" xfId="3792" xr:uid="{1A3EF2DA-A691-408D-8B77-59C6D858E417}"/>
    <cellStyle name="Lien hypertexte visité_SSJB  MICHELIN" xfId="3793" xr:uid="{290491E9-DDBD-48CB-A18E-F36262A8E394}"/>
    <cellStyle name="Lien hypertexte_SSJB  MICHELIN" xfId="3794" xr:uid="{50646CB3-D75B-47F3-B757-CB60EB52850E}"/>
    <cellStyle name="Linked Cell 10" xfId="3795" xr:uid="{2601F25A-7A72-4EE5-9C37-6E4206FF6C12}"/>
    <cellStyle name="Linked Cell 11" xfId="3796" xr:uid="{72029A30-FB14-46CE-AF3C-A51BB9707720}"/>
    <cellStyle name="Linked Cell 12" xfId="3797" xr:uid="{548CC1D1-B7B5-44F6-9D27-50D59338FA14}"/>
    <cellStyle name="Linked Cell 13" xfId="3798" xr:uid="{D9193BA4-D3B7-4926-9E56-0115C0B29152}"/>
    <cellStyle name="Linked Cell 2" xfId="3799" xr:uid="{FED1DD95-72BE-4120-8C00-AF59BEBA6209}"/>
    <cellStyle name="Linked Cell 2 10" xfId="3800" xr:uid="{8E54316E-64CF-44CF-A848-45320AF4A8FF}"/>
    <cellStyle name="Linked Cell 2 11" xfId="3801" xr:uid="{90FDF003-3A3E-4F91-8E9E-D19203E82DAD}"/>
    <cellStyle name="Linked Cell 2 12" xfId="3802" xr:uid="{37FA743A-519F-44DC-90F5-972FF9173529}"/>
    <cellStyle name="Linked Cell 2 13" xfId="3803" xr:uid="{067C8EC8-3A3A-4BA5-B177-2FF7CD95BDE2}"/>
    <cellStyle name="Linked Cell 2 14" xfId="3804" xr:uid="{B3B5D17C-7724-421D-8A3F-F25CEB8C0E48}"/>
    <cellStyle name="Linked Cell 2 15" xfId="3805" xr:uid="{05C12D91-35B3-4BDF-9B8C-849CF7E3C9A2}"/>
    <cellStyle name="Linked Cell 2 16" xfId="3806" xr:uid="{47687024-6D09-4197-8B7B-BE8CF583ED73}"/>
    <cellStyle name="Linked Cell 2 2" xfId="3807" xr:uid="{1937D2F3-166E-44E1-8EBA-B4E9A17A16DC}"/>
    <cellStyle name="Linked Cell 2 2 10" xfId="3808" xr:uid="{B97303E4-030B-4B08-A62A-9CC24D18B128}"/>
    <cellStyle name="Linked Cell 2 2 11" xfId="3809" xr:uid="{687FC162-DDC4-4740-A521-034A9DB9C174}"/>
    <cellStyle name="Linked Cell 2 2 12" xfId="3810" xr:uid="{11A86C68-6E28-46DD-9AEA-60121947D313}"/>
    <cellStyle name="Linked Cell 2 2 13" xfId="3811" xr:uid="{FBC335E5-216B-4285-AE8F-1CC0BF8CBFE3}"/>
    <cellStyle name="Linked Cell 2 2 14" xfId="3812" xr:uid="{1CD27B8D-E9A0-4B3F-A10F-6D2053A11C81}"/>
    <cellStyle name="Linked Cell 2 2 15" xfId="3813" xr:uid="{22AC9CD6-3CCC-451A-B23B-13A884C98979}"/>
    <cellStyle name="Linked Cell 2 2 2" xfId="3814" xr:uid="{0CF0D1A6-5C07-471F-95B5-2610094E72E3}"/>
    <cellStyle name="Linked Cell 2 2 3" xfId="3815" xr:uid="{9A340DAC-D0FC-4651-8218-CBD6EEABC550}"/>
    <cellStyle name="Linked Cell 2 2 4" xfId="3816" xr:uid="{F3C09942-F175-446A-9EB1-486EA4E05A54}"/>
    <cellStyle name="Linked Cell 2 2 5" xfId="3817" xr:uid="{356A0BA1-6238-42F8-916B-03925FC103BD}"/>
    <cellStyle name="Linked Cell 2 2 6" xfId="3818" xr:uid="{B9CF166B-6846-4E46-A7E5-514DE85BD301}"/>
    <cellStyle name="Linked Cell 2 2 7" xfId="3819" xr:uid="{BE91DB50-F824-46A7-AE21-AB4B90921887}"/>
    <cellStyle name="Linked Cell 2 2 8" xfId="3820" xr:uid="{5F708522-107E-43F4-8415-FF1A021B03B9}"/>
    <cellStyle name="Linked Cell 2 2 9" xfId="3821" xr:uid="{C257E411-8A8B-4016-BF4C-4ECA8AD71E19}"/>
    <cellStyle name="Linked Cell 2 2_Equity reconciliation 2013-03" xfId="3822" xr:uid="{F6E1736A-8E2B-400B-BE7C-CB7BC96C6AFA}"/>
    <cellStyle name="Linked Cell 2 3" xfId="3823" xr:uid="{2A1216B7-1B05-4E1A-88EB-AF8F21763D63}"/>
    <cellStyle name="Linked Cell 2 3 2" xfId="3824" xr:uid="{B8C5EA81-342B-494B-93B9-0EA583399205}"/>
    <cellStyle name="Linked Cell 2 3_Derivatives" xfId="3825" xr:uid="{F9BF059F-5317-4635-A1C7-C7A1ED8993EF}"/>
    <cellStyle name="Linked Cell 2 4" xfId="3826" xr:uid="{049A8309-6EC4-4725-A18E-7CD025E2F506}"/>
    <cellStyle name="Linked Cell 2 4 2" xfId="3827" xr:uid="{DF452240-C05F-40A6-9763-974FA42EED52}"/>
    <cellStyle name="Linked Cell 2 5" xfId="3828" xr:uid="{457E80B5-3054-4A5E-8F22-976060E73DA6}"/>
    <cellStyle name="Linked Cell 2 6" xfId="3829" xr:uid="{2A88582E-2160-4D3C-994F-CD734A8AC254}"/>
    <cellStyle name="Linked Cell 2 7" xfId="3830" xr:uid="{78FFD45E-3A14-4D04-A9E1-BF24F7D1F9ED}"/>
    <cellStyle name="Linked Cell 2 8" xfId="3831" xr:uid="{C53998EE-A54F-4AB7-9DB4-CF00664A4275}"/>
    <cellStyle name="Linked Cell 2 9" xfId="3832" xr:uid="{C87DBE43-3C9C-4FFE-88CE-5301E3368273}"/>
    <cellStyle name="Linked Cell 2_EQU" xfId="3833" xr:uid="{4BE237FB-BDF8-4425-B61C-8DB5E7CC3CE1}"/>
    <cellStyle name="Linked Cell 3" xfId="3834" xr:uid="{D524201D-11D0-4FA8-8F96-C633387A3BEB}"/>
    <cellStyle name="Linked Cell 3 2" xfId="3835" xr:uid="{17BC7AFE-164C-4943-B084-841D5751024F}"/>
    <cellStyle name="Linked Cell 3 3" xfId="3836" xr:uid="{7B8062E8-38F4-4F86-B7E4-4374B94024EF}"/>
    <cellStyle name="Linked Cell 3 4" xfId="3837" xr:uid="{03D1C261-0BF7-4DCF-B355-506662E1F99B}"/>
    <cellStyle name="Linked Cell 3 5" xfId="3838" xr:uid="{F94602A8-273E-4247-B386-21B829AE1262}"/>
    <cellStyle name="Linked Cell 3 6" xfId="3839" xr:uid="{D78A0761-435D-4CD5-933C-785650C3B237}"/>
    <cellStyle name="Linked Cell 3 7" xfId="3840" xr:uid="{74270118-8751-447F-B8CD-3344A66E9490}"/>
    <cellStyle name="Linked Cell 3 8" xfId="3841" xr:uid="{7F123A0E-FE0F-4896-B29D-13BD001A15F5}"/>
    <cellStyle name="Linked Cell 3 9" xfId="3842" xr:uid="{14B98CA4-8A5D-4DC4-9AF3-4257E45CE6B4}"/>
    <cellStyle name="Linked Cell 3_EQU" xfId="3843" xr:uid="{54895D00-20FF-4948-A5F0-1B8B25A82FB3}"/>
    <cellStyle name="Linked Cell 4" xfId="3844" xr:uid="{69FBBCD1-76D3-4E9F-B61F-70DA5C0CD129}"/>
    <cellStyle name="Linked Cell 4 2" xfId="3845" xr:uid="{C07977E0-125B-42A4-978E-7F0FFF213936}"/>
    <cellStyle name="Linked Cell 4_EQU" xfId="3846" xr:uid="{27276DE6-41F6-4BE5-AC7E-D6A88BF04553}"/>
    <cellStyle name="Linked Cell 5" xfId="3847" xr:uid="{B1CCBA1F-9E84-42F2-8679-2E6ADBD4F80B}"/>
    <cellStyle name="Linked Cell 6" xfId="3848" xr:uid="{65D9BECF-4ED6-4C8A-8824-768DC98329E2}"/>
    <cellStyle name="Linked Cell 7" xfId="3849" xr:uid="{EA629127-A7E1-4036-AC63-43E0B4586F5F}"/>
    <cellStyle name="Linked Cell 8" xfId="3850" xr:uid="{E94520BE-0BE1-40DF-9C52-1EB6F28970F4}"/>
    <cellStyle name="Linked Cell 9" xfId="3851" xr:uid="{4CDDB8ED-3261-45CC-81E5-0229774020F2}"/>
    <cellStyle name="Map Data Values" xfId="3852" xr:uid="{BEE19E8D-498D-4F2C-BB5A-20B11A4CE98E}"/>
    <cellStyle name="Map Data Values 2" xfId="3853" xr:uid="{80D65D4C-FD5E-4B36-B6ED-5CC592FFBE1E}"/>
    <cellStyle name="Map Data Values 2 2" xfId="3854" xr:uid="{19B30198-B403-495E-BBCA-7B06305EFF79}"/>
    <cellStyle name="Map Data Values 2_Bridges" xfId="3855" xr:uid="{D7425416-2D36-4B05-A9DB-BE1473363E52}"/>
    <cellStyle name="Map Data Values_evdre" xfId="3856" xr:uid="{A9926C7D-221B-4ABE-B031-59C0C6BF2D3A}"/>
    <cellStyle name="Map Distance" xfId="3857" xr:uid="{0A5946AE-ACEC-462A-AD62-B89D5464955C}"/>
    <cellStyle name="Map Distance 2" xfId="3858" xr:uid="{66BF5041-78C3-48EE-99E2-E3E81754A1F3}"/>
    <cellStyle name="Map Distance 2 2" xfId="3859" xr:uid="{B89B0691-A60E-45F7-A9A1-DEA7FCE5BBFF}"/>
    <cellStyle name="Map Distance 2_Bridges" xfId="3860" xr:uid="{67358DCD-A79F-4619-A5C4-097B1F88F1F5}"/>
    <cellStyle name="Map Distance_evdre" xfId="3861" xr:uid="{90310164-CB93-467C-B90A-AE139F558D60}"/>
    <cellStyle name="Map Legend" xfId="3862" xr:uid="{D76C9AC4-2149-4382-BB67-43B8DAED7060}"/>
    <cellStyle name="Map Legend 2" xfId="3863" xr:uid="{44BCD0EB-D5FE-4000-8C57-26D8BF95E116}"/>
    <cellStyle name="Map Legend 2 2" xfId="3864" xr:uid="{D8676AAA-61C1-46A7-9C33-1EFEC3371AC5}"/>
    <cellStyle name="Map Legend 2_Bridges" xfId="3865" xr:uid="{5D3FEF88-50DD-4E8E-9DE0-B6EB77D01757}"/>
    <cellStyle name="Map Legend_evdre" xfId="3866" xr:uid="{4177617F-B448-405D-9217-3CF01CCCF138}"/>
    <cellStyle name="Map Object Names" xfId="3867" xr:uid="{A5B92756-2FA9-4DC2-8C98-DC9510B32E36}"/>
    <cellStyle name="Map Object Names 2" xfId="3868" xr:uid="{C178E76A-FFB7-4775-AE2E-D4423905E3FF}"/>
    <cellStyle name="Map Object Names 2 2" xfId="3869" xr:uid="{9182FD72-64A6-4857-84F4-2C0D0B31213E}"/>
    <cellStyle name="Map Object Names 2_Bridges" xfId="3870" xr:uid="{9F2855FA-8165-42C3-BD0E-FEAE8B732814}"/>
    <cellStyle name="Map Object Names_evdre" xfId="3871" xr:uid="{6F1800C9-50D7-49D4-A705-5AC4BEC4E6BE}"/>
    <cellStyle name="Map Title" xfId="3872" xr:uid="{644FA5FA-2DC3-49F7-BCE8-02134D271D4C}"/>
    <cellStyle name="Map Title 2" xfId="3873" xr:uid="{CD103704-A37C-4263-BBE1-BB18905150B8}"/>
    <cellStyle name="Map Title 2 2" xfId="3874" xr:uid="{D8109EAC-6796-4034-AE62-545103E64FB8}"/>
    <cellStyle name="Map Title 2_Bridges" xfId="3875" xr:uid="{C4EB3C3C-CF87-484D-AC9E-2A3911CDF110}"/>
    <cellStyle name="Map Title_evdre" xfId="3876" xr:uid="{D1729139-5D2C-4DDF-A10A-6762D30E69A2}"/>
    <cellStyle name="Milliers [0]_Bourse96" xfId="3877" xr:uid="{6C61DFFB-CA95-4471-94A7-A9205A7AAB6E}"/>
    <cellStyle name="Milliers_Bourse96" xfId="3878" xr:uid="{F3FD650E-AD7C-4AA7-8AE5-B86203DFCF70}"/>
    <cellStyle name="Monétaire [0]_Bourse96" xfId="3879" xr:uid="{CED372E0-979B-4838-AD5C-5CE471150747}"/>
    <cellStyle name="Monétaire_Bourse96" xfId="3880" xr:uid="{4864FB15-3883-4CEF-B27C-F69E1C94AFE5}"/>
    <cellStyle name="Neutral 10" xfId="3881" xr:uid="{DC66D7D1-B94A-4CE4-ADF5-ABBB5DB2BCA5}"/>
    <cellStyle name="Neutral 11" xfId="3882" xr:uid="{2BA5EE4A-33A2-4B44-A2CE-6BB4C8DAFFF8}"/>
    <cellStyle name="Neutral 12" xfId="3883" xr:uid="{F06893BE-EC2A-4CAB-806B-F22E3296E187}"/>
    <cellStyle name="Neutral 13" xfId="3884" xr:uid="{73BF1D70-13BF-4BC1-A2FD-3D3ECD61419E}"/>
    <cellStyle name="Neutral 2" xfId="3885" xr:uid="{0BA553BB-24CF-48AB-BE82-BB8D8B1CF57B}"/>
    <cellStyle name="Neutral 2 10" xfId="3886" xr:uid="{9DBE9A43-1263-42F7-890A-84EA77245FF2}"/>
    <cellStyle name="Neutral 2 11" xfId="3887" xr:uid="{F7AD670A-DC8B-477A-9B3D-64596ED2EC70}"/>
    <cellStyle name="Neutral 2 12" xfId="3888" xr:uid="{F8CEDD6D-F2F8-40B3-B2F1-02F382904689}"/>
    <cellStyle name="Neutral 2 13" xfId="3889" xr:uid="{AEF70394-DCBB-4D0D-AA41-177ACDA2CBE3}"/>
    <cellStyle name="Neutral 2 14" xfId="3890" xr:uid="{3B190743-4FB1-4F7A-880B-0C67AB21ABFB}"/>
    <cellStyle name="Neutral 2 15" xfId="3891" xr:uid="{0D37B00E-AD56-4FCC-A823-39421AEF1358}"/>
    <cellStyle name="Neutral 2 16" xfId="3892" xr:uid="{8DCB8F20-D6A6-42F7-AFB0-B242213DB0CE}"/>
    <cellStyle name="Neutral 2 2" xfId="3893" xr:uid="{3BBD16A7-466D-4A73-BF43-BC34BE21774F}"/>
    <cellStyle name="Neutral 2 2 10" xfId="3894" xr:uid="{1293D569-4CBC-404E-9BCE-B598D1E4E1A9}"/>
    <cellStyle name="Neutral 2 2 11" xfId="3895" xr:uid="{9AE8372C-FA0D-4A11-92A3-AFE7683D375F}"/>
    <cellStyle name="Neutral 2 2 12" xfId="3896" xr:uid="{69D7CFEA-CAC7-4DC5-97B0-C61F90038B28}"/>
    <cellStyle name="Neutral 2 2 13" xfId="3897" xr:uid="{82679AB0-FB94-4105-85BF-256308E4C0F6}"/>
    <cellStyle name="Neutral 2 2 14" xfId="3898" xr:uid="{73621075-DD38-4752-9FA7-22A40DFCEC17}"/>
    <cellStyle name="Neutral 2 2 15" xfId="3899" xr:uid="{D53E02D6-D814-4F72-B4E5-35C8019AF371}"/>
    <cellStyle name="Neutral 2 2 2" xfId="3900" xr:uid="{AE563028-D3DB-42A1-9266-6319F1A8240F}"/>
    <cellStyle name="Neutral 2 2 3" xfId="3901" xr:uid="{8E29CABD-DE08-43EB-9529-1615CBDC3E6D}"/>
    <cellStyle name="Neutral 2 2 4" xfId="3902" xr:uid="{08C6AF8C-452A-444F-892A-0CC19CF864D5}"/>
    <cellStyle name="Neutral 2 2 5" xfId="3903" xr:uid="{DA18C0D9-7078-4D89-9E14-01161458F434}"/>
    <cellStyle name="Neutral 2 2 6" xfId="3904" xr:uid="{00A80AEE-A81E-4F66-B2E5-738856AC5227}"/>
    <cellStyle name="Neutral 2 2 7" xfId="3905" xr:uid="{9BD79615-E7A1-4220-BF8C-D6FD060CFF4B}"/>
    <cellStyle name="Neutral 2 2 8" xfId="3906" xr:uid="{78BC2B2B-41E6-4E6C-AD6F-8D6B79FB1099}"/>
    <cellStyle name="Neutral 2 2 9" xfId="3907" xr:uid="{DD3AF7D4-B8EC-4216-B2CF-92B804C1DE85}"/>
    <cellStyle name="Neutral 2 2_Equity reconciliation 2013-03" xfId="3908" xr:uid="{41D478EF-AB56-457F-8CBC-68877173242F}"/>
    <cellStyle name="Neutral 2 3" xfId="3909" xr:uid="{17E42FAE-EE27-4AC1-8C0C-3943FED9DF87}"/>
    <cellStyle name="Neutral 2 3 2" xfId="3910" xr:uid="{C5275660-4153-4DF6-8DEE-593844065BB5}"/>
    <cellStyle name="Neutral 2 3_Derivatives" xfId="3911" xr:uid="{028A2AD9-C6D9-47BE-A690-9B17F8A4F6BD}"/>
    <cellStyle name="Neutral 2 4" xfId="3912" xr:uid="{4E4C4659-B8C9-4E9C-9997-BA7C85120069}"/>
    <cellStyle name="Neutral 2 4 2" xfId="3913" xr:uid="{94B5671C-4933-43D6-8A04-57CB645814E4}"/>
    <cellStyle name="Neutral 2 5" xfId="3914" xr:uid="{F0B6D809-A7ED-4385-86B4-C24A2FE002E0}"/>
    <cellStyle name="Neutral 2 6" xfId="3915" xr:uid="{4704CFD7-6DC9-47C7-A09B-A2B98CD0FF56}"/>
    <cellStyle name="Neutral 2 7" xfId="3916" xr:uid="{E3881426-B2C3-4BF4-997D-866126F831FD}"/>
    <cellStyle name="Neutral 2 8" xfId="3917" xr:uid="{4D535D6F-86AD-4C63-9E04-377BEC8C150C}"/>
    <cellStyle name="Neutral 2 9" xfId="3918" xr:uid="{045AE601-701D-4BF0-A586-B912655ECC34}"/>
    <cellStyle name="Neutral 2_EQU" xfId="3919" xr:uid="{5D7044A3-CC9A-49DD-93C9-F06130E546FA}"/>
    <cellStyle name="Neutral 3" xfId="3920" xr:uid="{50FBBE8B-82A6-4F05-B5BB-BA85A0363038}"/>
    <cellStyle name="Neutral 3 2" xfId="3921" xr:uid="{D2FDB849-A0C8-4F2B-8836-04F2D3778FE1}"/>
    <cellStyle name="Neutral 3 3" xfId="3922" xr:uid="{05555CAC-05EF-42CD-B728-3A151222A2FB}"/>
    <cellStyle name="Neutral 3 4" xfId="3923" xr:uid="{9BDD8C49-3D26-4B7C-A7C7-DB075C447F13}"/>
    <cellStyle name="Neutral 3 5" xfId="3924" xr:uid="{68754FDC-A18E-44BF-8CBA-B1A95DDFED37}"/>
    <cellStyle name="Neutral 3 6" xfId="3925" xr:uid="{C1127BBE-53AA-4C3E-9FA6-EF038EEC7D56}"/>
    <cellStyle name="Neutral 3 7" xfId="3926" xr:uid="{7D37576E-9EFD-4E01-8F2B-52A4622B6261}"/>
    <cellStyle name="Neutral 3 8" xfId="3927" xr:uid="{E74BB316-9ACF-4EC0-83B4-3E6A6D4C7DCB}"/>
    <cellStyle name="Neutral 3 9" xfId="3928" xr:uid="{046CAA63-7764-45C9-A9E7-85B2B4B2F35D}"/>
    <cellStyle name="Neutral 3_EQU" xfId="3929" xr:uid="{F3F5F55E-0311-43B8-AC7A-F4D6FE0DC983}"/>
    <cellStyle name="Neutral 4" xfId="3930" xr:uid="{8154B80A-8457-4779-BD3A-4ABFBA07F7E7}"/>
    <cellStyle name="Neutral 4 2" xfId="3931" xr:uid="{F3388E3D-DEF5-43DD-9716-EDD90A29F94A}"/>
    <cellStyle name="Neutral 4_EQU" xfId="3932" xr:uid="{42832F5C-7296-43C5-A615-B985D494793E}"/>
    <cellStyle name="Neutral 5" xfId="3933" xr:uid="{59137A88-BBB8-40A7-91B8-4F4859DCDA31}"/>
    <cellStyle name="Neutral 6" xfId="3934" xr:uid="{B0F1BE7B-1B37-4CFE-B81E-91BFB8A437A4}"/>
    <cellStyle name="Neutral 7" xfId="3935" xr:uid="{1063D635-8B83-4FB2-A5DD-5BB8FB8C307D}"/>
    <cellStyle name="Neutral 8" xfId="3936" xr:uid="{AD2255F0-9A69-49D1-A091-837A64082F18}"/>
    <cellStyle name="Neutral 9" xfId="3937" xr:uid="{6802FD2F-EEDD-48CD-A359-0D13DC145C36}"/>
    <cellStyle name="Neutre" xfId="3938" xr:uid="{AA0C5680-D352-43B1-8166-0A1D99FA70CD}"/>
    <cellStyle name="newdate" xfId="3939" xr:uid="{A0616CC8-889D-48BF-BADC-871653069BE3}"/>
    <cellStyle name="Normal" xfId="0" builtinId="0"/>
    <cellStyle name="Normal - Style1" xfId="3940" xr:uid="{1AFC82CE-514C-4BC4-A8D6-88FA973D8161}"/>
    <cellStyle name="Normal - Style1 2" xfId="3941" xr:uid="{F6B44C93-77E7-4798-B10F-D9AE9D8CC6BE}"/>
    <cellStyle name="Normal - Style1 2 2" xfId="3942" xr:uid="{818999E5-8E07-44C1-B696-C2F59F173A2F}"/>
    <cellStyle name="Normal - Style1 2_Bridges" xfId="3943" xr:uid="{52B35AE3-E5CC-4276-9330-E026BB5E7E8B}"/>
    <cellStyle name="Normal - Style1_Derivatives" xfId="3944" xr:uid="{0A6F9A88-EF60-4CA5-AC11-F8F274BBC6BE}"/>
    <cellStyle name="Normal 10" xfId="3945" xr:uid="{957014D2-AD2E-43B4-8CE0-F7B55DA78B54}"/>
    <cellStyle name="Normal 10 2" xfId="3946" xr:uid="{C24FB0FF-BD7C-465F-B323-C5B9A7077ACF}"/>
    <cellStyle name="Normal 10 2 2" xfId="3947" xr:uid="{8687007E-C426-48C0-ABCD-4BE6C4F816FB}"/>
    <cellStyle name="Normal 10 2 2 2" xfId="3948" xr:uid="{315FA0BA-D98F-4B56-AC22-13AC7E9FC9F0}"/>
    <cellStyle name="Normal 10 2 2 2 2" xfId="3949" xr:uid="{3AC9E5EC-1A75-499A-A8D9-E9EAB4859F5D}"/>
    <cellStyle name="Normal 10 2 2 2 3" xfId="3950" xr:uid="{FEDE73F7-7083-4737-9173-0BBEF8507D77}"/>
    <cellStyle name="Normal 10 2 2 2_Bridge IR Q" xfId="3951" xr:uid="{1DF53993-36E6-48B9-825C-EB8D2E125DE3}"/>
    <cellStyle name="Normal 10 2 2 3" xfId="3952" xr:uid="{66C5FF2F-FA51-4A2A-B166-721F5804B0B4}"/>
    <cellStyle name="Normal 10 2 2 3 2" xfId="3953" xr:uid="{D044D9C5-EB8F-4ADF-B705-235F3BA7F956}"/>
    <cellStyle name="Normal 10 2 2 3 3" xfId="3954" xr:uid="{455F2027-E91D-4606-8473-9756D2E60E03}"/>
    <cellStyle name="Normal 10 2 2 3_Bridge IR Q" xfId="3955" xr:uid="{5F827AA3-ABC6-4E5E-9769-0BC08F7289FF}"/>
    <cellStyle name="Normal 10 2 2 4" xfId="3956" xr:uid="{250D2369-B567-472D-B2CD-30E64118AA7A}"/>
    <cellStyle name="Normal 10 2 2 5" xfId="3957" xr:uid="{B4CA2422-B816-4CAB-A967-A743FA35A34D}"/>
    <cellStyle name="Normal 10 2 2_Derivatives" xfId="3958" xr:uid="{42F05A3D-332E-4D0E-A095-760A70FE5820}"/>
    <cellStyle name="Normal 10 2 3" xfId="3959" xr:uid="{0526E0AC-F417-486A-BA36-F7A7F2B234E8}"/>
    <cellStyle name="Normal 10 2 3 2" xfId="3960" xr:uid="{047F69F0-980A-4823-B5E0-7C9A0109C099}"/>
    <cellStyle name="Normal 10 2 3 3" xfId="3961" xr:uid="{2FF2E7C0-AF5B-4B03-9B46-35DC4585751D}"/>
    <cellStyle name="Normal 10 2 3_Derivatives" xfId="3962" xr:uid="{63BABCAA-1D46-4FD0-83D2-DFA08A75FC5B}"/>
    <cellStyle name="Normal 10 2 4" xfId="3963" xr:uid="{ACCBFA86-A6A4-4852-A168-A40B8A3D3A77}"/>
    <cellStyle name="Normal 10 2 4 2" xfId="3964" xr:uid="{2220158D-1F19-4B73-AD86-49062C2C3B43}"/>
    <cellStyle name="Normal 10 2 4 3" xfId="3965" xr:uid="{5D00088C-9D40-46C8-B2FD-7DFF9360680F}"/>
    <cellStyle name="Normal 10 2 4_Derivatives" xfId="3966" xr:uid="{5617F879-225A-40F0-A843-521217F1FAFF}"/>
    <cellStyle name="Normal 10 2 5" xfId="3967" xr:uid="{E0A066EB-773F-4B4C-A154-C8DFE537EADF}"/>
    <cellStyle name="Normal 10 2 5 2" xfId="3968" xr:uid="{00D6B6C8-CA1C-4CF0-A8CF-45D11197D687}"/>
    <cellStyle name="Normal 10 2 5_Derivatives" xfId="3969" xr:uid="{66E3E102-246E-4A95-A844-08F98B7EE09A}"/>
    <cellStyle name="Normal 10 2 6" xfId="3970" xr:uid="{88295F05-49A1-4047-A97F-7B860D0509C2}"/>
    <cellStyle name="Normal 10 2 7" xfId="3971" xr:uid="{96440A1F-6B2F-4856-9299-C31E756322DC}"/>
    <cellStyle name="Normal 10 2_Derivatives" xfId="3972" xr:uid="{BF722AE6-52EB-4087-9EE3-BEF0F6FB81EE}"/>
    <cellStyle name="Normal 10 3" xfId="3973" xr:uid="{5636B594-C153-40BC-B872-DDFD6D354E36}"/>
    <cellStyle name="Normal 10 3 2" xfId="3974" xr:uid="{60C35E1E-8871-46CA-AFB4-0B4B9D4DED9C}"/>
    <cellStyle name="Normal 10 3 2 2" xfId="3975" xr:uid="{271DFE23-9BAD-400A-9A5A-20E29B97E8C7}"/>
    <cellStyle name="Normal 10 3 2 3" xfId="3976" xr:uid="{F2AC15DC-1888-41C9-807B-7DBE00BE32B1}"/>
    <cellStyle name="Normal 10 3 2_Derivatives" xfId="3977" xr:uid="{2965E59F-D74F-421F-BA47-55057CDE1A9C}"/>
    <cellStyle name="Normal 10 3 3" xfId="3978" xr:uid="{0C9719E6-5AE5-4D6C-9832-007A0E14CC38}"/>
    <cellStyle name="Normal 10 3 3 2" xfId="3979" xr:uid="{E98A729F-DDEC-4099-8A47-D25CE3182CDA}"/>
    <cellStyle name="Normal 10 3 3 3" xfId="3980" xr:uid="{043D78ED-DB1E-44BC-9FA7-341D68CD04E0}"/>
    <cellStyle name="Normal 10 3 3_Derivatives" xfId="3981" xr:uid="{685FEF97-2AB1-4B5E-AD1B-BA92756F13AE}"/>
    <cellStyle name="Normal 10 3 4" xfId="3982" xr:uid="{2C5074EE-EDE7-42C9-A4C4-6576A141E886}"/>
    <cellStyle name="Normal 10 3 5" xfId="3983" xr:uid="{DC170B94-C900-4376-852D-1FA835AD25C9}"/>
    <cellStyle name="Normal 10 3 6" xfId="3984" xr:uid="{6A06A5DB-A6DC-4FE8-8D88-035C2E23732B}"/>
    <cellStyle name="Normal 10 3_Derivatives" xfId="3985" xr:uid="{21E2DD4B-A36E-4BD9-BEE1-1A1C923CAE65}"/>
    <cellStyle name="Normal 10 4" xfId="3986" xr:uid="{6C269F7C-CB36-4327-ACF2-0E75B0BFB75E}"/>
    <cellStyle name="Normal 10 4 2" xfId="3987" xr:uid="{5987B93C-B77C-4548-BFC7-8B01B70044B7}"/>
    <cellStyle name="Normal 10 4 3" xfId="3988" xr:uid="{5D1A905A-CAB7-41AF-9B92-0C25765F254F}"/>
    <cellStyle name="Normal 10 4 4" xfId="3989" xr:uid="{97444272-B49E-4B76-B595-0927AEE1F883}"/>
    <cellStyle name="Normal 10 4 5" xfId="3990" xr:uid="{CC4B7D56-F304-41FD-8D06-D5DBDE7C398C}"/>
    <cellStyle name="Normal 10 5" xfId="3991" xr:uid="{11B21E9B-F551-4450-AD8C-38E2CE166BB4}"/>
    <cellStyle name="Normal 10 5 2" xfId="3992" xr:uid="{15FFA7D8-C565-4607-BE05-D517FCD686D2}"/>
    <cellStyle name="Normal 10 5 3" xfId="3993" xr:uid="{2056F5D5-E244-4088-8722-0D8382FC5CEE}"/>
    <cellStyle name="Normal 10 5_Derivatives" xfId="3994" xr:uid="{680366B1-0D8B-4E6F-A34E-BCD4F435B9E0}"/>
    <cellStyle name="Normal 10 6" xfId="3995" xr:uid="{06700A63-5B2E-4853-B029-B5654A4850E4}"/>
    <cellStyle name="Normal 10 6 2" xfId="3996" xr:uid="{9547E9EC-AEE1-4AB3-87BC-CDC5A52DE443}"/>
    <cellStyle name="Normal 10 6 3" xfId="3997" xr:uid="{823E8483-DAF2-49A4-8BED-A504B939432D}"/>
    <cellStyle name="Normal 10 6_Derivatives" xfId="3998" xr:uid="{CD870960-26F1-4B43-9AAE-37F05E68F3EA}"/>
    <cellStyle name="Normal 10 7" xfId="3999" xr:uid="{67E2F19A-FCA8-4FB2-B32D-A6DBF4D62B7F}"/>
    <cellStyle name="Normal 10 8" xfId="4000" xr:uid="{FFBFCF67-A4D9-4BE4-93AB-0D603FD8AF9A}"/>
    <cellStyle name="Normal 10_1 KeyFig" xfId="4001" xr:uid="{7788BDC7-028E-49C1-A3B6-DCD1B46A1AB9}"/>
    <cellStyle name="Normal 100" xfId="4002" xr:uid="{00BCB306-E690-4DD3-B9D4-3D194B6A812E}"/>
    <cellStyle name="Normal 101" xfId="4003" xr:uid="{FF85B122-622E-4282-9A8B-787645C5AEB1}"/>
    <cellStyle name="Normal 102" xfId="4004" xr:uid="{09263E1E-C4A3-4F7D-9548-270D1C75A00B}"/>
    <cellStyle name="Normal 103" xfId="4005" xr:uid="{3B02654C-3A8C-489B-912A-F539E8D6A11A}"/>
    <cellStyle name="Normal 104" xfId="4006" xr:uid="{4518C32E-8332-4C1A-A9F6-2D48E84BA943}"/>
    <cellStyle name="Normal 105" xfId="4007" xr:uid="{1309E941-3561-4DC4-A4FD-3595FC36635F}"/>
    <cellStyle name="Normal 106" xfId="4008" xr:uid="{422180D5-1EAA-4045-B341-BD9552529C8E}"/>
    <cellStyle name="Normal 107" xfId="4009" xr:uid="{D482B02E-F6BC-4A9E-BD1E-2C2E3997E0EA}"/>
    <cellStyle name="Normal 108" xfId="4010" xr:uid="{1268DF33-4574-45C1-9532-7221583CE23B}"/>
    <cellStyle name="Normal 109" xfId="4011" xr:uid="{61DE9208-310A-4931-9D68-F9FD8BB71E9A}"/>
    <cellStyle name="Normal 11" xfId="4012" xr:uid="{2B279A74-A982-4827-A650-6F3F1E8C5759}"/>
    <cellStyle name="Normal 11 2" xfId="4013" xr:uid="{D87879FF-4B20-4D44-9CCC-FF07CB6324AD}"/>
    <cellStyle name="Normal 11 3" xfId="4014" xr:uid="{C9F5DE61-001B-4665-9594-BE50D4FBFB1C}"/>
    <cellStyle name="Normal 11 4" xfId="4015" xr:uid="{EF126816-1ECB-4365-A542-0320990B70CF}"/>
    <cellStyle name="Normal 11 5" xfId="4016" xr:uid="{EB66ED60-E341-4660-8358-B30B99BB018F}"/>
    <cellStyle name="Normal 11_Derivatives" xfId="4017" xr:uid="{ECBCBAA4-B65A-44FF-8906-21580A21E98D}"/>
    <cellStyle name="Normal 110" xfId="4018" xr:uid="{048C4D24-4104-4586-BAEB-0A5F2E734AF1}"/>
    <cellStyle name="Normal 111" xfId="4019" xr:uid="{24F2AA24-240F-4419-BBA3-A6A2D11B2D0A}"/>
    <cellStyle name="Normal 112" xfId="4020" xr:uid="{B4096442-FA3F-4994-B332-094E0CDDF539}"/>
    <cellStyle name="Normal 113" xfId="4021" xr:uid="{E6AD2DC7-8A15-4719-9EE0-95925F2B0DD2}"/>
    <cellStyle name="Normal 114" xfId="4022" xr:uid="{EFE4FE72-25F4-41BE-B22E-01F6D6DCF172}"/>
    <cellStyle name="Normal 115" xfId="4023" xr:uid="{AFBF0918-998F-4716-B24E-004FD7FFAC78}"/>
    <cellStyle name="Normal 116" xfId="4024" xr:uid="{C6FB868A-7899-4A42-BFFC-A95A9B815404}"/>
    <cellStyle name="Normal 117" xfId="4025" xr:uid="{11A1086C-4CDF-4983-8307-927A74EC6E53}"/>
    <cellStyle name="Normal 118" xfId="4026" xr:uid="{A1FA66F2-369E-407C-8B5F-222A7A1DEE12}"/>
    <cellStyle name="Normal 119" xfId="4027" xr:uid="{FCE5FB74-9C3D-4EB7-A10B-694A794D754A}"/>
    <cellStyle name="Normal 12" xfId="4028" xr:uid="{37139072-4AE7-4689-8A84-9C42FBDB2901}"/>
    <cellStyle name="Normal 12 2" xfId="4029" xr:uid="{37C585CF-45B6-4B6F-835A-626F2CD9256A}"/>
    <cellStyle name="Normal 12 3" xfId="4030" xr:uid="{4A6B2140-6C7D-4B98-98FF-740F063195E5}"/>
    <cellStyle name="Normal 12 4" xfId="4031" xr:uid="{9F873C0D-ADEB-4643-A728-AF01C3F2D402}"/>
    <cellStyle name="Normal 12 5" xfId="4032" xr:uid="{74F018AB-6A92-457F-A258-FCF9CD98FD72}"/>
    <cellStyle name="Normal 12_Derivatives" xfId="4033" xr:uid="{3465B220-8734-4F8D-9229-E747E88B9D19}"/>
    <cellStyle name="Normal 120" xfId="4034" xr:uid="{C43A82AB-713E-45C4-93D9-774DE09F4946}"/>
    <cellStyle name="Normal 121" xfId="4035" xr:uid="{45FB1A81-21E1-4CAC-BDC5-3038CA95C883}"/>
    <cellStyle name="Normal 122" xfId="4036" xr:uid="{0428283D-3CE9-4777-8DF1-0CFCDF043BD1}"/>
    <cellStyle name="Normal 123" xfId="4037" xr:uid="{3468883C-C675-4BB4-A883-6DA3031F8852}"/>
    <cellStyle name="Normal 124" xfId="4038" xr:uid="{C2A36AC2-28A5-4B3A-BEAB-81101D3C3BF0}"/>
    <cellStyle name="Normal 125" xfId="4039" xr:uid="{61AFF28B-7E6F-41C3-8664-028E43740B43}"/>
    <cellStyle name="Normal 126" xfId="4040" xr:uid="{581B5814-CBDD-410A-B286-891697194AB4}"/>
    <cellStyle name="Normal 127" xfId="4041" xr:uid="{682C80C6-41D8-4365-8849-1BE99CC5CDAD}"/>
    <cellStyle name="Normal 128" xfId="4042" xr:uid="{64826511-B6C2-42CF-8008-1218B5723D6B}"/>
    <cellStyle name="Normal 129" xfId="4043" xr:uid="{694881FE-2CCD-45D0-8A6D-4A4637C527AF}"/>
    <cellStyle name="Normal 13" xfId="4044" xr:uid="{9B6C132B-C994-4907-A5BF-6EE1097C9C9C}"/>
    <cellStyle name="Normal 13 2" xfId="4045" xr:uid="{641A4DEC-46DC-41BC-A39C-006A50B7C8A9}"/>
    <cellStyle name="Normal 13 2 2" xfId="4046" xr:uid="{94C14276-91FB-4BB6-8F75-570FA46C0D05}"/>
    <cellStyle name="Normal 13 2 2 2" xfId="4047" xr:uid="{7D6549E2-3CE5-4B11-AA97-604886519E64}"/>
    <cellStyle name="Normal 13 2 2_Balance Sheet EC" xfId="4048" xr:uid="{50F8482A-A093-48A0-AA91-98A9AAFBA9D6}"/>
    <cellStyle name="Normal 13 2_Derivatives" xfId="4049" xr:uid="{8227ECD1-8D4E-4CCF-83C6-8AB72516DC72}"/>
    <cellStyle name="Normal 13 3" xfId="4050" xr:uid="{76C95140-03C9-42A9-987C-2CAC900D0058}"/>
    <cellStyle name="Normal 13 3 2" xfId="4051" xr:uid="{6267F97C-C403-4FC0-A3E7-0A54D0A09F17}"/>
    <cellStyle name="Normal 13 3_Balance Sheet EC" xfId="4052" xr:uid="{6CCF69FF-A22E-4C95-88C0-92AC1B9599C0}"/>
    <cellStyle name="Normal 13 4" xfId="4053" xr:uid="{C019ED64-8801-4A5F-9C82-DF9BDD44E1F5}"/>
    <cellStyle name="Normal 13 5" xfId="4054" xr:uid="{C5EFE934-A46A-4369-AC61-CFD66ABC92D2}"/>
    <cellStyle name="Normal 13_Derivatives" xfId="4055" xr:uid="{AF0833AB-3D23-4366-A6B7-4CAE9E7BBE34}"/>
    <cellStyle name="Normal 130" xfId="4056" xr:uid="{DED6741C-CBC4-4CB6-9627-58CB26713BC9}"/>
    <cellStyle name="Normal 131" xfId="4057" xr:uid="{3ABCD2CC-FB72-46E4-8C78-7E77CEB1E2D2}"/>
    <cellStyle name="Normal 132" xfId="4058" xr:uid="{8B90A9D7-FB28-4521-867C-619CE69B6807}"/>
    <cellStyle name="Normal 132 2" xfId="4059" xr:uid="{F94FBA3B-676F-43C6-AEA8-D8B558AB456C}"/>
    <cellStyle name="Normal 132_Note 14" xfId="4060" xr:uid="{215D906C-43DD-47C8-8B0B-639BB557535A}"/>
    <cellStyle name="Normal 133" xfId="4061" xr:uid="{BB94F165-1725-4CD5-A0DE-FCB90F026806}"/>
    <cellStyle name="Normal 134" xfId="4062" xr:uid="{9D678741-A1BB-4DD7-9614-C19B3132D0BE}"/>
    <cellStyle name="Normal 135" xfId="4063" xr:uid="{E85711F5-603E-47E1-A3D0-69C10F4942BB}"/>
    <cellStyle name="Normal 136" xfId="4064" xr:uid="{8F12AAB7-54CA-4A32-A4DF-5C8E69238183}"/>
    <cellStyle name="Normal 137" xfId="4065" xr:uid="{DCD7C44A-801F-4113-A643-DDCFE531133B}"/>
    <cellStyle name="Normal 138" xfId="4066" xr:uid="{1A0B0614-F48D-4F00-B220-04451143D73C}"/>
    <cellStyle name="Normal 139" xfId="4067" xr:uid="{C5657062-B683-44CA-B8C2-D3AA81063745}"/>
    <cellStyle name="Normal 14" xfId="4068" xr:uid="{7258FF8D-0696-4649-B447-04F137D0B61B}"/>
    <cellStyle name="Normal 14 2" xfId="4069" xr:uid="{9EC75DA9-7C5F-4D63-8878-15621B9B19F7}"/>
    <cellStyle name="Normal 14 2 2" xfId="4070" xr:uid="{DC358982-0FF3-4447-9C05-EF6E7B3A8A2D}"/>
    <cellStyle name="Normal 14 2 3" xfId="4071" xr:uid="{FAFD09FC-905D-4DB9-87B4-13355C852F97}"/>
    <cellStyle name="Normal 14 2 4" xfId="4072" xr:uid="{6B096D5B-8769-4ABA-B77C-2DA9DE3E12BB}"/>
    <cellStyle name="Normal 14 2 5" xfId="4073" xr:uid="{6C1C24AA-5C97-4150-862C-8897CB1682C5}"/>
    <cellStyle name="Normal 14 2_EQU" xfId="4074" xr:uid="{6F0D6DF3-BB89-4EF9-85B4-F8F35B63F5BE}"/>
    <cellStyle name="Normal 14 3" xfId="4075" xr:uid="{1B97D6F6-AD96-4E43-A156-3E5F7545EA88}"/>
    <cellStyle name="Normal 14 4" xfId="4076" xr:uid="{BE587AA4-F8BF-4AF3-BFBF-17F5079764DB}"/>
    <cellStyle name="Normal 14 5" xfId="4077" xr:uid="{B5119E14-8F95-4F3C-AED9-33FF8C0904ED}"/>
    <cellStyle name="Normal 14_EQU" xfId="4078" xr:uid="{1C063856-FB46-4B2D-948B-E4738B0F667D}"/>
    <cellStyle name="Normal 140" xfId="4079" xr:uid="{FBC1396D-6491-498D-830E-A6402FD0AD53}"/>
    <cellStyle name="Normal 141" xfId="4080" xr:uid="{E1684FA8-05D4-45BA-98E0-3F394D53768C}"/>
    <cellStyle name="Normal 142" xfId="4081" xr:uid="{409EF82E-4602-432D-8FA6-71D024C2089A}"/>
    <cellStyle name="Normal 143" xfId="4082" xr:uid="{25F636A3-4E83-4391-BC05-7024151DC45F}"/>
    <cellStyle name="Normal 144" xfId="4083" xr:uid="{F395A0D7-010C-41DA-A8F3-F3150C8273D6}"/>
    <cellStyle name="Normal 145" xfId="4084" xr:uid="{E8FEE7AC-E2DE-4144-8E28-64936AE78636}"/>
    <cellStyle name="Normal 146" xfId="4085" xr:uid="{CCF553B4-8FAD-4B03-B9B7-26449164F522}"/>
    <cellStyle name="Normal 147" xfId="4086" xr:uid="{B1493790-21BF-4CE6-9EE0-31B520FD813F}"/>
    <cellStyle name="Normal 148" xfId="4087" xr:uid="{2F86E2A7-565A-478D-9C24-F54873C57951}"/>
    <cellStyle name="Normal 149" xfId="4088" xr:uid="{3CA11345-2306-4431-BDCB-6D5276978EFC}"/>
    <cellStyle name="Normal 15" xfId="4089" xr:uid="{AB889403-7BB0-4AFD-B4FA-C88141D29A69}"/>
    <cellStyle name="Normal 15 2" xfId="4090" xr:uid="{A2EA8340-FD96-4947-94F0-635B7760F9E8}"/>
    <cellStyle name="Normal 15 3" xfId="4091" xr:uid="{122880E4-AC47-4AAC-B9BD-62AD31B8D169}"/>
    <cellStyle name="Normal 15 4" xfId="4092" xr:uid="{B3AF1952-994A-4E80-9DD8-E28F5350E029}"/>
    <cellStyle name="Normal 15 5" xfId="4093" xr:uid="{F84F1DB8-F766-44C5-B1EB-E570791F15E3}"/>
    <cellStyle name="Normal 15_EQU" xfId="4094" xr:uid="{6F8B7B1C-ED0E-45AC-9C33-0C644EC508AE}"/>
    <cellStyle name="Normal 150" xfId="4095" xr:uid="{5395BF2E-B89B-4E84-9C06-518C8565B65C}"/>
    <cellStyle name="Normal 151" xfId="4096" xr:uid="{7A7BA215-17D4-4B6B-BCD1-6A924A4AAF29}"/>
    <cellStyle name="Normal 152" xfId="4097" xr:uid="{B4935845-EE1B-413A-B88D-EE4A0AE9A010}"/>
    <cellStyle name="Normal 153" xfId="4098" xr:uid="{AD0F8FDD-237A-42EC-A64C-329E21A2D7DF}"/>
    <cellStyle name="Normal 154" xfId="4099" xr:uid="{BD4AB994-A04F-46F7-B4F6-35C5AA87F1CE}"/>
    <cellStyle name="Normal 155" xfId="4100" xr:uid="{5D3E50D4-1A41-4F5D-BC89-646535985BC7}"/>
    <cellStyle name="Normal 156" xfId="4101" xr:uid="{3CA629C3-AFA3-4586-97EA-8C3A9B2CE0E9}"/>
    <cellStyle name="Normal 157" xfId="4102" xr:uid="{11556A70-719F-49B8-84A0-7B86DEC61E4C}"/>
    <cellStyle name="Normal 158" xfId="4103" xr:uid="{F99740D5-F2FE-4CEC-BB5C-CFF718357849}"/>
    <cellStyle name="Normal 159" xfId="4104" xr:uid="{B118C52B-7511-4BFD-9413-9C33CB004C8C}"/>
    <cellStyle name="Normal 16" xfId="4105" xr:uid="{92F26576-0AE9-4BDB-A5CE-5B258BBB28AE}"/>
    <cellStyle name="Normal 16 2" xfId="4106" xr:uid="{B90B512E-0DAE-4154-BDDC-90EE6615E367}"/>
    <cellStyle name="Normal 16 3" xfId="4107" xr:uid="{11EEA566-DF75-4A59-BF4B-EE861DF6E2D7}"/>
    <cellStyle name="Normal 16 4" xfId="4108" xr:uid="{E91B051D-AC06-400A-B5FC-0236A2E6C139}"/>
    <cellStyle name="Normal 16 5" xfId="4109" xr:uid="{CD1C196D-5C7C-4A3B-9EF3-B179DC6165DE}"/>
    <cellStyle name="Normal 16_14Geo" xfId="4110" xr:uid="{6FA16DA1-E578-4A73-928D-CEAC1D8E9613}"/>
    <cellStyle name="Normal 160" xfId="4111" xr:uid="{EBACBC83-2600-41D3-A9D0-59DA24399C21}"/>
    <cellStyle name="Normal 161" xfId="4112" xr:uid="{263DBE7E-2E0B-46F7-92E4-48B8916637A8}"/>
    <cellStyle name="Normal 162" xfId="4113" xr:uid="{E4489DD5-20C7-4DDD-B664-D7B6478ACA12}"/>
    <cellStyle name="Normal 163" xfId="4114" xr:uid="{17AA4B82-3A0B-4C50-A808-4999CF76E125}"/>
    <cellStyle name="Normal 164" xfId="4115" xr:uid="{3EF50268-0325-4276-B314-BF125C5EC68C}"/>
    <cellStyle name="Normal 165" xfId="4116" xr:uid="{50D3A58F-23E1-4B73-AECD-0D9DDC8D3FC6}"/>
    <cellStyle name="Normal 166" xfId="4117" xr:uid="{1D584934-8351-4E93-949F-ED66BAD43F43}"/>
    <cellStyle name="Normal 167" xfId="4118" xr:uid="{F573FE05-1180-4E34-A0C6-4024E9358E47}"/>
    <cellStyle name="Normal 168" xfId="4119" xr:uid="{EC47B73F-0CF2-4E19-A0E9-732B954B5CCE}"/>
    <cellStyle name="Normal 169" xfId="4120" xr:uid="{C7FCBC43-F05E-4144-A87E-E7CD649B4F09}"/>
    <cellStyle name="Normal 17" xfId="4121" xr:uid="{D5FB9A7A-6FA9-413E-B967-EC2A1BD9879D}"/>
    <cellStyle name="Normal 17 2" xfId="4122" xr:uid="{0B0B60E4-A1D3-4C78-99D1-18444EEA1474}"/>
    <cellStyle name="Normal 17 3" xfId="4123" xr:uid="{675F7AD6-F290-47D3-A070-FA57F375E8DA}"/>
    <cellStyle name="Normal 17 4" xfId="4124" xr:uid="{7376C582-FEDE-46D9-BF9C-8A07597DCDD8}"/>
    <cellStyle name="Normal 17 5" xfId="4125" xr:uid="{2F9D625D-4839-4401-BB9C-8614BC0D616B}"/>
    <cellStyle name="Normal 17_1 KeyFig" xfId="4126" xr:uid="{8FB10F93-4918-4902-BCA7-591B92D38813}"/>
    <cellStyle name="Normal 170" xfId="4127" xr:uid="{EACAC95A-8A18-486A-966F-76EEBB085AB9}"/>
    <cellStyle name="Normal 171" xfId="4128" xr:uid="{7B953009-215A-4226-B49E-3DFD6CF80B45}"/>
    <cellStyle name="Normal 172" xfId="4129" xr:uid="{0AFA9FAB-3967-46F3-920A-FF824E6A21D0}"/>
    <cellStyle name="Normal 173" xfId="4130" xr:uid="{A8630521-FFCA-4028-BA78-66B44D1FD484}"/>
    <cellStyle name="Normal 174" xfId="4131" xr:uid="{3EA6EAF0-088E-4FF3-9E64-B4E77734269A}"/>
    <cellStyle name="Normal 175" xfId="4132" xr:uid="{37AC5B9A-E1AE-4825-B828-243BADAA8346}"/>
    <cellStyle name="Normal 176" xfId="4133" xr:uid="{A6A74CA2-8AEF-4F39-9864-D4F45B5B639E}"/>
    <cellStyle name="Normal 177" xfId="4134" xr:uid="{696D1867-258D-4A91-B51F-3BE029741B7E}"/>
    <cellStyle name="Normal 178" xfId="4135" xr:uid="{9D8CAFDD-D5BC-413D-AA60-52BD65D044C8}"/>
    <cellStyle name="Normal 179" xfId="4136" xr:uid="{1147F5F0-0587-47D8-805E-912F305EB479}"/>
    <cellStyle name="Normal 18" xfId="4137" xr:uid="{59A6F8A9-7982-4FD1-87FD-DF6E73112614}"/>
    <cellStyle name="Normal 18 2" xfId="4138" xr:uid="{17411AB4-B51C-4C1B-903E-A906DD105B42}"/>
    <cellStyle name="Normal 18_1 KeyFig" xfId="4139" xr:uid="{F85BD998-3226-4556-AE8E-3E4DA5310C62}"/>
    <cellStyle name="Normal 180" xfId="4140" xr:uid="{6C6DFB25-9C0E-447C-9E44-35E27E2FAB3F}"/>
    <cellStyle name="Normal 181" xfId="4141" xr:uid="{A7239A45-ADE6-493F-BD22-BA10300381D1}"/>
    <cellStyle name="Normal 181 2" xfId="4142" xr:uid="{E74587CB-6C5D-4D30-AD7D-BD2BFCDEF2C9}"/>
    <cellStyle name="Normal 182" xfId="6792" xr:uid="{3208DD11-EAB4-4319-B501-EBE8F2BD2483}"/>
    <cellStyle name="Normal 183" xfId="6791" xr:uid="{40697946-BF95-45B8-A031-A19569EEACC0}"/>
    <cellStyle name="Normal 189" xfId="4143" xr:uid="{530B6D82-6F37-49E1-B713-2E92EAB58FAD}"/>
    <cellStyle name="Normal 189 2" xfId="4144" xr:uid="{683DD6A4-642B-42D7-8FC4-D945436EEC63}"/>
    <cellStyle name="Normal 189_1 KeyFig" xfId="4145" xr:uid="{570F79C0-563B-4ECA-98FD-C3A550FAF3D3}"/>
    <cellStyle name="Normal 19" xfId="4146" xr:uid="{74F7602B-B785-41C5-9E94-5667C625BF51}"/>
    <cellStyle name="Normal 19 2" xfId="4147" xr:uid="{F557DD5D-F34D-4FE7-997F-E4E8C64A22D9}"/>
    <cellStyle name="Normal 19 3" xfId="4148" xr:uid="{1825B32D-539F-4044-B7B6-D5FFBC8A3506}"/>
    <cellStyle name="Normal 19 4" xfId="4149" xr:uid="{6B34F21E-659E-46C9-BAC7-340BB01A1E1E}"/>
    <cellStyle name="Normal 19 5" xfId="4150" xr:uid="{EB7DB7D0-77E8-4142-9DCB-6DE213081F6A}"/>
    <cellStyle name="Normal 19_1 KeyFig" xfId="4151" xr:uid="{14850500-805E-47FB-955B-52E4ED35FAF8}"/>
    <cellStyle name="Normal 2" xfId="4152" xr:uid="{C77A6BF2-5DF3-417C-9B23-F9872FE03C8B}"/>
    <cellStyle name="Normal 2 10" xfId="4153" xr:uid="{68C76F79-A3FB-4DEC-9087-BC95B26D94EF}"/>
    <cellStyle name="Normal 2 11" xfId="4154" xr:uid="{3B10BC56-196A-424F-98D4-0F6117F96BDA}"/>
    <cellStyle name="Normal 2 11 2" xfId="4155" xr:uid="{E3390382-6096-4472-B9C0-352FEC4143AE}"/>
    <cellStyle name="Normal 2 11_1 KeyFig" xfId="4156" xr:uid="{828D3625-D2ED-4543-A1A6-A673E425547E}"/>
    <cellStyle name="Normal 2 12" xfId="4157" xr:uid="{34AAD795-1774-4AEE-82A4-349CAA022DC3}"/>
    <cellStyle name="Normal 2 12 2" xfId="4158" xr:uid="{F2B3C0A2-FFEA-4FF5-98D4-4DF64F4ADB27}"/>
    <cellStyle name="Normal 2 12 3" xfId="4159" xr:uid="{6D990547-F385-494A-9D44-CAA017F35215}"/>
    <cellStyle name="Normal 2 12_1 KeyFig" xfId="4160" xr:uid="{6FDD9084-A1CC-4FCA-92DE-4C3A0E4A542C}"/>
    <cellStyle name="Normal 2 13" xfId="4161" xr:uid="{ECA9277E-46F2-46C4-9031-4E5922C7A687}"/>
    <cellStyle name="Normal 2 13 2" xfId="4162" xr:uid="{4E129DBF-09FA-4001-9194-EA4C6FD9635B}"/>
    <cellStyle name="Normal 2 13_1 KeyFig" xfId="4163" xr:uid="{68AF576D-F51D-4513-9652-9D873A9FEA8D}"/>
    <cellStyle name="Normal 2 14" xfId="4164" xr:uid="{81882782-77B3-4E2C-B1CC-315E2CBC6EB8}"/>
    <cellStyle name="Normal 2 14 2" xfId="4165" xr:uid="{AAB9C3D9-5B40-4F35-BAA2-06A26E883DA1}"/>
    <cellStyle name="Normal 2 14_1 KeyFig" xfId="4166" xr:uid="{D676DB69-38D7-420D-9D7B-B04410227EAA}"/>
    <cellStyle name="Normal 2 15" xfId="4167" xr:uid="{91623550-F2EF-4895-908A-8132BF2DBD1E}"/>
    <cellStyle name="Normal 2 15 2" xfId="4168" xr:uid="{40622702-B554-46F9-815B-8C99AD334A52}"/>
    <cellStyle name="Normal 2 15_1 KeyFig" xfId="4169" xr:uid="{1B0E9F3C-43D1-4C2D-82A3-23CD236C00D9}"/>
    <cellStyle name="Normal 2 16" xfId="4170" xr:uid="{1E59DA5C-EF01-4B56-8CC0-6AC17C3DEF16}"/>
    <cellStyle name="Normal 2 16 2" xfId="4171" xr:uid="{C9C6D353-DD47-4135-8054-A9D30BB448BE}"/>
    <cellStyle name="Normal 2 16_1 KeyFig" xfId="4172" xr:uid="{35E0FAC7-E655-429D-A7AA-E7C065D9E0C0}"/>
    <cellStyle name="Normal 2 17" xfId="4173" xr:uid="{9FE14007-76D8-4DFA-8040-CA11287D4DBB}"/>
    <cellStyle name="Normal 2 18" xfId="4174" xr:uid="{391F7B1A-8F67-4EDA-9826-185D1250B84B}"/>
    <cellStyle name="Normal 2 18 2" xfId="4175" xr:uid="{2588B441-F2DE-4B19-BADB-5A98A423DAB4}"/>
    <cellStyle name="Normal 2 18_1 KeyFig" xfId="4176" xr:uid="{5D1769A6-F725-47C8-927F-8155D45EEC78}"/>
    <cellStyle name="Normal 2 19" xfId="4177" xr:uid="{50F3B657-326E-485F-A393-027FF67B1494}"/>
    <cellStyle name="Normal 2 19 2" xfId="4178" xr:uid="{EA201534-16EE-4885-BA89-532A931EA15F}"/>
    <cellStyle name="Normal 2 19_1 KeyFig" xfId="4179" xr:uid="{84F4BAD5-9FD1-47DF-8754-F8690B21B488}"/>
    <cellStyle name="Normal 2 2" xfId="4180" xr:uid="{FE75AE09-7330-4D4E-984B-9EC2B14AFB83}"/>
    <cellStyle name="Normal 2 2 10" xfId="4181" xr:uid="{9DD86F2E-5DA1-4B46-ADF2-B99A28A10A53}"/>
    <cellStyle name="Normal 2 2 11" xfId="4182" xr:uid="{0F4459B8-48B0-47E4-A454-0A02677E6208}"/>
    <cellStyle name="Normal 2 2 12" xfId="4183" xr:uid="{E3910F7C-1F5A-412A-AD4A-603F3C496F65}"/>
    <cellStyle name="Normal 2 2 13" xfId="4184" xr:uid="{17010239-FE95-47C5-872F-B522942E4BE2}"/>
    <cellStyle name="Normal 2 2 2" xfId="4185" xr:uid="{C3FC14F6-E021-477B-B21E-94A44FDBDAC7}"/>
    <cellStyle name="Normal 2 2 2 2" xfId="4186" xr:uid="{DADC186B-32BB-4DC5-BB39-37F998D04A14}"/>
    <cellStyle name="Normal 2 2 2 3" xfId="4187" xr:uid="{881B4208-D713-4849-ABF6-71A70DE053C0}"/>
    <cellStyle name="Normal 2 2 2 4" xfId="4188" xr:uid="{70511842-C0AE-4390-8B82-C6D7520F44FB}"/>
    <cellStyle name="Normal 2 2 2_1 KeyFig" xfId="4189" xr:uid="{664790C9-4567-4EAE-A990-1B94590F740F}"/>
    <cellStyle name="Normal 2 2 3" xfId="4190" xr:uid="{258B8283-0337-48E6-AB86-0A0E3794CD9F}"/>
    <cellStyle name="Normal 2 2 3 2" xfId="4191" xr:uid="{C139EB80-17AB-462C-9829-5627E71A396F}"/>
    <cellStyle name="Normal 2 2 3 3" xfId="4192" xr:uid="{E21A4019-28A4-4B9A-9DAA-FB675E4CB5FF}"/>
    <cellStyle name="Normal 2 2 3 4" xfId="4193" xr:uid="{0587B106-B004-4901-B9A7-212DC70DD5AB}"/>
    <cellStyle name="Normal 2 2 3 5" xfId="4194" xr:uid="{1D681A2B-0180-4ECA-9A8D-4158D4AB4C67}"/>
    <cellStyle name="Normal 2 2 3_1 KeyFig" xfId="4195" xr:uid="{0A1BEDBB-6A59-45A3-B163-47E580742D34}"/>
    <cellStyle name="Normal 2 2 4" xfId="4196" xr:uid="{2BBD5910-67E4-486E-B59F-211D19377186}"/>
    <cellStyle name="Normal 2 2 4 2" xfId="4197" xr:uid="{2D8A6C5F-0722-4B94-80A2-F919D4E7BC2A}"/>
    <cellStyle name="Normal 2 2 4 3" xfId="4198" xr:uid="{02D021BE-26BB-48C6-BD8B-48F39ADDC2B5}"/>
    <cellStyle name="Normal 2 2 4 4" xfId="4199" xr:uid="{56815711-A77A-411F-80F2-32682A3B7AC4}"/>
    <cellStyle name="Normal 2 2 4 5" xfId="4200" xr:uid="{752312DF-80F0-46B4-8767-4E53B32E9306}"/>
    <cellStyle name="Normal 2 2 4_1 KeyFig" xfId="4201" xr:uid="{935802DE-D81C-45F9-950A-225CFD413B54}"/>
    <cellStyle name="Normal 2 2 5" xfId="4202" xr:uid="{833BB664-D107-46A6-8CD4-0CB704B9AA7A}"/>
    <cellStyle name="Normal 2 2 5 2" xfId="4203" xr:uid="{7E98C338-62BB-44F4-A799-0AC2E81A2B28}"/>
    <cellStyle name="Normal 2 2 5_1 KeyFig" xfId="4204" xr:uid="{00F7EAD5-4A9B-4239-B3F7-A720AFEC4757}"/>
    <cellStyle name="Normal 2 2 6" xfId="4205" xr:uid="{B97E391B-31EE-4B22-A662-6A3121E23249}"/>
    <cellStyle name="Normal 2 2 6 2" xfId="4206" xr:uid="{FCAD3327-CFCF-41E9-AE69-8F18EB89725A}"/>
    <cellStyle name="Normal 2 2 6 3" xfId="4207" xr:uid="{28252447-F993-43E2-A457-F4006BCDD662}"/>
    <cellStyle name="Normal 2 2 6 4" xfId="4208" xr:uid="{8541E9EA-9D0D-45EB-89A1-2053D72318B4}"/>
    <cellStyle name="Normal 2 2 6 5" xfId="4209" xr:uid="{2CF27B10-BCF8-40CB-9554-ACFF42B77B47}"/>
    <cellStyle name="Normal 2 2 6_1 KeyFig" xfId="4210" xr:uid="{2DF2798C-A151-4F98-ACEE-9C4081EE3968}"/>
    <cellStyle name="Normal 2 2 7" xfId="4211" xr:uid="{3C850235-8A39-4E53-BBFB-6D8597FE5246}"/>
    <cellStyle name="Normal 2 2 7 2" xfId="4212" xr:uid="{30AF469B-67FC-4CE6-914A-15E5FDFF81B6}"/>
    <cellStyle name="Normal 2 2 7_1 KeyFig" xfId="4213" xr:uid="{66A0AE42-F8B1-4158-BC67-7BB44C8AA006}"/>
    <cellStyle name="Normal 2 2 8" xfId="4214" xr:uid="{76C76747-D49E-43C9-B04F-CA7953A6C484}"/>
    <cellStyle name="Normal 2 2 8 2" xfId="4215" xr:uid="{6D4425AA-9C3E-44EA-BC50-812F7F1631C1}"/>
    <cellStyle name="Normal 2 2 8_1 KeyFig" xfId="4216" xr:uid="{AD359202-D877-42ED-83F0-4CA350869291}"/>
    <cellStyle name="Normal 2 2 9" xfId="4217" xr:uid="{41446873-6C40-419F-B352-B66B0CDFB0D8}"/>
    <cellStyle name="Normal 2 2 9 2" xfId="4218" xr:uid="{DB09122F-6591-4C7C-B0C5-91C19FF0BBA0}"/>
    <cellStyle name="Normal 2 2 9_1 KeyFig" xfId="4219" xr:uid="{9F5CC122-717C-4F4D-94D7-401067F83573}"/>
    <cellStyle name="Normal 2 2_1 KeyFig" xfId="4220" xr:uid="{1F67FAC9-E3A2-4F64-94B0-156C54991C73}"/>
    <cellStyle name="Normal 2 20" xfId="4221" xr:uid="{B7F49D7D-3C8C-4BF6-A1B4-D3C6B05B5388}"/>
    <cellStyle name="Normal 2 21" xfId="4222" xr:uid="{74BF7B71-6593-4CEF-96F7-2D008B63A0D2}"/>
    <cellStyle name="Normal 2 22" xfId="4223" xr:uid="{5488E36A-CA5C-4268-B9DE-E9C504761D13}"/>
    <cellStyle name="Normal 2 23" xfId="4224" xr:uid="{411C0DBD-CD4A-411C-9327-3FB8563FA825}"/>
    <cellStyle name="Normal 2 3" xfId="4225" xr:uid="{E4D50BCF-1A33-4173-ACCA-F32FD51C86BC}"/>
    <cellStyle name="Normal 2 3 2" xfId="4226" xr:uid="{10B19391-590F-4D7A-B7AF-1EBF2EA678E9}"/>
    <cellStyle name="Normal 2 3 2 2" xfId="4227" xr:uid="{2CD2276B-3673-4DC1-96C4-52AB78BD2CBF}"/>
    <cellStyle name="Normal 2 3 2 3" xfId="4228" xr:uid="{E1D096D9-9ED7-40DA-B400-D0776423EAE8}"/>
    <cellStyle name="Normal 2 3 2 4" xfId="4229" xr:uid="{C08D4B92-15F9-4BB2-AA2C-51D58591D614}"/>
    <cellStyle name="Normal 2 3 2 5" xfId="4230" xr:uid="{61E77487-DE6F-42AE-9716-5CD556047B4C}"/>
    <cellStyle name="Normal 2 3 2_1 KeyFig" xfId="4231" xr:uid="{BE7431EF-CB72-44EA-A814-C03C9611ACEE}"/>
    <cellStyle name="Normal 2 3 3" xfId="4232" xr:uid="{BE3CD408-BCFA-4275-B840-C06921FED8B2}"/>
    <cellStyle name="Normal 2 3 3 2" xfId="4233" xr:uid="{FAE12AB3-2845-43C2-B7C1-EAD14D205B8C}"/>
    <cellStyle name="Normal 2 3 3 3" xfId="4234" xr:uid="{3D50AD1F-A016-4B03-89E5-67260BD8ED95}"/>
    <cellStyle name="Normal 2 3 3 4" xfId="4235" xr:uid="{0137E151-606D-43B5-95F2-AA6ABB447CA6}"/>
    <cellStyle name="Normal 2 3 3 5" xfId="4236" xr:uid="{AE560B2A-6D05-44D4-AD5B-569214CF0A87}"/>
    <cellStyle name="Normal 2 3 3_1 KeyFig" xfId="4237" xr:uid="{44FF303A-EBE4-4CE2-89EF-C4EEEACF44C4}"/>
    <cellStyle name="Normal 2 3 4" xfId="4238" xr:uid="{23BD34E1-2EE5-47D3-A72E-4F214471C877}"/>
    <cellStyle name="Normal 2 3 4 2" xfId="4239" xr:uid="{0D8D9657-CA45-4B0E-B3BF-BE18043688A9}"/>
    <cellStyle name="Normal 2 3 4 2 2" xfId="4240" xr:uid="{114565A2-D391-422B-A2D1-31A230349219}"/>
    <cellStyle name="Normal 2 3 4 2_Bridge IR Q" xfId="4241" xr:uid="{AA30C0DF-C2D6-4340-BF00-48D1DAA97ACB}"/>
    <cellStyle name="Normal 2 3 4 3" xfId="4242" xr:uid="{060283F8-EB5D-47B9-9AC4-1823091C961A}"/>
    <cellStyle name="Normal 2 3 4 4" xfId="4243" xr:uid="{D8E857AE-6E0D-4182-B9BF-344D8309C7DE}"/>
    <cellStyle name="Normal 2 3 4 5" xfId="4244" xr:uid="{B8F955C8-383F-44B2-8E5E-C40939E321A7}"/>
    <cellStyle name="Normal 2 3 4_1 KeyFig" xfId="4245" xr:uid="{B10729DB-D797-41A7-A897-F44A59E3FE5C}"/>
    <cellStyle name="Normal 2 3 5" xfId="4246" xr:uid="{E4993977-F144-4CB2-A95B-896DBFC865FD}"/>
    <cellStyle name="Normal 2 3 6" xfId="4247" xr:uid="{62D5E036-E5A3-409F-93F7-A0B96A6172A3}"/>
    <cellStyle name="Normal 2 3 7" xfId="4248" xr:uid="{F77CCBB6-6747-4899-AA41-975F637D3BA3}"/>
    <cellStyle name="Normal 2 3 8" xfId="4249" xr:uid="{0D4FAA2F-42BC-4375-A8F0-28B02577CD02}"/>
    <cellStyle name="Normal 2 3 9" xfId="4250" xr:uid="{0436C501-4F85-45A5-AFC9-B9B5FE95ECE9}"/>
    <cellStyle name="Normal 2 3_1 KeyFig" xfId="4251" xr:uid="{E0BA6406-36E7-42B1-AC87-15B767C1DF96}"/>
    <cellStyle name="Normal 2 4" xfId="4252" xr:uid="{AB7E0904-36D9-4C1E-9EE8-A3FDB6D9DB27}"/>
    <cellStyle name="Normal 2 4 2" xfId="4253" xr:uid="{A696B74F-E315-47C1-A296-3DD011DD972C}"/>
    <cellStyle name="Normal 2 4 3" xfId="4254" xr:uid="{DD548545-4B92-4C47-9CD9-9C4D538491D2}"/>
    <cellStyle name="Normal 2 4 4" xfId="4255" xr:uid="{0072275E-A055-40DE-A1F3-AD84053C2CFD}"/>
    <cellStyle name="Normal 2 4 5" xfId="4256" xr:uid="{06846D19-FA90-410C-A9FF-44C0A069BDD6}"/>
    <cellStyle name="Normal 2 4 6" xfId="4257" xr:uid="{D5C19E17-ACAE-4D60-B303-F82F97B4BA02}"/>
    <cellStyle name="Normal 2 4 7" xfId="4258" xr:uid="{D3F8AA7C-08F2-423B-BBB5-58FB13A1A8DC}"/>
    <cellStyle name="Normal 2 4_1 KeyFig" xfId="4259" xr:uid="{08AE96BB-9E10-42B4-9891-1FD679112568}"/>
    <cellStyle name="Normal 2 5" xfId="4260" xr:uid="{0F41C578-8AB1-4FC4-9B5C-0E1E4657E85F}"/>
    <cellStyle name="Normal 2 5 10" xfId="4261" xr:uid="{3610B95E-B22E-4694-94BF-1966C38A8107}"/>
    <cellStyle name="Normal 2 5 2" xfId="4262" xr:uid="{2731985F-A051-4E42-966E-BFC6BB661BFE}"/>
    <cellStyle name="Normal 2 5 3" xfId="4263" xr:uid="{C9D7F731-05BD-43A4-9867-53135F3E6357}"/>
    <cellStyle name="Normal 2 5 4" xfId="4264" xr:uid="{B374B43A-5FD4-49EE-9D0E-0878A47A09AF}"/>
    <cellStyle name="Normal 2 5 5" xfId="4265" xr:uid="{ABB57685-313A-4DFC-B5FD-75C18353B35A}"/>
    <cellStyle name="Normal 2 5 6" xfId="4266" xr:uid="{2DCDCA0A-2D02-456C-B7F8-5D9FB01AC317}"/>
    <cellStyle name="Normal 2 5 7" xfId="4267" xr:uid="{7CC4B8DB-8C1F-4039-8792-F11E174748C9}"/>
    <cellStyle name="Normal 2 5 8" xfId="4268" xr:uid="{A62802D4-66B2-4E02-B3B7-A7609303B354}"/>
    <cellStyle name="Normal 2 5 9" xfId="4269" xr:uid="{A0B3A771-E08A-406B-8B6E-76A4044179FD}"/>
    <cellStyle name="Normal 2 5_1 KeyFig" xfId="4270" xr:uid="{511FF520-C6DF-4281-8D28-938ACE9BD6D7}"/>
    <cellStyle name="Normal 2 6" xfId="4271" xr:uid="{8D701A5B-0783-4089-A669-3AC3B0085EE5}"/>
    <cellStyle name="Normal 2 6 2" xfId="4272" xr:uid="{F1EC2770-0E2E-4020-91A1-B19417B9B646}"/>
    <cellStyle name="Normal 2 6 3" xfId="4273" xr:uid="{02CB5592-6B15-4DAE-B1E1-D11D89CF59E3}"/>
    <cellStyle name="Normal 2 6 4" xfId="4274" xr:uid="{00AF0609-652C-4ACB-BAB8-604160E54D39}"/>
    <cellStyle name="Normal 2 6 5" xfId="4275" xr:uid="{C853CB36-8321-4762-B5AC-3A10897AC8B1}"/>
    <cellStyle name="Normal 2 6 6" xfId="4276" xr:uid="{03900DCF-3F8F-4E1D-80CC-7065B1634299}"/>
    <cellStyle name="Normal 2 6 7" xfId="4277" xr:uid="{9ED5F763-0AAE-42A6-90AE-FD0793AD2FA9}"/>
    <cellStyle name="Normal 2 6 8" xfId="4278" xr:uid="{690B5902-2D83-4D81-BE7A-8E5A1FA8B383}"/>
    <cellStyle name="Normal 2 6_1 KeyFig" xfId="4279" xr:uid="{C5A94253-8E7A-4B29-B159-F75C9DF904C8}"/>
    <cellStyle name="Normal 2 7" xfId="4280" xr:uid="{132A754E-CDF8-4591-BBD2-964A2C45B3B1}"/>
    <cellStyle name="Normal 2 7 2" xfId="4281" xr:uid="{F8AB3C44-DEA8-4D66-8885-9ABA5AB7CFE3}"/>
    <cellStyle name="Normal 2 7 3" xfId="4282" xr:uid="{2B61DB49-61E6-4575-9FAF-FAA569D254E6}"/>
    <cellStyle name="Normal 2 7 4" xfId="4283" xr:uid="{81EBD3DF-0A08-46DA-AA27-D47E089C3706}"/>
    <cellStyle name="Normal 2 7 5" xfId="4284" xr:uid="{ABA2DFE9-3BBE-4EF0-AB0A-2D7A60B872A2}"/>
    <cellStyle name="Normal 2 7 6" xfId="4285" xr:uid="{6FAC0CEA-57EE-45D1-BFA8-6DB18BD766A1}"/>
    <cellStyle name="Normal 2 7_1 KeyFig" xfId="4286" xr:uid="{026D661A-50F8-4C8C-A17C-4097E04D558B}"/>
    <cellStyle name="Normal 2 8" xfId="4287" xr:uid="{C9B3EBF5-5DC0-4217-A517-D47FFACDC8DC}"/>
    <cellStyle name="Normal 2 9" xfId="4288" xr:uid="{B622EC2C-CC62-49AC-9197-26BC5CA4EBB3}"/>
    <cellStyle name="Normal 2_1 KeyFig" xfId="4289" xr:uid="{518C8EDB-4622-4E6F-B8CB-38BEDFFF5615}"/>
    <cellStyle name="Normal 20" xfId="4290" xr:uid="{B6A8B8F7-27F3-49D7-9827-996318DFC8E6}"/>
    <cellStyle name="Normal 20 2" xfId="4291" xr:uid="{6ABF7594-4264-440D-9F08-F013689B9A68}"/>
    <cellStyle name="Normal 20 3" xfId="4292" xr:uid="{568FFE03-67CD-47DF-A54A-F818C202FEBA}"/>
    <cellStyle name="Normal 20 4" xfId="4293" xr:uid="{3231F5A9-264B-4053-9E2F-E233887637E9}"/>
    <cellStyle name="Normal 20 5" xfId="4294" xr:uid="{5FD8B21E-78A6-4F80-843E-7B808CBD92F5}"/>
    <cellStyle name="Normal 20_1 KeyFig" xfId="4295" xr:uid="{0B8A8262-9DE6-4567-9B12-71BE947D283F}"/>
    <cellStyle name="Normal 21" xfId="4296" xr:uid="{7DC9C2EC-BB31-4634-9007-6F618D96205C}"/>
    <cellStyle name="Normal 22" xfId="4297" xr:uid="{B52B34E3-AA69-4A2A-805A-ACC70F545DA7}"/>
    <cellStyle name="Normal 22 2" xfId="4298" xr:uid="{9ED3C7DB-D19D-4EA6-982F-7A97EDA8B200}"/>
    <cellStyle name="Normal 22 3" xfId="4299" xr:uid="{A425B5D8-C696-40D2-A014-7C19A049E375}"/>
    <cellStyle name="Normal 22 4" xfId="4300" xr:uid="{D0F91F00-9D3F-40CF-884B-F14F28C77C26}"/>
    <cellStyle name="Normal 22 5" xfId="4301" xr:uid="{340257F8-DC42-4794-B88D-C1CF9C286D9F}"/>
    <cellStyle name="Normal 22_1 KeyFig" xfId="4302" xr:uid="{525B59BA-8DA3-4C66-8012-DE007C73DF24}"/>
    <cellStyle name="Normal 23" xfId="4303" xr:uid="{20C7C23A-085D-4BF2-9B25-9840F9A7A585}"/>
    <cellStyle name="Normal 24" xfId="4304" xr:uid="{BB466E0A-158E-4A1F-8251-3C66F6CA8691}"/>
    <cellStyle name="Normal 24 2" xfId="4305" xr:uid="{08365D8C-F1AC-44C0-B697-8CCB0ED3AC06}"/>
    <cellStyle name="Normal 24 3" xfId="4306" xr:uid="{C47F4E30-F54D-4217-8EC9-A23248D4B554}"/>
    <cellStyle name="Normal 24 4" xfId="4307" xr:uid="{7DAD43EA-9B4B-47D0-A144-E13E990A81A3}"/>
    <cellStyle name="Normal 24 5" xfId="4308" xr:uid="{9279400D-1B60-4377-83EC-5C2BF06B3433}"/>
    <cellStyle name="Normal 24_1 KeyFig" xfId="4309" xr:uid="{B7662838-BF14-4AE5-B7FC-280D3A2E07C6}"/>
    <cellStyle name="Normal 25" xfId="4310" xr:uid="{501979B9-6216-4CB8-A1F6-06F511CB338B}"/>
    <cellStyle name="Normal 26" xfId="4311" xr:uid="{F4C2545C-62C5-4CC8-813E-BB0E5CC7D95A}"/>
    <cellStyle name="Normal 27" xfId="4312" xr:uid="{B28D3EF8-9096-4847-A1AA-BF93F0D47F43}"/>
    <cellStyle name="Normal 28" xfId="4313" xr:uid="{09C11A36-443C-4F29-8C76-35D60BC03D2E}"/>
    <cellStyle name="Normal 29" xfId="4314" xr:uid="{F2AE16A6-CA92-4139-912A-3D938A46C5FC}"/>
    <cellStyle name="Normal 3" xfId="4315" xr:uid="{DCE009D4-24DA-473B-AA3C-2AAB3FFEA70D}"/>
    <cellStyle name="Normal 3 10" xfId="4316" xr:uid="{50D7B196-CEC1-4260-810F-BF157A9263CD}"/>
    <cellStyle name="Normal 3 11" xfId="4317" xr:uid="{CA077EF7-E03F-46A8-850B-41CA7C6956DA}"/>
    <cellStyle name="Normal 3 12" xfId="4318" xr:uid="{5DCDBD00-D17C-4DD7-B7A6-DEEC09A70D38}"/>
    <cellStyle name="Normal 3 13" xfId="4319" xr:uid="{6413607F-B8D0-473E-9BCE-AC8D7A6B6BE0}"/>
    <cellStyle name="Normal 3 2" xfId="4320" xr:uid="{C4D6366B-014A-4A50-9E15-20B2C1911E59}"/>
    <cellStyle name="Normal 3 2 2" xfId="4321" xr:uid="{1CAB5055-95F9-4538-8488-7F56F4B34545}"/>
    <cellStyle name="Normal 3 2 2 2" xfId="4322" xr:uid="{750DA9F7-1056-48F0-BF3F-C32EDD2B0F40}"/>
    <cellStyle name="Normal 3 2 2 3" xfId="4323" xr:uid="{45DE884B-0797-4B60-8663-075AF558D8DF}"/>
    <cellStyle name="Normal 3 2 2_1 KeyFig" xfId="4324" xr:uid="{62A56345-2B82-40D5-9E94-6622EDC5572B}"/>
    <cellStyle name="Normal 3 2 3" xfId="4325" xr:uid="{1F4D6C85-BF2A-4031-AC2B-3BB42649C308}"/>
    <cellStyle name="Normal 3 2 3 2" xfId="4326" xr:uid="{7CE156A9-4465-432C-8724-0601D3EC7842}"/>
    <cellStyle name="Normal 3 2 3 2 2" xfId="4327" xr:uid="{0FCA0CA8-C72B-4861-B091-EE20CCBE1040}"/>
    <cellStyle name="Normal 3 2 3 2 3" xfId="4328" xr:uid="{AFFC824A-C2B3-454E-AD6B-27E48B41D0FA}"/>
    <cellStyle name="Normal 3 2 3 2_1 KeyFig" xfId="4329" xr:uid="{4680D41E-C7AB-4549-B75A-B523457E5795}"/>
    <cellStyle name="Normal 3 2 3 3" xfId="4330" xr:uid="{E129DA14-652D-44FD-94C0-92AB14D6A38A}"/>
    <cellStyle name="Normal 3 2 3 3 2" xfId="4331" xr:uid="{CA3225BA-6826-4932-A106-3F1E5A0FD552}"/>
    <cellStyle name="Normal 3 2 3 3 3" xfId="4332" xr:uid="{63BC5342-8FE8-439A-8C10-4A62E5F46F1F}"/>
    <cellStyle name="Normal 3 2 3 3_1 KeyFig" xfId="4333" xr:uid="{4E829636-AA0E-4153-BB74-98CE41B638E8}"/>
    <cellStyle name="Normal 3 2 3 4" xfId="4334" xr:uid="{2ECFA6DA-7180-4220-8405-276AE6A5195F}"/>
    <cellStyle name="Normal 3 2 3 5" xfId="4335" xr:uid="{8AED13C0-DEF9-4129-B8CE-2C6976B179D7}"/>
    <cellStyle name="Normal 3 2 3 5 2" xfId="4336" xr:uid="{C3935D2C-8B60-4DF2-AFAF-D5402881AA6D}"/>
    <cellStyle name="Normal 3 2 3 5_Bridge IR Q" xfId="4337" xr:uid="{820395F5-DCAC-4039-A031-EF5D3393B492}"/>
    <cellStyle name="Normal 3 2 3_1 KeyFig" xfId="4338" xr:uid="{BA203E2E-3D8F-4C95-A197-5CBA3FA6894C}"/>
    <cellStyle name="Normal 3 2 4" xfId="4339" xr:uid="{0340883A-78AC-495F-9FF3-35579A2B15CE}"/>
    <cellStyle name="Normal 3 2 5" xfId="4340" xr:uid="{131F122E-6519-4821-80C1-53B3D38B05C1}"/>
    <cellStyle name="Normal 3 2 6" xfId="4341" xr:uid="{EA8058EB-B0E1-4394-8986-7E31AE68D022}"/>
    <cellStyle name="Normal 3 2 7" xfId="4342" xr:uid="{4B7DB2E9-9DD4-4B36-B41D-DAE6708F8618}"/>
    <cellStyle name="Normal 3 2_1 KeyFig" xfId="4343" xr:uid="{3AB30B9D-47CB-4063-A70B-CC2875D84521}"/>
    <cellStyle name="Normal 3 3" xfId="4344" xr:uid="{4411F396-F4ED-4E6C-A4DF-123CBEF22625}"/>
    <cellStyle name="Normal 3 3 2" xfId="4345" xr:uid="{C5858553-6B5C-4D0F-BACA-8E96BA8EED38}"/>
    <cellStyle name="Normal 3 3 3" xfId="4346" xr:uid="{58CE5346-F0F3-4FC6-BB3F-1B81BD801FA1}"/>
    <cellStyle name="Normal 3 3 3 2" xfId="4347" xr:uid="{D55F1652-95AF-4BC3-9F19-89B8FF323E45}"/>
    <cellStyle name="Normal 3 3 3 2 2" xfId="4348" xr:uid="{5B3844D6-7A3B-4ACF-AA0E-8C1B72D12BB4}"/>
    <cellStyle name="Normal 3 3 3 2 3" xfId="4349" xr:uid="{0A852B47-138E-4444-9BA9-A9E1C26722AB}"/>
    <cellStyle name="Normal 3 3 3 2_Bridge IR Q" xfId="4350" xr:uid="{477A7ED6-8D9C-45A1-8EF9-6A60259DC93A}"/>
    <cellStyle name="Normal 3 3 3 3" xfId="4351" xr:uid="{CBC8BB25-AF2C-4ACA-AD8B-8EB6475E6030}"/>
    <cellStyle name="Normal 3 3 3 3 2" xfId="4352" xr:uid="{05885D53-D67C-43F1-8912-BD452BC5151F}"/>
    <cellStyle name="Normal 3 3 3 3 3" xfId="4353" xr:uid="{8649FF26-036F-4397-90C0-A61AACDC0BEB}"/>
    <cellStyle name="Normal 3 3 3 3_Bridge IR Q" xfId="4354" xr:uid="{8EA1D896-DEF0-4FE3-9796-E8978E027734}"/>
    <cellStyle name="Normal 3 3 3 4" xfId="4355" xr:uid="{FA716AF8-29B0-4579-B40E-F12F3A2F5A59}"/>
    <cellStyle name="Normal 3 3 3 5" xfId="4356" xr:uid="{0BFBDC7B-BA3D-4A8B-A31B-33E27D643C22}"/>
    <cellStyle name="Normal 3 3 3_1 KeyFig" xfId="4357" xr:uid="{517E2030-506B-40CD-8533-8F40D6B07A6E}"/>
    <cellStyle name="Normal 3 3 4" xfId="4358" xr:uid="{C3948995-9293-4E79-9FB1-9854C3CA7707}"/>
    <cellStyle name="Normal 3 3 4 2" xfId="4359" xr:uid="{B232614F-EBE9-493B-BC13-95CE61B87F53}"/>
    <cellStyle name="Normal 3 3 4 3" xfId="4360" xr:uid="{31C947BB-70DA-4922-BA9D-5A517D9DB755}"/>
    <cellStyle name="Normal 3 3 4_1 KeyFig" xfId="4361" xr:uid="{474A3DA9-7C44-479C-A181-4FEC336C28D7}"/>
    <cellStyle name="Normal 3 3 5" xfId="4362" xr:uid="{5B90DEFB-71D2-4E8C-806B-98933A07B156}"/>
    <cellStyle name="Normal 3 3 5 2" xfId="4363" xr:uid="{D2F99740-58FE-46EA-8655-27A807603CBC}"/>
    <cellStyle name="Normal 3 3 5 3" xfId="4364" xr:uid="{58A6A180-46A7-4A09-8F44-7A7C3A053D09}"/>
    <cellStyle name="Normal 3 3 5_1 KeyFig" xfId="4365" xr:uid="{CF65A1A7-C27E-422A-A10C-51403070C983}"/>
    <cellStyle name="Normal 3 3 6" xfId="4366" xr:uid="{0DA607F8-12D6-48A1-A120-33FEC8B073E9}"/>
    <cellStyle name="Normal 3 3 7" xfId="4367" xr:uid="{C7BDA514-B3E4-4959-8957-33CAD6B4F715}"/>
    <cellStyle name="Normal 3 3 8" xfId="4368" xr:uid="{C245ADD3-2395-4521-A70D-0829FB869F9B}"/>
    <cellStyle name="Normal 3 3_1 KeyFig" xfId="4369" xr:uid="{94CE5DCE-DECE-411E-9FE2-E354312E4729}"/>
    <cellStyle name="Normal 3 4" xfId="4370" xr:uid="{05063E7A-EAD3-4F57-8732-ED47F0D59641}"/>
    <cellStyle name="Normal 3 4 2" xfId="4371" xr:uid="{B955C97B-5BD2-4762-81B4-76E8AC826F88}"/>
    <cellStyle name="Normal 3 4 2 2" xfId="4372" xr:uid="{DEC42040-DCAE-44A0-98FD-9ACA7EC79B16}"/>
    <cellStyle name="Normal 3 4 2 3" xfId="4373" xr:uid="{6211B345-1ECD-48EB-A39B-0272DBD19A61}"/>
    <cellStyle name="Normal 3 4 2 4" xfId="4374" xr:uid="{3E569954-3E96-4C2B-88FB-F620BD14A55A}"/>
    <cellStyle name="Normal 3 4 2 5" xfId="4375" xr:uid="{0217BB1D-87D8-43D2-945F-B93C64508D3A}"/>
    <cellStyle name="Normal 3 4 2_1 KeyFig" xfId="4376" xr:uid="{4B20C6B9-A7E0-41A4-A584-24FD6171D2B1}"/>
    <cellStyle name="Normal 3 4 3" xfId="4377" xr:uid="{69FF2840-AE8E-46C6-81DD-1C4E16560570}"/>
    <cellStyle name="Normal 3 4 4" xfId="4378" xr:uid="{587A2E78-39B9-4A94-9756-B9684B349A08}"/>
    <cellStyle name="Normal 3 4 5" xfId="4379" xr:uid="{56A9B3D1-415B-4794-B8E1-B911B319C3C9}"/>
    <cellStyle name="Normal 3 4_1 KeyFig" xfId="4380" xr:uid="{281BE097-3C9A-4EA2-8257-675DB7CCCADF}"/>
    <cellStyle name="Normal 3 5" xfId="4381" xr:uid="{FE697466-A03A-42A3-9445-CF7AAD89A4D6}"/>
    <cellStyle name="Normal 3 5 2" xfId="4382" xr:uid="{8589E4C1-9F88-4DF5-BF0C-249830B2D729}"/>
    <cellStyle name="Normal 3 5 3" xfId="4383" xr:uid="{687825FE-FADD-4FB7-9735-2F4F3AFDE70B}"/>
    <cellStyle name="Normal 3 5 4" xfId="4384" xr:uid="{002C695D-0A6A-48DE-9BDB-BF73BA1B77AF}"/>
    <cellStyle name="Normal 3 5 5" xfId="4385" xr:uid="{39A6A119-768A-4E11-9CFF-E3CBEB819D27}"/>
    <cellStyle name="Normal 3 5_1 KeyFig" xfId="4386" xr:uid="{0A663199-2856-4124-AFFB-87E679D4A0CE}"/>
    <cellStyle name="Normal 3 6" xfId="4387" xr:uid="{C91173AA-F410-4B75-A2DF-1E5017919613}"/>
    <cellStyle name="Normal 3 6 2" xfId="4388" xr:uid="{9756DF20-5228-4BDE-BC39-D7CB3AB0C3BE}"/>
    <cellStyle name="Normal 3 6 3" xfId="4389" xr:uid="{D64A01B2-7432-4D3C-8257-9209A52F9237}"/>
    <cellStyle name="Normal 3 6 4" xfId="4390" xr:uid="{C6509D40-B74B-41DB-A628-4A4FB27787D8}"/>
    <cellStyle name="Normal 3 6_1 KeyFig" xfId="4391" xr:uid="{E838BF8C-B3B9-4BAE-BC28-55DF16E04F46}"/>
    <cellStyle name="Normal 3 7" xfId="4392" xr:uid="{450BCC1D-0C0C-4069-8FEA-AEA50784C97A}"/>
    <cellStyle name="Normal 3 7 2" xfId="4393" xr:uid="{86CF724C-2BCC-474A-9284-AE1A1E1E46F3}"/>
    <cellStyle name="Normal 3 7_1 KeyFig" xfId="4394" xr:uid="{294004FB-C1E3-42E3-8748-E1D59EDE1CDF}"/>
    <cellStyle name="Normal 3 8" xfId="4395" xr:uid="{5C4A3BB6-5C22-40A7-963A-A5CC1CB691F2}"/>
    <cellStyle name="Normal 3 8 2" xfId="4396" xr:uid="{007109A5-6A7A-49D2-9711-ECBF88F76771}"/>
    <cellStyle name="Normal 3 8 2 2" xfId="4397" xr:uid="{9730DBF3-CDA9-455D-8FE0-84408DEBA99F}"/>
    <cellStyle name="Normal 3 8 2 3" xfId="4398" xr:uid="{1BB99357-B583-4430-9B2D-31A55935DD68}"/>
    <cellStyle name="Normal 3 8 2_Bridge IR Q" xfId="4399" xr:uid="{E8B2956F-A574-4AA9-95E7-5507625AF9F9}"/>
    <cellStyle name="Normal 3 8 3" xfId="4400" xr:uid="{55CA4E81-E87A-4A0B-977B-5FBA45B838CD}"/>
    <cellStyle name="Normal 3 8 3 2" xfId="4401" xr:uid="{A6A4367C-0B87-4737-8115-940706DC93C2}"/>
    <cellStyle name="Normal 3 8 3 3" xfId="4402" xr:uid="{B2F81D47-B6FF-4A3A-AE4B-7C95A29946AA}"/>
    <cellStyle name="Normal 3 8 3_Bridge IR Q" xfId="4403" xr:uid="{49D56A59-30AC-4AC1-A946-9BC3A5BEA2A2}"/>
    <cellStyle name="Normal 3 8 4" xfId="4404" xr:uid="{85075AC8-D951-44CF-94C0-652F89DC3E18}"/>
    <cellStyle name="Normal 3 8 5" xfId="4405" xr:uid="{F2D3591A-AA40-487E-AA16-C101B1973F21}"/>
    <cellStyle name="Normal 3 8 6" xfId="4406" xr:uid="{9142A4AE-98CF-40C2-9D06-1863A93F1B48}"/>
    <cellStyle name="Normal 3 8_1 KeyFig" xfId="4407" xr:uid="{52C32422-5D27-479E-85F2-56BCCAE526A6}"/>
    <cellStyle name="Normal 3 9" xfId="4408" xr:uid="{98BBBBD4-5347-4910-B819-F7B3AC960740}"/>
    <cellStyle name="Normal 3 9 2" xfId="4409" xr:uid="{F92180EF-0880-4F9A-9696-C0EECB6D87E7}"/>
    <cellStyle name="Normal 3 9 2 2" xfId="4410" xr:uid="{C7392D8A-593A-4836-AD49-F6D8BA2E7152}"/>
    <cellStyle name="Normal 3 9 2 3" xfId="4411" xr:uid="{665F782C-7B9A-4114-8715-5CF5E84D662A}"/>
    <cellStyle name="Normal 3 9 2_Bridge IR Q" xfId="4412" xr:uid="{BC5B17D6-7243-4BD6-89E8-77688303B36A}"/>
    <cellStyle name="Normal 3 9 3" xfId="4413" xr:uid="{6D91855A-C514-4D37-87F1-31FC5D9E0E4B}"/>
    <cellStyle name="Normal 3 9 3 2" xfId="4414" xr:uid="{7163DA34-562B-4C97-BEB1-2058512BCAA4}"/>
    <cellStyle name="Normal 3 9 3 3" xfId="4415" xr:uid="{63073A41-60FF-46DA-9321-D9B7893EE1D2}"/>
    <cellStyle name="Normal 3 9 3_Bridge IR Q" xfId="4416" xr:uid="{D5910A22-E754-45CB-A64B-BF8954042463}"/>
    <cellStyle name="Normal 3 9 4" xfId="4417" xr:uid="{4CDAE8A4-F35D-4C72-AE2A-3E621E626A50}"/>
    <cellStyle name="Normal 3 9 5" xfId="4418" xr:uid="{50036AEF-C7B5-480B-BCDA-DCEF17C0426C}"/>
    <cellStyle name="Normal 3 9_1 KeyFig" xfId="4419" xr:uid="{2BD0D550-AEEC-4633-BA89-C2D806012068}"/>
    <cellStyle name="Normal 3_1 KeyFig" xfId="4420" xr:uid="{D701B326-C58F-45D7-B2F2-D74B1FE1D9C5}"/>
    <cellStyle name="Normal 30" xfId="4421" xr:uid="{0574D38F-A55D-49D3-BE39-FCAF1F887A01}"/>
    <cellStyle name="Normal 31" xfId="4422" xr:uid="{5FC02312-4C05-4013-B022-8ECA20A91227}"/>
    <cellStyle name="Normal 32" xfId="4423" xr:uid="{7CAD8455-1FAF-4130-A698-E406C8235E6D}"/>
    <cellStyle name="Normal 33" xfId="4424" xr:uid="{125E98C3-676D-4866-B4F1-6C5DE5212FA1}"/>
    <cellStyle name="Normal 34" xfId="4425" xr:uid="{6D1CD8FA-EFCE-4A7C-89C9-5072EFCEAF55}"/>
    <cellStyle name="Normal 35" xfId="4426" xr:uid="{9CDF69F7-8339-4006-A892-961290297B1C}"/>
    <cellStyle name="Normal 36" xfId="4427" xr:uid="{E67EE611-EBAF-42E9-B862-919ED25A1823}"/>
    <cellStyle name="Normal 37" xfId="4428" xr:uid="{0B3E8D15-1B9A-470E-8E7D-C1F80E03B2B6}"/>
    <cellStyle name="Normal 38" xfId="4429" xr:uid="{EBE3C521-1C2E-459F-9D31-0309B7ED3F3D}"/>
    <cellStyle name="Normal 39" xfId="4430" xr:uid="{6390DC92-F9A6-47F5-8C17-83C1A65A4F16}"/>
    <cellStyle name="Normal 4" xfId="4431" xr:uid="{EA3849C2-57F5-45DA-A110-586966AC9B23}"/>
    <cellStyle name="Normal 4 10" xfId="4432" xr:uid="{903765AE-E2CA-44DC-8EF2-FA42BC42BC54}"/>
    <cellStyle name="Normal 4 11" xfId="4433" xr:uid="{6720D8D5-711C-4704-8556-C892F0E53D76}"/>
    <cellStyle name="Normal 4 2" xfId="4434" xr:uid="{5D87DFB3-2699-4CDD-8528-15CEDBD10CE5}"/>
    <cellStyle name="Normal 4 2 2" xfId="4435" xr:uid="{E396DC27-C51C-48BC-BD36-8A2F40CE5D50}"/>
    <cellStyle name="Normal 4 2 2 2" xfId="4436" xr:uid="{4D040DC6-189C-4B3F-82EA-D47269944874}"/>
    <cellStyle name="Normal 4 2 2 2 2" xfId="4437" xr:uid="{CB442913-AA92-419E-878B-A9F1E427E0D8}"/>
    <cellStyle name="Normal 4 2 2 2 3" xfId="4438" xr:uid="{5894CB88-8662-4EC0-AB52-7608C66EAE9E}"/>
    <cellStyle name="Normal 4 2 2 2 4" xfId="4439" xr:uid="{688AFBA1-11B6-4BD5-B6CB-9E977718F22D}"/>
    <cellStyle name="Normal 4 2 2 2 5" xfId="4440" xr:uid="{DD4E6DA5-C1A5-4040-9012-79E241C7EA40}"/>
    <cellStyle name="Normal 4 2 2 2_1 KeyFig" xfId="4441" xr:uid="{ADCF1B58-57DF-4253-85D9-2ADAAFBDF473}"/>
    <cellStyle name="Normal 4 2 2 3" xfId="4442" xr:uid="{8B981381-289C-440D-B0DE-36E12279CC80}"/>
    <cellStyle name="Normal 4 2 2 4" xfId="4443" xr:uid="{0F8A84F0-3954-48D1-B1BD-CE40173516B8}"/>
    <cellStyle name="Normal 4 2 2 5" xfId="4444" xr:uid="{6BCB1A60-8A54-4BBC-BE05-04D48103BDD3}"/>
    <cellStyle name="Normal 4 2 2_1 KeyFig" xfId="4445" xr:uid="{AE9D4778-48B9-4AC2-B808-38B13C501910}"/>
    <cellStyle name="Normal 4 2 3" xfId="4446" xr:uid="{E2D7370A-73FC-4F25-94D2-74B817BFB61A}"/>
    <cellStyle name="Normal 4 2 3 2" xfId="4447" xr:uid="{4AC1605A-D225-4444-8984-56B2245269BF}"/>
    <cellStyle name="Normal 4 2 3 2 2" xfId="4448" xr:uid="{8EA64976-D9DB-445D-A779-57E1E4542075}"/>
    <cellStyle name="Normal 4 2 3 2_Bridge IR Q" xfId="4449" xr:uid="{7F48A0D3-2280-42C8-8BE4-E1399B94011C}"/>
    <cellStyle name="Normal 4 2 3 3" xfId="4450" xr:uid="{F7320A7A-3277-4D9D-BA3D-A57394621A48}"/>
    <cellStyle name="Normal 4 2 3 4" xfId="4451" xr:uid="{722E1ABD-BAF9-459F-ABB9-F4E62D2540E8}"/>
    <cellStyle name="Normal 4 2 3 5" xfId="4452" xr:uid="{9EAF6CCC-B3E3-43E8-BC43-95556CD89FD1}"/>
    <cellStyle name="Normal 4 2 3_1 KeyFig" xfId="4453" xr:uid="{7602EC24-8FF2-471A-8775-88051868FCB4}"/>
    <cellStyle name="Normal 4 2 4" xfId="4454" xr:uid="{8157AF66-D17D-471C-A70E-B28872BA199F}"/>
    <cellStyle name="Normal 4 2 4 2" xfId="4455" xr:uid="{4D27E7C7-8776-4DF4-BADF-DDA805C8AFEE}"/>
    <cellStyle name="Normal 4 2 4_1 KeyFig" xfId="4456" xr:uid="{232F833D-C5C1-40DE-8A72-B3C48832E927}"/>
    <cellStyle name="Normal 4 2 5" xfId="4457" xr:uid="{AC7BE28C-A935-4710-8F7E-5A91019B5917}"/>
    <cellStyle name="Normal 4 2 5 2" xfId="4458" xr:uid="{69FC892C-D4C4-44A9-B2EA-FED9CB24970C}"/>
    <cellStyle name="Normal 4 2 5_1 KeyFig" xfId="4459" xr:uid="{B87AF470-8D7B-4DC3-96E1-5F65F13DE8BC}"/>
    <cellStyle name="Normal 4 2 6" xfId="4460" xr:uid="{5359999A-4805-49B0-8C5F-A3CB3E5CEF9E}"/>
    <cellStyle name="Normal 4 2 7" xfId="4461" xr:uid="{0839B6BF-8E52-474B-AAB2-9DDFAA18ABCD}"/>
    <cellStyle name="Normal 4 2_1 KeyFig" xfId="4462" xr:uid="{07A17619-3B48-40F9-9F5B-980CE49CCF4C}"/>
    <cellStyle name="Normal 4 3" xfId="4463" xr:uid="{5F1DDFA1-046F-4F88-A390-AE2619576D38}"/>
    <cellStyle name="Normal 4 3 2" xfId="4464" xr:uid="{27C92619-6826-41EC-BF4D-A2143A41DBF1}"/>
    <cellStyle name="Normal 4 3 3" xfId="4465" xr:uid="{E0B6F873-F2F2-41B3-BB9F-8481E2C78351}"/>
    <cellStyle name="Normal 4 3 4" xfId="4466" xr:uid="{983A3C56-71D3-4ADF-9899-58873738DE55}"/>
    <cellStyle name="Normal 4 3 5" xfId="4467" xr:uid="{02848AA2-9541-4A61-BA43-C15579287723}"/>
    <cellStyle name="Normal 4 3_1 KeyFig" xfId="4468" xr:uid="{ABA0A219-28EC-47B7-ACBE-FB41F21D569D}"/>
    <cellStyle name="Normal 4 4" xfId="4469" xr:uid="{6E2FDC9E-ED2A-4273-8DB6-A172869F5605}"/>
    <cellStyle name="Normal 4 4 2" xfId="4470" xr:uid="{4C3DC9F5-072F-4676-AEE0-1E38440B2F70}"/>
    <cellStyle name="Normal 4 4 3" xfId="4471" xr:uid="{D75C0845-4FCB-4A44-AF4E-4103B0D458E8}"/>
    <cellStyle name="Normal 4 4 4" xfId="4472" xr:uid="{659109AA-C6D6-40B0-8163-FF477E5ADDD7}"/>
    <cellStyle name="Normal 4 4 5" xfId="4473" xr:uid="{71189CE9-61CD-4826-B044-752BCA4C012E}"/>
    <cellStyle name="Normal 4 4_1 KeyFig" xfId="4474" xr:uid="{019FC7B7-7DDB-496E-BDF4-EC7754C8E8FD}"/>
    <cellStyle name="Normal 4 5" xfId="4475" xr:uid="{8CAA4A7A-2AD4-401B-916A-0523E291CF63}"/>
    <cellStyle name="Normal 4 5 2" xfId="4476" xr:uid="{6296B74F-0F02-4571-BA81-61BDDE04CE76}"/>
    <cellStyle name="Normal 4 5_1 KeyFig" xfId="4477" xr:uid="{42E57AFF-3C3A-44DF-9404-CE1A586F7366}"/>
    <cellStyle name="Normal 4 6" xfId="4478" xr:uid="{CB97F0F6-A7C0-44CD-AD31-1168D6ED096E}"/>
    <cellStyle name="Normal 4 6 2" xfId="4479" xr:uid="{A09D082D-9F56-4724-9457-E9DE7A0F2207}"/>
    <cellStyle name="Normal 4 6_1 KeyFig" xfId="4480" xr:uid="{3249E297-F8C0-4FA6-A0EB-A9E0DECB3F19}"/>
    <cellStyle name="Normal 4 7" xfId="4481" xr:uid="{918F8D6C-7BDD-420C-AE67-B5931FA537F4}"/>
    <cellStyle name="Normal 4 7 2" xfId="4482" xr:uid="{570BAD5C-DE9C-4F1B-AC2C-B42AA4DAB2B1}"/>
    <cellStyle name="Normal 4 7_1 KeyFig" xfId="4483" xr:uid="{06BBAFC4-4CC1-4E35-8A54-F54EB3BDE4B2}"/>
    <cellStyle name="Normal 4 8" xfId="4484" xr:uid="{1AA6412B-CC90-407C-A8DA-ADF1C381230F}"/>
    <cellStyle name="Normal 4 9" xfId="4485" xr:uid="{C8A6CFF9-B0B8-4CA2-A116-56B129CB4E8E}"/>
    <cellStyle name="Normal 4_1 KeyFig" xfId="4486" xr:uid="{CC8B3B85-878A-486C-B304-AF6B14D5E64C}"/>
    <cellStyle name="Normal 40" xfId="4487" xr:uid="{2A8B8126-8D6B-4982-99A0-131CCB723BD5}"/>
    <cellStyle name="Normal 41" xfId="4488" xr:uid="{DD7EA698-795B-4457-9F31-2F33EB2BFB08}"/>
    <cellStyle name="Normal 42" xfId="4489" xr:uid="{9034483B-91D3-43CE-A8B7-3A027703FA1E}"/>
    <cellStyle name="Normal 43" xfId="4490" xr:uid="{22A44C45-2F35-48B6-ACD2-AE67870BBB69}"/>
    <cellStyle name="Normal 44" xfId="4491" xr:uid="{38611B13-CF5B-4FFD-930E-A25D5B9262D8}"/>
    <cellStyle name="Normal 45" xfId="4492" xr:uid="{ECECDF7E-E498-4B37-8454-7F874A5DAE5C}"/>
    <cellStyle name="Normal 46" xfId="4493" xr:uid="{24D6C4C7-E15E-4B67-BA2D-A5224F351726}"/>
    <cellStyle name="Normal 47" xfId="4494" xr:uid="{9516AFFE-AE4E-4A43-836D-3ECBB56B96AC}"/>
    <cellStyle name="Normal 48" xfId="4495" xr:uid="{6A75573B-BDB2-47D0-BD52-810DD588AFCA}"/>
    <cellStyle name="Normal 49" xfId="4496" xr:uid="{6155868A-DBFB-4325-B704-6F22E0887829}"/>
    <cellStyle name="Normal 5" xfId="4497" xr:uid="{CF2F8E26-33CB-45D6-ADE8-475587D4F930}"/>
    <cellStyle name="Normal 5 10" xfId="4498" xr:uid="{4603B44F-9634-433A-87D2-0C41E48F25CC}"/>
    <cellStyle name="Normal 5 11" xfId="4499" xr:uid="{9C4CB9E6-16F6-4F51-A3AE-2B609F9E9A72}"/>
    <cellStyle name="Normal 5 12" xfId="4500" xr:uid="{884F0905-9444-4D68-9266-4B6711E94ACA}"/>
    <cellStyle name="Normal 5 13" xfId="4501" xr:uid="{38E143DF-56CA-4A0D-A2E3-1AD6850D904B}"/>
    <cellStyle name="Normal 5 14" xfId="4502" xr:uid="{989D7AD7-507E-43D0-BE6A-3A67EA6F1A4B}"/>
    <cellStyle name="Normal 5 15" xfId="4503" xr:uid="{85276FC7-22A3-4EAB-92D2-02AFF336EEF7}"/>
    <cellStyle name="Normal 5 16" xfId="4504" xr:uid="{722B90AA-B07D-4B77-A886-690022FEC75A}"/>
    <cellStyle name="Normal 5 17" xfId="4505" xr:uid="{314D00BB-CCBD-4F5F-B564-3B5B85C0AD29}"/>
    <cellStyle name="Normal 5 18" xfId="4506" xr:uid="{BBC1BDC5-B28D-4F99-AF75-905E8F68C15D}"/>
    <cellStyle name="Normal 5 19" xfId="4507" xr:uid="{5A671907-CEF2-4A35-AFD6-B669F328D442}"/>
    <cellStyle name="Normal 5 2" xfId="4508" xr:uid="{A5FF64E0-07A5-4578-8B04-3DEB128B2805}"/>
    <cellStyle name="Normal 5 2 2" xfId="4509" xr:uid="{9DBCA643-F49D-45EC-AF1A-16497C288CE6}"/>
    <cellStyle name="Normal 5 2 2 2" xfId="4510" xr:uid="{DE573856-4053-4A81-8D50-E5E15B132D63}"/>
    <cellStyle name="Normal 5 2 2 3" xfId="4511" xr:uid="{8D6EFBE1-4877-4290-A1F7-CFB95261ECA8}"/>
    <cellStyle name="Normal 5 2 2 4" xfId="4512" xr:uid="{9723C04B-BE5E-47BC-AA44-720BE1283BC1}"/>
    <cellStyle name="Normal 5 2 2 5" xfId="4513" xr:uid="{CF15D26F-324F-488A-807D-BD4C169F56D5}"/>
    <cellStyle name="Normal 5 2 2_1 KeyFig" xfId="4514" xr:uid="{39E3BDF5-26EE-4C5F-8991-DDA965E30A01}"/>
    <cellStyle name="Normal 5 2 3" xfId="4515" xr:uid="{EB7EEA09-CFE5-47EE-89A2-433EF7645D9A}"/>
    <cellStyle name="Normal 5 2 3 2" xfId="4516" xr:uid="{D119EA7C-8CBF-4108-8DA8-A7D6FE9539ED}"/>
    <cellStyle name="Normal 5 2 3 3" xfId="4517" xr:uid="{65E65045-0A3D-437B-B4BC-1EC5D378FA6C}"/>
    <cellStyle name="Normal 5 2 3 4" xfId="4518" xr:uid="{7346B7D9-4936-4075-8AD9-DE0ACD548EA2}"/>
    <cellStyle name="Normal 5 2 3 5" xfId="4519" xr:uid="{898FA963-6E5F-43B4-BB1E-FA269D0EEB69}"/>
    <cellStyle name="Normal 5 2 3_1 KeyFig" xfId="4520" xr:uid="{6B9B3058-E458-40E2-8BC2-E17099583A78}"/>
    <cellStyle name="Normal 5 2 4" xfId="4521" xr:uid="{360C00D8-05D9-488F-87BF-2B5C6E65DFE8}"/>
    <cellStyle name="Normal 5 2 5" xfId="4522" xr:uid="{A2627B21-3168-4394-8170-8F1BDD838716}"/>
    <cellStyle name="Normal 5 2 6" xfId="4523" xr:uid="{A0318C7D-7A44-42E1-95F9-E9C903F321FA}"/>
    <cellStyle name="Normal 5 2_1 KeyFig" xfId="4524" xr:uid="{D06D562C-57AE-40FE-B1A0-E0895DECF6C7}"/>
    <cellStyle name="Normal 5 3" xfId="4525" xr:uid="{E19F82EF-9BBE-4B53-9759-2BB7FAF23CE9}"/>
    <cellStyle name="Normal 5 3 2" xfId="4526" xr:uid="{ABBFE3E3-AD00-4C5F-90D3-E294B813C04A}"/>
    <cellStyle name="Normal 5 3 3" xfId="4527" xr:uid="{5413308C-5B06-47F1-B646-885297BFE87F}"/>
    <cellStyle name="Normal 5 3 4" xfId="4528" xr:uid="{80F8241B-87ED-425A-BFE3-D7F9B4A8A25B}"/>
    <cellStyle name="Normal 5 3 5" xfId="4529" xr:uid="{E869DD89-FA8F-493B-AF69-44FC79DB147B}"/>
    <cellStyle name="Normal 5 3_1 KeyFig" xfId="4530" xr:uid="{BA651477-DA33-4B97-A213-6230CD260A1E}"/>
    <cellStyle name="Normal 5 4" xfId="4531" xr:uid="{5782D263-8DAC-4F82-AD84-152CC5330592}"/>
    <cellStyle name="Normal 5 4 2" xfId="4532" xr:uid="{94A27FFD-1884-495B-B396-3C1A92030556}"/>
    <cellStyle name="Normal 5 4_1 KeyFig" xfId="4533" xr:uid="{31A362F6-7A92-417B-8DDC-A601D51590BB}"/>
    <cellStyle name="Normal 5 5" xfId="4534" xr:uid="{E81AAF3D-2FC6-40B4-9E32-988B1DF4C347}"/>
    <cellStyle name="Normal 5 5 2" xfId="4535" xr:uid="{A8210B05-FFEF-4E09-9EE8-763E436F6C41}"/>
    <cellStyle name="Normal 5 5_1 KeyFig" xfId="4536" xr:uid="{325BE04A-0A14-4C30-A7BD-2FC248A7C2A0}"/>
    <cellStyle name="Normal 5 6" xfId="4537" xr:uid="{65788238-F290-4636-88F5-B9869C5A6889}"/>
    <cellStyle name="Normal 5 6 2" xfId="4538" xr:uid="{8EE26231-DB91-4689-898D-7154351C4215}"/>
    <cellStyle name="Normal 5 6_1 KeyFig" xfId="4539" xr:uid="{82281999-8918-41FA-9A1B-944647248E3B}"/>
    <cellStyle name="Normal 5 7" xfId="4540" xr:uid="{7888B4D8-6E25-428E-B750-52223375A299}"/>
    <cellStyle name="Normal 5 7 2" xfId="4541" xr:uid="{3B65270B-736B-4B0E-A43A-1E2BB16738E9}"/>
    <cellStyle name="Normal 5 7_1 KeyFig" xfId="4542" xr:uid="{2664F9D6-88F8-47FE-9DA4-3E317B119E32}"/>
    <cellStyle name="Normal 5 8" xfId="4543" xr:uid="{F49CD977-685B-464A-A3A9-BBAEAE70777A}"/>
    <cellStyle name="Normal 5 8 2" xfId="4544" xr:uid="{9F34F47C-1611-4907-9CB4-5F3DFA20CEAA}"/>
    <cellStyle name="Normal 5 8_1 KeyFig" xfId="4545" xr:uid="{9F0D5299-8946-42EF-9E76-79274669FE6C}"/>
    <cellStyle name="Normal 5 9" xfId="4546" xr:uid="{D0A6E6D4-8F87-4D24-B7B6-B340E5AD711B}"/>
    <cellStyle name="Normal 5_1 KeyFig" xfId="4547" xr:uid="{E6A2A4D4-FE3B-4599-900C-823F55FB3BBF}"/>
    <cellStyle name="Normal 50" xfId="4548" xr:uid="{63D7BAEA-344F-4B7E-A4BE-88B3D60C4229}"/>
    <cellStyle name="Normal 51" xfId="4549" xr:uid="{D37B5980-213D-4669-8421-9A280713F0E7}"/>
    <cellStyle name="Normal 52" xfId="4550" xr:uid="{B76E23E2-F660-4C6A-9BCC-13570EFC58DC}"/>
    <cellStyle name="Normal 53" xfId="4551" xr:uid="{20FA959C-4ADB-4908-9F8A-D233A37AF92E}"/>
    <cellStyle name="Normal 54" xfId="4552" xr:uid="{5FEE33F7-B60B-459B-9AB0-5F277E9D8046}"/>
    <cellStyle name="Normal 55" xfId="4553" xr:uid="{CD0F28B3-A556-4D22-94E0-C4A1353828E5}"/>
    <cellStyle name="Normal 56" xfId="4554" xr:uid="{1E6CE316-BD9E-4884-9D0C-130BDC6A78D3}"/>
    <cellStyle name="Normal 57" xfId="4555" xr:uid="{A75CAA4D-3ACB-42D8-AD9B-237A8F1DDC29}"/>
    <cellStyle name="Normal 58" xfId="4556" xr:uid="{043E7847-2955-4EB1-AD1C-6C693F86249E}"/>
    <cellStyle name="Normal 59" xfId="4557" xr:uid="{8A4BA7A5-E895-48A7-9141-3E1B7C9D43AF}"/>
    <cellStyle name="Normal 6" xfId="4558" xr:uid="{69226FC2-E30F-4C69-AA4A-0F6B664621B6}"/>
    <cellStyle name="Normal 6 10" xfId="4559" xr:uid="{ADFB0560-8C6B-4C02-A6A4-4ECAD6D7D401}"/>
    <cellStyle name="Normal 6 11" xfId="4560" xr:uid="{E609F05C-AE64-4AA2-B205-2B1ED05C5D58}"/>
    <cellStyle name="Normal 6 12" xfId="4561" xr:uid="{9718826F-FBE3-41CF-AA16-2E589C4A160D}"/>
    <cellStyle name="Normal 6 2" xfId="4562" xr:uid="{D6A927F3-B9F3-476F-A6F4-FC77AA893298}"/>
    <cellStyle name="Normal 6 2 2" xfId="4563" xr:uid="{A3F21141-2FBC-4A7B-9BD4-6A1C6D375F1F}"/>
    <cellStyle name="Normal 6 2 2 2" xfId="4564" xr:uid="{4B6E9E83-2AB7-46F0-9723-10A8FCC7A883}"/>
    <cellStyle name="Normal 6 2 2 3" xfId="4565" xr:uid="{AEEE567E-8D11-4CC9-B07F-A8264821A8DC}"/>
    <cellStyle name="Normal 6 2 2 4" xfId="4566" xr:uid="{385C86E6-E82A-4114-84AB-263AD4CF2E16}"/>
    <cellStyle name="Normal 6 2 2 5" xfId="4567" xr:uid="{E8F2D89A-59BC-4F56-A9DD-A4BCEBB489E2}"/>
    <cellStyle name="Normal 6 2 2_1 KeyFig" xfId="4568" xr:uid="{2F133547-91A7-4743-BA66-D97E7605A7C1}"/>
    <cellStyle name="Normal 6 2 3" xfId="4569" xr:uid="{7B2039A3-0866-4FE5-8346-F3F3F7C0B543}"/>
    <cellStyle name="Normal 6 2 4" xfId="4570" xr:uid="{0AC32985-D54C-4953-949B-E671F8D24F8D}"/>
    <cellStyle name="Normal 6 2 5" xfId="4571" xr:uid="{84B1B0AC-3ED2-4B17-A387-031DB2F0360C}"/>
    <cellStyle name="Normal 6 2 6" xfId="4572" xr:uid="{6591D913-CE6D-4111-A38C-64C6B0E28056}"/>
    <cellStyle name="Normal 6 2_1 KeyFig" xfId="4573" xr:uid="{0958C57E-21DA-4D58-A86E-BF7702205F3C}"/>
    <cellStyle name="Normal 6 3" xfId="4574" xr:uid="{0FA576CE-89FF-435E-A98B-2B36FFAE415A}"/>
    <cellStyle name="Normal 6 4" xfId="4575" xr:uid="{24AC9BBA-CA6A-44FE-8CA6-4B69AE2188F4}"/>
    <cellStyle name="Normal 6 4 2" xfId="4576" xr:uid="{A6A75049-F29E-4A1F-ACD3-053AEF62B1FD}"/>
    <cellStyle name="Normal 6 4_1 KeyFig" xfId="4577" xr:uid="{26ABA5C4-ED19-42EE-8D0F-4DB333466865}"/>
    <cellStyle name="Normal 6 5" xfId="4578" xr:uid="{17F5FB59-96CF-4984-BCB0-2F1E3BACB796}"/>
    <cellStyle name="Normal 6 5 2" xfId="4579" xr:uid="{225E7C7D-BEF5-44DA-994A-B68E9B9D92B0}"/>
    <cellStyle name="Normal 6 5_1 KeyFig" xfId="4580" xr:uid="{26D80EDD-EDE2-4CF7-AACF-379A132AEA97}"/>
    <cellStyle name="Normal 6 6" xfId="4581" xr:uid="{793E7F1D-75F3-4BF7-AC41-96D67D55FF18}"/>
    <cellStyle name="Normal 6 6 2" xfId="4582" xr:uid="{890893E0-9B1E-4524-9018-1BF76918618B}"/>
    <cellStyle name="Normal 6 6_1 KeyFig" xfId="4583" xr:uid="{B01B9923-F806-4608-8700-701BC0A7CBF9}"/>
    <cellStyle name="Normal 6 7" xfId="4584" xr:uid="{E80F257B-80EF-4330-A5C2-3C613945B282}"/>
    <cellStyle name="Normal 6 7 2" xfId="4585" xr:uid="{E8FDB459-A292-45C4-92DD-7BBD6973FD12}"/>
    <cellStyle name="Normal 6 7_1 KeyFig" xfId="4586" xr:uid="{ED87EB4C-EB2D-4170-B529-88A67E859548}"/>
    <cellStyle name="Normal 6 8" xfId="4587" xr:uid="{EB988250-D56F-4A4F-8A87-DF5FA4181977}"/>
    <cellStyle name="Normal 6 8 2" xfId="4588" xr:uid="{22F07149-5389-4F1E-83BD-358F5D9F3DB7}"/>
    <cellStyle name="Normal 6 8_1 KeyFig" xfId="4589" xr:uid="{0EBF8A64-7160-49FE-8483-5EBDDBA45A05}"/>
    <cellStyle name="Normal 6 9" xfId="4590" xr:uid="{9B128D80-0D08-4991-B794-2E70E6E75453}"/>
    <cellStyle name="Normal 6 9 2" xfId="4591" xr:uid="{1D38BFA7-229F-4352-A8BA-7B331C67E927}"/>
    <cellStyle name="Normal 6 9_Bridge IR Q" xfId="4592" xr:uid="{67511B6C-A4D5-4887-824A-1B46CADED5C2}"/>
    <cellStyle name="Normal 6_1 KeyFig" xfId="4593" xr:uid="{30EDEADD-DFF0-4798-B50C-1B84F015CE6E}"/>
    <cellStyle name="Normal 60" xfId="4594" xr:uid="{859C6B08-246C-40F0-8B63-4B89D92117F1}"/>
    <cellStyle name="Normal 60 2" xfId="4595" xr:uid="{C9A1ADA0-A5A7-416E-8D0D-C57E28F40632}"/>
    <cellStyle name="Normal 60_1 KeyFig" xfId="4596" xr:uid="{1F33F0DD-CDDC-4BB8-A625-3D0A5C0545B7}"/>
    <cellStyle name="Normal 61" xfId="4597" xr:uid="{F4176D94-5F78-4683-B6B9-6F638DA4DDCD}"/>
    <cellStyle name="Normal 62" xfId="4598" xr:uid="{0DF14A91-168D-4879-AA91-E24584E8E2BF}"/>
    <cellStyle name="Normal 63" xfId="4599" xr:uid="{B89B003D-8B37-4025-AB27-822DE11AE7FA}"/>
    <cellStyle name="Normal 64" xfId="4600" xr:uid="{3F641F07-41F5-4922-8063-4F4119CEA825}"/>
    <cellStyle name="Normal 65" xfId="4601" xr:uid="{B7E4D34A-7B57-4253-88D8-F8BB852192AC}"/>
    <cellStyle name="Normal 66" xfId="4602" xr:uid="{DCBA39AD-3237-415C-BE9A-567F69CAA341}"/>
    <cellStyle name="Normal 67" xfId="4603" xr:uid="{E9118CDE-877A-4C60-9440-C31B55D59B66}"/>
    <cellStyle name="Normal 68" xfId="4604" xr:uid="{60D27BFA-97CD-46EB-B515-9CE894EBB39A}"/>
    <cellStyle name="Normal 69" xfId="4605" xr:uid="{4EC39832-E558-44C0-96FA-4794849F302C}"/>
    <cellStyle name="Normal 7" xfId="4606" xr:uid="{926700C9-E004-4FA3-BDA2-7CC6C023F72B}"/>
    <cellStyle name="Normal 7 10" xfId="4607" xr:uid="{0720A723-CE8B-4BC6-AB3A-4E17BB2DC0E2}"/>
    <cellStyle name="Normal 7 2" xfId="4608" xr:uid="{8E372FAA-638B-4F2A-A9B0-781DA2ADC5F5}"/>
    <cellStyle name="Normal 7 2 2" xfId="4609" xr:uid="{DB90222D-183E-4455-8041-9AE17E2D8BC5}"/>
    <cellStyle name="Normal 7 2 3" xfId="4610" xr:uid="{D76693CB-4575-4136-AA22-D87D2C33187B}"/>
    <cellStyle name="Normal 7 2 4" xfId="4611" xr:uid="{0AC54A0C-ACCE-49AC-9760-82E7DD7FFFBD}"/>
    <cellStyle name="Normal 7 2 5" xfId="4612" xr:uid="{1C252F2F-21B3-4DFA-B36D-859FA529530E}"/>
    <cellStyle name="Normal 7 2_1 KeyFig" xfId="4613" xr:uid="{F66A3764-1676-4C02-A4EA-B5637D8F2AE4}"/>
    <cellStyle name="Normal 7 3" xfId="4614" xr:uid="{3FCE672D-6D47-4E0E-BA05-62371308432B}"/>
    <cellStyle name="Normal 7 3 2" xfId="4615" xr:uid="{F75379DF-1032-4BCF-B528-89E748514448}"/>
    <cellStyle name="Normal 7 3_1 KeyFig" xfId="4616" xr:uid="{8ED88421-9D1D-45E5-9CA0-73934A9F2334}"/>
    <cellStyle name="Normal 7 4" xfId="4617" xr:uid="{91AEC044-F102-41AF-B101-50F931A0547D}"/>
    <cellStyle name="Normal 7 4 2" xfId="4618" xr:uid="{9DE43777-DD52-4CA0-882E-6C19D34B9E9E}"/>
    <cellStyle name="Normal 7 4_Bridge IR Q" xfId="4619" xr:uid="{DBC9680F-029A-4E55-A31B-170A0A7D42C5}"/>
    <cellStyle name="Normal 7 5" xfId="4620" xr:uid="{B23F4CEA-489B-4502-9716-33F6FEA2F237}"/>
    <cellStyle name="Normal 7 5 2" xfId="4621" xr:uid="{1FFB110D-DE1B-4719-BAC6-CF5BFE51A1A9}"/>
    <cellStyle name="Normal 7 5_Bridge IR Q" xfId="4622" xr:uid="{A07C7587-0E0A-4B9E-A7D9-71B5B72D24FA}"/>
    <cellStyle name="Normal 7 6" xfId="4623" xr:uid="{6F9F58CD-F971-411E-9935-759CA7FC0AF5}"/>
    <cellStyle name="Normal 7 7" xfId="4624" xr:uid="{C8863A38-BE5C-411D-8C7C-826D04510391}"/>
    <cellStyle name="Normal 7 8" xfId="4625" xr:uid="{31F44A51-D0B2-4D04-8647-E12025AA69F1}"/>
    <cellStyle name="Normal 7 9" xfId="4626" xr:uid="{5F71F8BC-0435-4C24-9D26-467539553252}"/>
    <cellStyle name="Normal 7_1 KeyFig" xfId="4627" xr:uid="{76FF6671-C384-49A8-A1C5-208A21EB14EE}"/>
    <cellStyle name="Normal 70" xfId="4628" xr:uid="{BFFE8358-7722-41AD-B18D-6103C7F845E5}"/>
    <cellStyle name="Normal 71" xfId="4629" xr:uid="{BF979DF5-36CD-40BC-87F1-8BDBCAB46853}"/>
    <cellStyle name="Normal 72" xfId="4630" xr:uid="{0E9AEF92-B449-42BE-856A-AA1B983C803F}"/>
    <cellStyle name="Normal 73" xfId="4631" xr:uid="{476C0368-3DD8-4842-8FD9-F9E1186AA8BD}"/>
    <cellStyle name="Normal 74" xfId="4632" xr:uid="{34256B3B-95DB-4906-B14D-644D1251CF30}"/>
    <cellStyle name="Normal 75" xfId="4633" xr:uid="{A79ED1AB-F6CE-4455-AA50-59EE0195D000}"/>
    <cellStyle name="Normal 76" xfId="4634" xr:uid="{7E2CB963-286E-4316-93B8-DEECD26F596B}"/>
    <cellStyle name="Normal 77" xfId="4635" xr:uid="{093AC701-FB4D-46FB-A6E0-1554DE173F58}"/>
    <cellStyle name="Normal 78" xfId="4636" xr:uid="{515B67A2-57C1-4655-9132-B710A4502BB5}"/>
    <cellStyle name="Normal 79" xfId="4637" xr:uid="{B530BFEB-790C-4756-9E97-3A8A8AC03906}"/>
    <cellStyle name="Normal 8" xfId="4638" xr:uid="{CE437C35-16C1-4B0A-B912-9B15B59D538B}"/>
    <cellStyle name="Normal 8 10" xfId="4639" xr:uid="{AE90293F-6975-474F-8932-44899E610C3C}"/>
    <cellStyle name="Normal 8 10 2" xfId="4640" xr:uid="{CE7C8136-3E06-4347-AC42-D514B80703E9}"/>
    <cellStyle name="Normal 8 10 2 2" xfId="4641" xr:uid="{7C75FBF5-BB1E-4AE5-8461-6D23B7323C45}"/>
    <cellStyle name="Normal 8 10 2 2 2" xfId="4642" xr:uid="{FE52D6B3-64C8-4C9D-9873-651021FC58C1}"/>
    <cellStyle name="Normal 8 10 2 2 2 2" xfId="4643" xr:uid="{23495ABD-5AB3-435D-A52F-17AAE1E3A6E6}"/>
    <cellStyle name="Normal 8 10 2 2 2 3" xfId="4644" xr:uid="{0513D45E-AF69-469C-A62A-0C23AE95CC84}"/>
    <cellStyle name="Normal 8 10 2 2 2_Bridge IR Q" xfId="4645" xr:uid="{D3FFFD48-9014-4A61-B59E-ED6E644F2F9B}"/>
    <cellStyle name="Normal 8 10 2 2 3" xfId="4646" xr:uid="{CB09B2B1-5BA3-42CC-942C-B4B035F0E8F8}"/>
    <cellStyle name="Normal 8 10 2 2 3 2" xfId="4647" xr:uid="{DD311FF8-C153-466F-9E04-54F41D6DD626}"/>
    <cellStyle name="Normal 8 10 2 2 3 3" xfId="4648" xr:uid="{9F908DDB-FFE7-4D2F-B905-63030B5C9ABD}"/>
    <cellStyle name="Normal 8 10 2 2 3_Bridge IR Q" xfId="4649" xr:uid="{273671B2-7A76-4C12-8E34-AF034C14203C}"/>
    <cellStyle name="Normal 8 10 2 2 4" xfId="4650" xr:uid="{7157C913-A7D1-4C5A-AB99-8486793634C0}"/>
    <cellStyle name="Normal 8 10 2 2 5" xfId="4651" xr:uid="{6C572F05-5740-40CE-9A3D-B3E04D20168A}"/>
    <cellStyle name="Normal 8 10 2 2_Bridge IR Q" xfId="4652" xr:uid="{4205C3F8-FAEC-4CC8-944E-14B7BCEAB2CC}"/>
    <cellStyle name="Normal 8 10 2 3" xfId="4653" xr:uid="{F48981B8-5C82-4CA0-94AF-8C664C47CA2F}"/>
    <cellStyle name="Normal 8 10 2 3 2" xfId="4654" xr:uid="{06330855-7F5B-470F-9BD9-2A8A86D9BB3A}"/>
    <cellStyle name="Normal 8 10 2 3 3" xfId="4655" xr:uid="{758D4FEB-CB04-4F03-B878-B89A57CF4BC7}"/>
    <cellStyle name="Normal 8 10 2 3_Bridge IR Q" xfId="4656" xr:uid="{33EA774C-5747-4E30-B27C-B67892E55DE3}"/>
    <cellStyle name="Normal 8 10 2 4" xfId="4657" xr:uid="{F500C772-422C-4C78-A00A-E9FE10F310CA}"/>
    <cellStyle name="Normal 8 10 2 4 2" xfId="4658" xr:uid="{5F38D2BB-056D-476B-B1B8-C9F5F3EEA2B1}"/>
    <cellStyle name="Normal 8 10 2 4 3" xfId="4659" xr:uid="{131EB014-FD83-4030-9F6A-3AEE8B0BBB63}"/>
    <cellStyle name="Normal 8 10 2 4_Bridge IR Q" xfId="4660" xr:uid="{908DADB8-A252-4B8D-9FB8-813EA9DEE1E4}"/>
    <cellStyle name="Normal 8 10 2 5" xfId="4661" xr:uid="{D6418661-20AD-432C-8E8A-9334F68EC916}"/>
    <cellStyle name="Normal 8 10 2 6" xfId="4662" xr:uid="{3A063B1F-229F-4C80-A4A4-2DB97429EF05}"/>
    <cellStyle name="Normal 8 10 2_Bridge IR Q" xfId="4663" xr:uid="{8C70C713-EEFE-4478-8ECD-9B8D4713DB99}"/>
    <cellStyle name="Normal 8 10 3" xfId="4664" xr:uid="{33AB3135-287A-497C-8C44-ADD6A476ADFD}"/>
    <cellStyle name="Normal 8 10 3 2" xfId="4665" xr:uid="{D086FE61-C1AA-4DE9-889D-7BD1843DAB80}"/>
    <cellStyle name="Normal 8 10 3 2 2" xfId="4666" xr:uid="{B24952D4-A992-4817-A53F-952D2DF9C68E}"/>
    <cellStyle name="Normal 8 10 3 2 3" xfId="4667" xr:uid="{324A8542-399D-4F0C-ABA6-EC5824DC27B0}"/>
    <cellStyle name="Normal 8 10 3 2_Bridge IR Q" xfId="4668" xr:uid="{C5006D22-CA57-49FF-AE5B-C325898629E9}"/>
    <cellStyle name="Normal 8 10 3 3" xfId="4669" xr:uid="{0F5FDE73-BC49-4B4A-B0BB-B75198D7F7BA}"/>
    <cellStyle name="Normal 8 10 3 3 2" xfId="4670" xr:uid="{A48D03CB-029D-4150-8686-9A8544E450CC}"/>
    <cellStyle name="Normal 8 10 3 3 3" xfId="4671" xr:uid="{CF293B6A-38B8-4122-85F5-A52ECF09A90E}"/>
    <cellStyle name="Normal 8 10 3 3_Bridge IR Q" xfId="4672" xr:uid="{7A150976-E2E4-49D6-AA01-F58E741C380C}"/>
    <cellStyle name="Normal 8 10 3 4" xfId="4673" xr:uid="{77883CCB-00B3-42DC-BC4B-0F5CD4C5D2D0}"/>
    <cellStyle name="Normal 8 10 3 5" xfId="4674" xr:uid="{C82C82D2-DAA8-4243-A533-7F8DD9985B98}"/>
    <cellStyle name="Normal 8 10 3_Bridge IR Q" xfId="4675" xr:uid="{19162720-FDDF-4FD0-BE5B-A0106519CA5C}"/>
    <cellStyle name="Normal 8 10 4" xfId="4676" xr:uid="{75F1CFAD-C047-4AE3-99A1-A3E22FAAF96C}"/>
    <cellStyle name="Normal 8 10 4 2" xfId="4677" xr:uid="{54531A33-A1AB-40C5-8DEC-6F7C0ECCBCD5}"/>
    <cellStyle name="Normal 8 10 4 3" xfId="4678" xr:uid="{0B75B7F6-A3AF-4F61-B59D-C9581482F770}"/>
    <cellStyle name="Normal 8 10 4_Bridge IR Q" xfId="4679" xr:uid="{7DB1583D-15C1-4662-A8E5-82C31FEA1A2C}"/>
    <cellStyle name="Normal 8 10 5" xfId="4680" xr:uid="{595ED124-DCD0-4968-855A-22958CD49FEE}"/>
    <cellStyle name="Normal 8 10 5 2" xfId="4681" xr:uid="{691705DE-0CD8-466E-9D20-0AD9D2EAB6F3}"/>
    <cellStyle name="Normal 8 10 5 3" xfId="4682" xr:uid="{62CB154F-FF06-4FCC-A086-CA2DF9053FB0}"/>
    <cellStyle name="Normal 8 10 5_Bridge IR Q" xfId="4683" xr:uid="{0C13A28E-FAE5-44C3-9793-7F21F7C0F83E}"/>
    <cellStyle name="Normal 8 10 6" xfId="4684" xr:uid="{311949B0-FCC6-4AD2-907A-D77360313A64}"/>
    <cellStyle name="Normal 8 10 7" xfId="4685" xr:uid="{E5C443B8-0B2B-4CA9-88C6-4AB1C138EA23}"/>
    <cellStyle name="Normal 8 10_Bridge IR Q" xfId="4686" xr:uid="{EFBC605C-1032-41E1-8836-726ABF39FBFE}"/>
    <cellStyle name="Normal 8 11" xfId="4687" xr:uid="{F34461A2-D51C-4D42-A542-AD94BF655CF8}"/>
    <cellStyle name="Normal 8 11 2" xfId="4688" xr:uid="{EE407175-76CB-49D0-9937-FE34FCD4DD92}"/>
    <cellStyle name="Normal 8 11 2 2" xfId="4689" xr:uid="{D68CEC34-B8F3-4EF2-AB28-2E4CEA102CED}"/>
    <cellStyle name="Normal 8 11 2 2 2" xfId="4690" xr:uid="{AE8245BB-93CF-4BD6-93A8-FBFDEB6E1C91}"/>
    <cellStyle name="Normal 8 11 2 2 2 2" xfId="4691" xr:uid="{54678448-E796-497D-8908-917DC4A29904}"/>
    <cellStyle name="Normal 8 11 2 2 2 3" xfId="4692" xr:uid="{822E7195-1903-43C7-A69E-773F1CBF8A03}"/>
    <cellStyle name="Normal 8 11 2 2 2_Bridge IR Q" xfId="4693" xr:uid="{752610C2-F699-4116-803F-1DE6645F16FB}"/>
    <cellStyle name="Normal 8 11 2 2 3" xfId="4694" xr:uid="{9D158BEB-5B08-4A26-AD03-FB77436E09B0}"/>
    <cellStyle name="Normal 8 11 2 2 3 2" xfId="4695" xr:uid="{E7461649-E152-4A5F-9006-AFB9F6EA7087}"/>
    <cellStyle name="Normal 8 11 2 2 3 3" xfId="4696" xr:uid="{83840FA5-2C2D-491F-97BF-3EB631FAE54A}"/>
    <cellStyle name="Normal 8 11 2 2 3_Bridge IR Q" xfId="4697" xr:uid="{522B3A49-3819-4990-88B6-0FFD4692CB7F}"/>
    <cellStyle name="Normal 8 11 2 2 4" xfId="4698" xr:uid="{BC03C816-890F-4F5C-8205-E36DE9DE2833}"/>
    <cellStyle name="Normal 8 11 2 2 5" xfId="4699" xr:uid="{32E61BDA-812D-4DD1-9F51-511E5DBF35E5}"/>
    <cellStyle name="Normal 8 11 2 2_Bridge IR Q" xfId="4700" xr:uid="{6F31D5C0-F651-441F-BE47-C52C9D38CEB7}"/>
    <cellStyle name="Normal 8 11 2 3" xfId="4701" xr:uid="{1F45FE43-8C5C-41E2-9C95-934470EF0C8A}"/>
    <cellStyle name="Normal 8 11 2 3 2" xfId="4702" xr:uid="{47D537F0-5DE5-4590-90FC-F9CCA5921BF0}"/>
    <cellStyle name="Normal 8 11 2 3 3" xfId="4703" xr:uid="{C6DF2D43-4978-41B7-9EC6-903FB44628A4}"/>
    <cellStyle name="Normal 8 11 2 3_Bridge IR Q" xfId="4704" xr:uid="{A87F871A-83A5-481D-992E-A31592E3AD6C}"/>
    <cellStyle name="Normal 8 11 2 4" xfId="4705" xr:uid="{51905253-DE0D-4A7F-BB29-DDBB6DAB0DAB}"/>
    <cellStyle name="Normal 8 11 2 4 2" xfId="4706" xr:uid="{239557D3-3469-4D6E-8B3C-BF65EFBE4EED}"/>
    <cellStyle name="Normal 8 11 2 4 3" xfId="4707" xr:uid="{A11A4F02-9C40-48DE-A710-4ECF016606F5}"/>
    <cellStyle name="Normal 8 11 2 4_Bridge IR Q" xfId="4708" xr:uid="{1E3BBAE0-CF1C-41E6-840D-B6EA18ED2937}"/>
    <cellStyle name="Normal 8 11 2 5" xfId="4709" xr:uid="{E5F829B9-853A-4733-B2A1-8CD1D7ED1395}"/>
    <cellStyle name="Normal 8 11 2 6" xfId="4710" xr:uid="{3079FCCE-AB0D-4943-9533-8D1B977D1C5A}"/>
    <cellStyle name="Normal 8 11 2_Bridge IR Q" xfId="4711" xr:uid="{A301FF1C-98B1-48A0-B759-908DD1F75B30}"/>
    <cellStyle name="Normal 8 11 3" xfId="4712" xr:uid="{BE02BD7F-A348-4938-9D04-BDAAF482DF3A}"/>
    <cellStyle name="Normal 8 11 3 2" xfId="4713" xr:uid="{52B3281C-E68D-4F33-B749-90F349674F6F}"/>
    <cellStyle name="Normal 8 11 3 2 2" xfId="4714" xr:uid="{C398B63B-B36C-4615-BB97-9B2D409237F6}"/>
    <cellStyle name="Normal 8 11 3 2 3" xfId="4715" xr:uid="{278CD3C1-F5D5-4685-BFA4-1DCCE802457B}"/>
    <cellStyle name="Normal 8 11 3 2_Bridge IR Q" xfId="4716" xr:uid="{C0E61CBF-8F1C-474B-B8CF-C7020B469EAA}"/>
    <cellStyle name="Normal 8 11 3 3" xfId="4717" xr:uid="{5E9BFFEF-17BF-4F82-BE0C-9AD574C07681}"/>
    <cellStyle name="Normal 8 11 3 3 2" xfId="4718" xr:uid="{3EB7A0FB-D3A2-4221-80B4-D2BC778CC6A2}"/>
    <cellStyle name="Normal 8 11 3 3 3" xfId="4719" xr:uid="{DFCC532D-7CD6-4B4C-A3D0-C703DD2A1F03}"/>
    <cellStyle name="Normal 8 11 3 3_Bridge IR Q" xfId="4720" xr:uid="{4C2F9687-B5B5-4AA5-ADFC-B3F6125F57A2}"/>
    <cellStyle name="Normal 8 11 3 4" xfId="4721" xr:uid="{D9F14ED4-7459-43C6-B8B9-31A687ABB18C}"/>
    <cellStyle name="Normal 8 11 3 5" xfId="4722" xr:uid="{91D3D76A-67C9-4378-8CB6-F6B7EB762E13}"/>
    <cellStyle name="Normal 8 11 3_Bridge IR Q" xfId="4723" xr:uid="{5FB78945-9159-436A-9CE9-989F8BA5652C}"/>
    <cellStyle name="Normal 8 11 4" xfId="4724" xr:uid="{6DED3E19-E73E-4353-8A6B-058583E80449}"/>
    <cellStyle name="Normal 8 11 4 2" xfId="4725" xr:uid="{E68DB2BC-2408-4839-88D9-D9E9F39A8E1F}"/>
    <cellStyle name="Normal 8 11 4 3" xfId="4726" xr:uid="{299A50BA-EAEE-41CB-9D54-06DD0F552FBE}"/>
    <cellStyle name="Normal 8 11 4_Bridge IR Q" xfId="4727" xr:uid="{3648B6DA-CFC1-447F-BFEF-02812A3AD6B1}"/>
    <cellStyle name="Normal 8 11 5" xfId="4728" xr:uid="{B9912E51-A897-4B9A-A656-FA18C1130215}"/>
    <cellStyle name="Normal 8 11 5 2" xfId="4729" xr:uid="{BA8C6DE1-830D-4B51-A281-DF514EE0772B}"/>
    <cellStyle name="Normal 8 11 5 3" xfId="4730" xr:uid="{33F4B459-1AB6-4E9F-8E95-6990629666DF}"/>
    <cellStyle name="Normal 8 11 5_Bridge IR Q" xfId="4731" xr:uid="{2E601EE1-A5E9-4A0D-906C-CCEF94556AA2}"/>
    <cellStyle name="Normal 8 11 6" xfId="4732" xr:uid="{8C814F39-68C2-4653-8F82-77A733FE2F95}"/>
    <cellStyle name="Normal 8 11 7" xfId="4733" xr:uid="{364D16F7-F76D-4D53-B294-19B4B86F2699}"/>
    <cellStyle name="Normal 8 11_Bridge IR Q" xfId="4734" xr:uid="{AA413C2F-6635-4DC0-BC5C-0D933840F278}"/>
    <cellStyle name="Normal 8 12" xfId="4735" xr:uid="{33746C82-561A-47C7-8C73-BD6F1CFC732F}"/>
    <cellStyle name="Normal 8 12 2" xfId="4736" xr:uid="{D3BC7CE9-B2A5-497B-B975-5BCDC0844244}"/>
    <cellStyle name="Normal 8 12 2 2" xfId="4737" xr:uid="{51933D3B-B885-4C14-BD01-ED8DCBAD5863}"/>
    <cellStyle name="Normal 8 12 2 2 2" xfId="4738" xr:uid="{ECBD3B00-631D-4360-BF27-78C67CFD34BA}"/>
    <cellStyle name="Normal 8 12 2 2 2 2" xfId="4739" xr:uid="{492CACD2-BDEB-4B51-BA97-96F372E99C5C}"/>
    <cellStyle name="Normal 8 12 2 2 2 3" xfId="4740" xr:uid="{A4A31455-DF23-45AA-947B-74DFF8E5BAD0}"/>
    <cellStyle name="Normal 8 12 2 2 2_Bridge IR Q" xfId="4741" xr:uid="{8F4FAC23-C9E7-462B-AB1C-714C11B46288}"/>
    <cellStyle name="Normal 8 12 2 2 3" xfId="4742" xr:uid="{54C71924-0ED1-4466-B7D1-97590FC70653}"/>
    <cellStyle name="Normal 8 12 2 2 3 2" xfId="4743" xr:uid="{2FA77E50-7D2B-4BFA-8466-71EAD68608D0}"/>
    <cellStyle name="Normal 8 12 2 2 3 3" xfId="4744" xr:uid="{45A39C2D-8EDE-4C9C-AA98-5AB5171867B5}"/>
    <cellStyle name="Normal 8 12 2 2 3_Bridge IR Q" xfId="4745" xr:uid="{D5862F0E-6CA9-4097-A878-8C0C9C43E2BC}"/>
    <cellStyle name="Normal 8 12 2 2 4" xfId="4746" xr:uid="{B9F148A9-D673-46BF-B6F2-0194B765527A}"/>
    <cellStyle name="Normal 8 12 2 2 5" xfId="4747" xr:uid="{410803F8-7F8E-4640-9EBC-0912535EBBE7}"/>
    <cellStyle name="Normal 8 12 2 2_Bridge IR Q" xfId="4748" xr:uid="{6603C060-BEB3-4B22-8B07-2A163B148ABC}"/>
    <cellStyle name="Normal 8 12 2 3" xfId="4749" xr:uid="{03121DFB-8580-4485-A081-CB4FAE611391}"/>
    <cellStyle name="Normal 8 12 2 3 2" xfId="4750" xr:uid="{0232C7B3-755F-463D-AC3B-05DB5957D34E}"/>
    <cellStyle name="Normal 8 12 2 3 3" xfId="4751" xr:uid="{FC8381A5-CD8A-4083-A960-5E6ADFF622B5}"/>
    <cellStyle name="Normal 8 12 2 3_Bridge IR Q" xfId="4752" xr:uid="{7BF1E315-DEC5-432F-BE54-A558EC38A0A8}"/>
    <cellStyle name="Normal 8 12 2 4" xfId="4753" xr:uid="{48E3CF66-1240-4820-A967-1726B56961AB}"/>
    <cellStyle name="Normal 8 12 2 4 2" xfId="4754" xr:uid="{72C3EF6E-E40C-4EA6-AF00-D7F13D5310E9}"/>
    <cellStyle name="Normal 8 12 2 4 3" xfId="4755" xr:uid="{A3066042-DAC3-4B41-BD93-20E4EC075F8C}"/>
    <cellStyle name="Normal 8 12 2 4_Bridge IR Q" xfId="4756" xr:uid="{DEFCB84D-32DA-4B9E-B4EC-CD3F46241197}"/>
    <cellStyle name="Normal 8 12 2 5" xfId="4757" xr:uid="{BBE5573F-254F-4B60-AB00-072C03DD0E6B}"/>
    <cellStyle name="Normal 8 12 2 6" xfId="4758" xr:uid="{202CBA41-4AD1-4569-A01D-FFD601A1207D}"/>
    <cellStyle name="Normal 8 12 2_Bridge IR Q" xfId="4759" xr:uid="{9C5D28EA-3D1A-437A-9B4E-7267B26AB9DF}"/>
    <cellStyle name="Normal 8 12 3" xfId="4760" xr:uid="{B11DA867-191A-4DA7-9225-6187C225BDC6}"/>
    <cellStyle name="Normal 8 12 3 2" xfId="4761" xr:uid="{89302943-898C-48E4-9067-F264BD7D955D}"/>
    <cellStyle name="Normal 8 12 3 2 2" xfId="4762" xr:uid="{B563998E-D7B6-4653-AC24-A546622A843C}"/>
    <cellStyle name="Normal 8 12 3 2 3" xfId="4763" xr:uid="{A8E90716-4BA9-4957-84CD-9756AF7159C3}"/>
    <cellStyle name="Normal 8 12 3 2_Bridge IR Q" xfId="4764" xr:uid="{39CB7554-DE61-4C86-9324-AD1F96F67AFA}"/>
    <cellStyle name="Normal 8 12 3 3" xfId="4765" xr:uid="{CABD8C1A-30BB-48D6-B2D1-77B838CC1B75}"/>
    <cellStyle name="Normal 8 12 3 3 2" xfId="4766" xr:uid="{12E35AD1-73A5-40FA-BFB0-BCB4119B27AC}"/>
    <cellStyle name="Normal 8 12 3 3 3" xfId="4767" xr:uid="{F9F189F1-F6B8-47D1-A527-B3322D436B73}"/>
    <cellStyle name="Normal 8 12 3 3_Bridge IR Q" xfId="4768" xr:uid="{1D97216E-22F8-4BBD-A96B-238B4A3FE1FF}"/>
    <cellStyle name="Normal 8 12 3 4" xfId="4769" xr:uid="{88705BA8-A9BD-4669-A687-9E3300A13783}"/>
    <cellStyle name="Normal 8 12 3 5" xfId="4770" xr:uid="{74CD2FFE-6F02-4BE4-8D15-4766DA37A81E}"/>
    <cellStyle name="Normal 8 12 3_Bridge IR Q" xfId="4771" xr:uid="{07D0D386-3351-4074-828E-0617E8D03323}"/>
    <cellStyle name="Normal 8 12 4" xfId="4772" xr:uid="{C76F0054-1504-4BC9-8348-F709589003CB}"/>
    <cellStyle name="Normal 8 12 4 2" xfId="4773" xr:uid="{29A49885-DF59-406F-9503-A30979B36775}"/>
    <cellStyle name="Normal 8 12 4 3" xfId="4774" xr:uid="{A37CE430-A2F0-455B-BBE2-21F1CBE39A7C}"/>
    <cellStyle name="Normal 8 12 4_Bridge IR Q" xfId="4775" xr:uid="{55975822-6075-4257-A8B5-98B71E9BB5DE}"/>
    <cellStyle name="Normal 8 12 5" xfId="4776" xr:uid="{AEA42F00-A8F2-4C4B-924B-2B07470CD998}"/>
    <cellStyle name="Normal 8 12 5 2" xfId="4777" xr:uid="{ED86F246-652E-4547-93D6-BA7E7094FD84}"/>
    <cellStyle name="Normal 8 12 5 3" xfId="4778" xr:uid="{F5D2AB0B-4E8C-4BA7-8948-5FC64C1589CA}"/>
    <cellStyle name="Normal 8 12 5_Bridge IR Q" xfId="4779" xr:uid="{1431DA14-64EA-4D3B-B6D8-4DAACE747D37}"/>
    <cellStyle name="Normal 8 12 6" xfId="4780" xr:uid="{48E2F224-BA8A-4187-947E-E0736B589435}"/>
    <cellStyle name="Normal 8 12 7" xfId="4781" xr:uid="{E9CC64A5-A55E-47D2-AC39-49D62E97EE66}"/>
    <cellStyle name="Normal 8 12_Bridge IR Q" xfId="4782" xr:uid="{C0E692EA-7700-4CE6-854C-525F554F8E75}"/>
    <cellStyle name="Normal 8 13" xfId="4783" xr:uid="{F046ED58-DA6E-415D-84B7-F0C7DCAA1924}"/>
    <cellStyle name="Normal 8 13 2" xfId="4784" xr:uid="{68DA1885-1635-4B71-810B-92D2647D7F2C}"/>
    <cellStyle name="Normal 8 13 2 2" xfId="4785" xr:uid="{1AEC84E1-2701-41E8-B4B9-3973E74ABC8A}"/>
    <cellStyle name="Normal 8 13 2 2 2" xfId="4786" xr:uid="{46484A68-6F0D-4BE9-9A38-C5889850AD46}"/>
    <cellStyle name="Normal 8 13 2 2 2 2" xfId="4787" xr:uid="{D74993F4-11C0-4189-B774-B1C70D35C478}"/>
    <cellStyle name="Normal 8 13 2 2 2 3" xfId="4788" xr:uid="{9A010F9E-F0DA-4C98-B9E8-8FD72D9BB333}"/>
    <cellStyle name="Normal 8 13 2 2 2_Bridge IR Q" xfId="4789" xr:uid="{BD2C1E5D-5D54-4BBF-86F7-8C913DE4311A}"/>
    <cellStyle name="Normal 8 13 2 2 3" xfId="4790" xr:uid="{6394BC79-D4BA-4E33-88EA-AAB8BFE1A9DA}"/>
    <cellStyle name="Normal 8 13 2 2 3 2" xfId="4791" xr:uid="{F04F6ED0-C359-4ECE-B5BF-97BCEF82C57D}"/>
    <cellStyle name="Normal 8 13 2 2 3 3" xfId="4792" xr:uid="{8E91204B-1AB4-4757-AAB5-96BA64A71EC6}"/>
    <cellStyle name="Normal 8 13 2 2 3_Bridge IR Q" xfId="4793" xr:uid="{DF840A58-D04E-452A-90AC-195B54E13BAA}"/>
    <cellStyle name="Normal 8 13 2 2 4" xfId="4794" xr:uid="{C3D4209D-AD0E-470B-8FFB-E130390E8241}"/>
    <cellStyle name="Normal 8 13 2 2 5" xfId="4795" xr:uid="{E454F22B-1E25-4F4F-B268-DB90177CCDDE}"/>
    <cellStyle name="Normal 8 13 2 2_Bridge IR Q" xfId="4796" xr:uid="{E5BEA099-DD2E-4493-B40F-C4A1D4078425}"/>
    <cellStyle name="Normal 8 13 2 3" xfId="4797" xr:uid="{8C363725-5992-4870-A269-D1754FA7FE6D}"/>
    <cellStyle name="Normal 8 13 2 3 2" xfId="4798" xr:uid="{C1382CFA-345E-4AC4-8663-7A93E6447DF2}"/>
    <cellStyle name="Normal 8 13 2 3 3" xfId="4799" xr:uid="{A83B6084-9F34-478A-ADDD-AE3F04417ABF}"/>
    <cellStyle name="Normal 8 13 2 3_Bridge IR Q" xfId="4800" xr:uid="{20F59C72-97E2-41BA-A006-810EB269F93A}"/>
    <cellStyle name="Normal 8 13 2 4" xfId="4801" xr:uid="{7C3174F9-983B-410B-955D-EE75F9688C07}"/>
    <cellStyle name="Normal 8 13 2 4 2" xfId="4802" xr:uid="{3EC67908-FFF3-4031-AE39-D2945DD55AE8}"/>
    <cellStyle name="Normal 8 13 2 4 3" xfId="4803" xr:uid="{B87914EC-5CB8-48B9-8059-1EEBC08BFD79}"/>
    <cellStyle name="Normal 8 13 2 4_Bridge IR Q" xfId="4804" xr:uid="{82D6EAED-F7CD-41C9-A9D3-B3AD98F292C0}"/>
    <cellStyle name="Normal 8 13 2 5" xfId="4805" xr:uid="{E1CECCBD-1B42-4A42-9F7A-318BF070DC55}"/>
    <cellStyle name="Normal 8 13 2 6" xfId="4806" xr:uid="{BC92C869-1822-4106-B8BB-6DE82FD3C7D0}"/>
    <cellStyle name="Normal 8 13 2_Bridge IR Q" xfId="4807" xr:uid="{C530ADF4-3EB0-444C-BF41-D1134CB7BAB1}"/>
    <cellStyle name="Normal 8 13 3" xfId="4808" xr:uid="{329C61A5-181B-441B-ADF7-CB1701A2DD25}"/>
    <cellStyle name="Normal 8 13 3 2" xfId="4809" xr:uid="{A64BE81B-1883-4479-A105-F4F8BDF2F9E0}"/>
    <cellStyle name="Normal 8 13 3 2 2" xfId="4810" xr:uid="{E2F78A66-D6C1-48EA-A474-B89202FAE256}"/>
    <cellStyle name="Normal 8 13 3 2 3" xfId="4811" xr:uid="{55B67A4C-47FA-4301-9552-FCBA5A8C8BD0}"/>
    <cellStyle name="Normal 8 13 3 2_Bridge IR Q" xfId="4812" xr:uid="{921C32FE-2A69-407C-85B8-675BC243F4FB}"/>
    <cellStyle name="Normal 8 13 3 3" xfId="4813" xr:uid="{1CB89B52-DF03-42D5-9800-2B8701B3C0B7}"/>
    <cellStyle name="Normal 8 13 3 3 2" xfId="4814" xr:uid="{70D5D000-0B56-4417-92A8-A8DCA6F10FEE}"/>
    <cellStyle name="Normal 8 13 3 3 3" xfId="4815" xr:uid="{87203785-D477-4CF1-8656-599BE1FCD1CB}"/>
    <cellStyle name="Normal 8 13 3 3_Bridge IR Q" xfId="4816" xr:uid="{0A7B2E4E-BE0E-4118-9119-435FEEE6B154}"/>
    <cellStyle name="Normal 8 13 3 4" xfId="4817" xr:uid="{43EF7F85-FB40-4382-BF5C-6C7F99DD1AE3}"/>
    <cellStyle name="Normal 8 13 3 5" xfId="4818" xr:uid="{376C21CA-9A9D-438C-A650-6A84098EA956}"/>
    <cellStyle name="Normal 8 13 3_Bridge IR Q" xfId="4819" xr:uid="{79D21F9A-1BCC-49A0-83A3-B14031F1780D}"/>
    <cellStyle name="Normal 8 13 4" xfId="4820" xr:uid="{1F46BF32-3348-45D8-9F06-DDC6806A19D3}"/>
    <cellStyle name="Normal 8 13 4 2" xfId="4821" xr:uid="{7679B5B8-5621-495F-9143-225250EA6180}"/>
    <cellStyle name="Normal 8 13 4 3" xfId="4822" xr:uid="{2BBDC0F2-8A9A-4CE7-B5C7-282EBCD59F88}"/>
    <cellStyle name="Normal 8 13 4_Bridge IR Q" xfId="4823" xr:uid="{408E026E-6256-4F24-9D1F-ABD99013D661}"/>
    <cellStyle name="Normal 8 13 5" xfId="4824" xr:uid="{326F6E77-7C36-47FD-8F48-DA552E9D117B}"/>
    <cellStyle name="Normal 8 13 5 2" xfId="4825" xr:uid="{906DDE52-18F5-4CC5-A726-97795E459E04}"/>
    <cellStyle name="Normal 8 13 5 3" xfId="4826" xr:uid="{1345C2F5-AAD1-4FC6-9134-F650EF99F096}"/>
    <cellStyle name="Normal 8 13 5_Bridge IR Q" xfId="4827" xr:uid="{200BDD66-0C4E-4F38-9A34-A2D0B9996FBE}"/>
    <cellStyle name="Normal 8 13 6" xfId="4828" xr:uid="{09E9E882-CAEE-423B-95A8-F8A8A63E6B3A}"/>
    <cellStyle name="Normal 8 13 7" xfId="4829" xr:uid="{D0656C60-D18C-425C-934D-885C591F57E3}"/>
    <cellStyle name="Normal 8 13_Bridge IR Q" xfId="4830" xr:uid="{2F41E78D-425D-42E2-8155-C17A97B1830E}"/>
    <cellStyle name="Normal 8 14" xfId="4831" xr:uid="{CD0CDFA1-E9A2-424B-B1E6-602B7762A343}"/>
    <cellStyle name="Normal 8 14 2" xfId="4832" xr:uid="{8D401EC3-3BB5-43AD-B137-44D22770A968}"/>
    <cellStyle name="Normal 8 14 2 2" xfId="4833" xr:uid="{6CF14843-632F-48DC-ACD7-5C48E56355D7}"/>
    <cellStyle name="Normal 8 14 2 2 2" xfId="4834" xr:uid="{3DC1CAEC-1661-4648-A855-CF0572331FC9}"/>
    <cellStyle name="Normal 8 14 2 2 2 2" xfId="4835" xr:uid="{1108F83C-021A-46BC-8C10-8215109D8B85}"/>
    <cellStyle name="Normal 8 14 2 2 2 3" xfId="4836" xr:uid="{BAF82798-097C-441D-BB47-E145FF8FEEE9}"/>
    <cellStyle name="Normal 8 14 2 2 2_Bridge IR Q" xfId="4837" xr:uid="{2459A5AF-4407-472C-B629-61A06ADC71A3}"/>
    <cellStyle name="Normal 8 14 2 2 3" xfId="4838" xr:uid="{9C55F32A-F278-4B2D-9585-26520F95B649}"/>
    <cellStyle name="Normal 8 14 2 2 3 2" xfId="4839" xr:uid="{04021C28-7510-49C7-936F-415993709AEA}"/>
    <cellStyle name="Normal 8 14 2 2 3 3" xfId="4840" xr:uid="{54F5203D-210E-4ADE-9E3C-8515EE554741}"/>
    <cellStyle name="Normal 8 14 2 2 3_Bridge IR Q" xfId="4841" xr:uid="{D1090512-994E-494E-8A33-ADDA79DD5FF7}"/>
    <cellStyle name="Normal 8 14 2 2 4" xfId="4842" xr:uid="{756504F9-9720-49F4-82B6-51B90A62115A}"/>
    <cellStyle name="Normal 8 14 2 2 5" xfId="4843" xr:uid="{CF19D311-AB17-44F7-B245-89E4D0E5D932}"/>
    <cellStyle name="Normal 8 14 2 2_Bridge IR Q" xfId="4844" xr:uid="{3B5CFD4D-B0C3-4F87-9122-1ABA7177D2EB}"/>
    <cellStyle name="Normal 8 14 2 3" xfId="4845" xr:uid="{1BCA9D33-1D1A-4C8D-95F1-B54DA6D55663}"/>
    <cellStyle name="Normal 8 14 2 3 2" xfId="4846" xr:uid="{724D0D4F-6EBB-42A2-B66E-5F63059CDBBE}"/>
    <cellStyle name="Normal 8 14 2 3 3" xfId="4847" xr:uid="{570D4945-4883-4BC5-A99C-325AB2A9BFED}"/>
    <cellStyle name="Normal 8 14 2 3_Bridge IR Q" xfId="4848" xr:uid="{4D254DBA-792A-47FD-92E3-4ED752E51AFD}"/>
    <cellStyle name="Normal 8 14 2 4" xfId="4849" xr:uid="{1648A845-ED1B-440A-9D9C-3109C45E05BF}"/>
    <cellStyle name="Normal 8 14 2 4 2" xfId="4850" xr:uid="{69F4ED40-0DE1-4FB3-AAFF-EBC3EF8BC63A}"/>
    <cellStyle name="Normal 8 14 2 4 3" xfId="4851" xr:uid="{141F69E9-8BFE-4F0C-BF4B-BE08854CC09A}"/>
    <cellStyle name="Normal 8 14 2 4_Bridge IR Q" xfId="4852" xr:uid="{EDF44DAF-EF88-4015-B56B-20D9AAAABE31}"/>
    <cellStyle name="Normal 8 14 2 5" xfId="4853" xr:uid="{E8764FA5-4EF1-4B48-B92A-EFE5C287C6B4}"/>
    <cellStyle name="Normal 8 14 2 6" xfId="4854" xr:uid="{8E557561-8868-464C-ABBD-8EBCC4C38A94}"/>
    <cellStyle name="Normal 8 14 2_Bridge IR Q" xfId="4855" xr:uid="{D3BBE0EB-D606-4DD5-865B-B88074F339E7}"/>
    <cellStyle name="Normal 8 14 3" xfId="4856" xr:uid="{429BF805-E4D2-4EE7-9D6A-967635DDABC7}"/>
    <cellStyle name="Normal 8 14 3 2" xfId="4857" xr:uid="{88E30256-DB77-4BD2-861D-D7911E480293}"/>
    <cellStyle name="Normal 8 14 3 2 2" xfId="4858" xr:uid="{C0D813C3-12F7-4804-BAA8-09522D1D07EC}"/>
    <cellStyle name="Normal 8 14 3 2 3" xfId="4859" xr:uid="{3B5AFB8E-9A9B-40DF-BC31-352E2BA04FC3}"/>
    <cellStyle name="Normal 8 14 3 2_Bridge IR Q" xfId="4860" xr:uid="{C6A25376-CF3F-4A78-A036-5E515A2C1F05}"/>
    <cellStyle name="Normal 8 14 3 3" xfId="4861" xr:uid="{39311645-F6AB-4BE6-A77F-F37E2482A2DF}"/>
    <cellStyle name="Normal 8 14 3 3 2" xfId="4862" xr:uid="{E1E7D95F-95DE-4AA0-8E2D-F15AF2FA2696}"/>
    <cellStyle name="Normal 8 14 3 3 3" xfId="4863" xr:uid="{FC5E8B30-4E89-476A-A82A-676F3A88F5D7}"/>
    <cellStyle name="Normal 8 14 3 3_Bridge IR Q" xfId="4864" xr:uid="{C1E4C238-D0C1-4F83-8F50-98C8ABD86291}"/>
    <cellStyle name="Normal 8 14 3 4" xfId="4865" xr:uid="{CA654F08-E986-4241-97A3-7B6F0D00018B}"/>
    <cellStyle name="Normal 8 14 3 5" xfId="4866" xr:uid="{DADCEB2E-2280-4F42-B0A7-32A52AE50CFF}"/>
    <cellStyle name="Normal 8 14 3_Bridge IR Q" xfId="4867" xr:uid="{16C3874C-8AE8-421E-BCA1-127872D5B0C0}"/>
    <cellStyle name="Normal 8 14 4" xfId="4868" xr:uid="{9552BDED-A573-4946-A24B-3D3CABE23EDF}"/>
    <cellStyle name="Normal 8 14 4 2" xfId="4869" xr:uid="{2CB2C586-0070-49EC-855B-73961B789A47}"/>
    <cellStyle name="Normal 8 14 4 3" xfId="4870" xr:uid="{369B4608-DCD6-48B1-833F-BB4061664268}"/>
    <cellStyle name="Normal 8 14 4_Bridge IR Q" xfId="4871" xr:uid="{EEFA171F-B1DF-4286-8964-D9D4B6DD2BD4}"/>
    <cellStyle name="Normal 8 14 5" xfId="4872" xr:uid="{86695112-5896-4D27-A5BB-769A15661D61}"/>
    <cellStyle name="Normal 8 14 5 2" xfId="4873" xr:uid="{3E9BCEB1-3C6C-4570-A0D4-D78BB53FA613}"/>
    <cellStyle name="Normal 8 14 5 3" xfId="4874" xr:uid="{4D874C71-6DE6-42DB-AE8F-A74C680AFF89}"/>
    <cellStyle name="Normal 8 14 5_Bridge IR Q" xfId="4875" xr:uid="{F962CDA3-EE19-425A-83CE-9E0EE207BBF5}"/>
    <cellStyle name="Normal 8 14 6" xfId="4876" xr:uid="{E9151D9B-4EB6-4521-BC0D-4F11A920F934}"/>
    <cellStyle name="Normal 8 14 7" xfId="4877" xr:uid="{A7EA2EEF-B590-40FB-A404-9B38707DF69A}"/>
    <cellStyle name="Normal 8 14_Bridge IR Q" xfId="4878" xr:uid="{4D5DDE98-B52F-4C7C-A9D4-68FE511DB384}"/>
    <cellStyle name="Normal 8 15" xfId="4879" xr:uid="{89D6BB43-4EF1-4508-B4F4-2DAE2EEBB92A}"/>
    <cellStyle name="Normal 8 15 2" xfId="4880" xr:uid="{2ADAA201-28BD-4BC8-AE2F-AAE7A79B9FD7}"/>
    <cellStyle name="Normal 8 15 2 2" xfId="4881" xr:uid="{C13D7609-F0E6-48C2-A57D-C3803771AF38}"/>
    <cellStyle name="Normal 8 15 2 2 2" xfId="4882" xr:uid="{AF23983D-D041-4D8E-B850-E7C775668295}"/>
    <cellStyle name="Normal 8 15 2 2 2 2" xfId="4883" xr:uid="{9938DB1E-4AF6-4C37-A2F5-14C53D49F51F}"/>
    <cellStyle name="Normal 8 15 2 2 2 3" xfId="4884" xr:uid="{5C8542BA-E829-4022-A2B2-3FC3ED6CD096}"/>
    <cellStyle name="Normal 8 15 2 2 2_Bridge IR Q" xfId="4885" xr:uid="{C2D0FBC9-3139-4EAA-8E5E-9BB84605C67C}"/>
    <cellStyle name="Normal 8 15 2 2 3" xfId="4886" xr:uid="{DA1EF3E6-22B8-439A-9A2E-10830459C928}"/>
    <cellStyle name="Normal 8 15 2 2 3 2" xfId="4887" xr:uid="{EA740D00-684F-4F08-836B-AAA3D53B2BDF}"/>
    <cellStyle name="Normal 8 15 2 2 3 3" xfId="4888" xr:uid="{FF991D4F-52FD-45D5-84FD-AB35DA09A664}"/>
    <cellStyle name="Normal 8 15 2 2 3_Bridge IR Q" xfId="4889" xr:uid="{81A515B5-96BA-4CCF-B278-F86FEEFF7E5F}"/>
    <cellStyle name="Normal 8 15 2 2 4" xfId="4890" xr:uid="{3ACBDDFF-FC54-4C41-A657-C6AF993739CE}"/>
    <cellStyle name="Normal 8 15 2 2 5" xfId="4891" xr:uid="{5F1F8225-4AE8-46A5-9C5C-536C65394704}"/>
    <cellStyle name="Normal 8 15 2 2_Bridge IR Q" xfId="4892" xr:uid="{B207210E-E1E2-4E99-886F-ABB83A156583}"/>
    <cellStyle name="Normal 8 15 2 3" xfId="4893" xr:uid="{308CDAFA-BBFE-41B8-ADCE-881CEE55E8BB}"/>
    <cellStyle name="Normal 8 15 2 3 2" xfId="4894" xr:uid="{23B6C266-F6AB-4521-924A-9619F4DD6443}"/>
    <cellStyle name="Normal 8 15 2 3 3" xfId="4895" xr:uid="{98B1163B-3502-49D8-9D95-E21D721E78B3}"/>
    <cellStyle name="Normal 8 15 2 3_Bridge IR Q" xfId="4896" xr:uid="{AC165578-8E97-4110-993E-92CCCD9E467C}"/>
    <cellStyle name="Normal 8 15 2 4" xfId="4897" xr:uid="{E14D4E1D-1C1C-4F1C-B774-08A2693392AC}"/>
    <cellStyle name="Normal 8 15 2 4 2" xfId="4898" xr:uid="{59E24C44-B245-4EBB-8514-B3A6D84E2AA9}"/>
    <cellStyle name="Normal 8 15 2 4 3" xfId="4899" xr:uid="{29C12602-1959-4CA6-A75A-692D15E4BA01}"/>
    <cellStyle name="Normal 8 15 2 4_Bridge IR Q" xfId="4900" xr:uid="{C834C349-4A42-4F7A-A859-B5C0AA6DFEB1}"/>
    <cellStyle name="Normal 8 15 2 5" xfId="4901" xr:uid="{A803586B-E4C9-4B15-A83A-A31BED6EC5C1}"/>
    <cellStyle name="Normal 8 15 2 6" xfId="4902" xr:uid="{5D216DC0-F02B-483F-8D0F-5E799A1DF73D}"/>
    <cellStyle name="Normal 8 15 2_Bridge IR Q" xfId="4903" xr:uid="{FF5438A1-7FBB-46BC-8DBF-E291D289A3DA}"/>
    <cellStyle name="Normal 8 15 3" xfId="4904" xr:uid="{3C23AF20-495F-4844-95A6-174A0AAFBF4F}"/>
    <cellStyle name="Normal 8 15 3 2" xfId="4905" xr:uid="{A991FC34-EFA4-4D28-94A3-758C595DD9BC}"/>
    <cellStyle name="Normal 8 15 3 2 2" xfId="4906" xr:uid="{62FBD9B0-D759-498B-A1C5-3D440BA03A89}"/>
    <cellStyle name="Normal 8 15 3 2 3" xfId="4907" xr:uid="{3A51AF9F-49F5-49D2-B370-0359EF9FC72A}"/>
    <cellStyle name="Normal 8 15 3 2_Bridge IR Q" xfId="4908" xr:uid="{092D6F5E-1174-442E-B7E6-7298717726EB}"/>
    <cellStyle name="Normal 8 15 3 3" xfId="4909" xr:uid="{C49132B1-F963-4DF6-A98E-8025D8A90870}"/>
    <cellStyle name="Normal 8 15 3 3 2" xfId="4910" xr:uid="{8B6584EF-E2D3-4DC7-A15E-920115B3824B}"/>
    <cellStyle name="Normal 8 15 3 3 3" xfId="4911" xr:uid="{028A1659-2128-4052-AB30-49D90EF5FEE4}"/>
    <cellStyle name="Normal 8 15 3 3_Bridge IR Q" xfId="4912" xr:uid="{60CA0527-E26C-480A-8A56-1E4E8DB0E80C}"/>
    <cellStyle name="Normal 8 15 3 4" xfId="4913" xr:uid="{094558CA-A329-457C-B195-CFD7B014F663}"/>
    <cellStyle name="Normal 8 15 3 5" xfId="4914" xr:uid="{938C8D88-DEBE-4F7E-BFC1-3339AC56706C}"/>
    <cellStyle name="Normal 8 15 3_Bridge IR Q" xfId="4915" xr:uid="{D836F53D-5549-4753-AD2D-8F5C79C21888}"/>
    <cellStyle name="Normal 8 15 4" xfId="4916" xr:uid="{D6EBED1B-1A3B-463C-BD9E-EF2A1C5637D6}"/>
    <cellStyle name="Normal 8 15 4 2" xfId="4917" xr:uid="{B1594F78-9E46-4D42-86D5-D2826F444BFC}"/>
    <cellStyle name="Normal 8 15 4 3" xfId="4918" xr:uid="{B41D8543-8743-4E30-A824-05D24FDF8D96}"/>
    <cellStyle name="Normal 8 15 4_Bridge IR Q" xfId="4919" xr:uid="{0AA054A0-868C-448C-843B-A42F46BF5A0A}"/>
    <cellStyle name="Normal 8 15 5" xfId="4920" xr:uid="{E99B6607-C6A3-4E1A-9391-02044E793749}"/>
    <cellStyle name="Normal 8 15 5 2" xfId="4921" xr:uid="{47117FFE-4B38-4F10-B5BA-9CD6F0AAD1D7}"/>
    <cellStyle name="Normal 8 15 5 3" xfId="4922" xr:uid="{6C3AD815-683D-4387-B02C-D8F42586B94F}"/>
    <cellStyle name="Normal 8 15 5_Bridge IR Q" xfId="4923" xr:uid="{1162D344-87BC-4C83-B8AD-006F1A0161E0}"/>
    <cellStyle name="Normal 8 15 6" xfId="4924" xr:uid="{3A03315F-72D9-4EF8-8E7B-CC24C8871A64}"/>
    <cellStyle name="Normal 8 15 7" xfId="4925" xr:uid="{D16C4616-0028-46EF-8D12-C6EDCAD519A8}"/>
    <cellStyle name="Normal 8 15_Bridge IR Q" xfId="4926" xr:uid="{1E5F06D1-AA68-4DE3-84C9-006F03741C23}"/>
    <cellStyle name="Normal 8 16" xfId="4927" xr:uid="{1C41DB2F-E652-4BE6-A6EC-97A080F72215}"/>
    <cellStyle name="Normal 8 16 2" xfId="4928" xr:uid="{0E052B93-CCEB-4FD2-A027-B760561BC6D8}"/>
    <cellStyle name="Normal 8 16 2 2" xfId="4929" xr:uid="{27A0DAFD-6297-4F6B-82D7-1AC47FCEC7BF}"/>
    <cellStyle name="Normal 8 16 2 2 2" xfId="4930" xr:uid="{4BE07EF2-F868-4311-9C4C-4BBD5A9B54DB}"/>
    <cellStyle name="Normal 8 16 2 2 2 2" xfId="4931" xr:uid="{B0C89664-353B-4367-B551-CEC4F9BABA7B}"/>
    <cellStyle name="Normal 8 16 2 2 2 3" xfId="4932" xr:uid="{4DFA3A42-0EA1-45F3-AAB7-2E93E34EFB86}"/>
    <cellStyle name="Normal 8 16 2 2 2_Bridge IR Q" xfId="4933" xr:uid="{F64DF9B1-69E8-4F85-AA78-E4233B316FBE}"/>
    <cellStyle name="Normal 8 16 2 2 3" xfId="4934" xr:uid="{BF3934C5-808F-486C-A46D-C4077E2583EA}"/>
    <cellStyle name="Normal 8 16 2 2 3 2" xfId="4935" xr:uid="{70AFFF46-9BA3-4FD5-BC85-D136A1590990}"/>
    <cellStyle name="Normal 8 16 2 2 3 3" xfId="4936" xr:uid="{BCEF6578-A1BD-4EA3-8B0F-9CB84E12ACDC}"/>
    <cellStyle name="Normal 8 16 2 2 3_Bridge IR Q" xfId="4937" xr:uid="{91F2E85A-BE09-444A-8557-6EAD8818A780}"/>
    <cellStyle name="Normal 8 16 2 2 4" xfId="4938" xr:uid="{C7DAF1A7-96E4-4D7E-9F56-64351183B7D4}"/>
    <cellStyle name="Normal 8 16 2 2 5" xfId="4939" xr:uid="{60AB2BE4-3617-464B-B311-21FC09A107CC}"/>
    <cellStyle name="Normal 8 16 2 2_Bridge IR Q" xfId="4940" xr:uid="{347CF4B1-4352-40D4-8382-98CF3A2EEAF8}"/>
    <cellStyle name="Normal 8 16 2 3" xfId="4941" xr:uid="{BC4987EA-459E-4136-AB6A-FB8A538D2E94}"/>
    <cellStyle name="Normal 8 16 2 3 2" xfId="4942" xr:uid="{0AFEB384-F65C-4B8F-86CE-39D7A80467EC}"/>
    <cellStyle name="Normal 8 16 2 3 3" xfId="4943" xr:uid="{D3BE1EA0-C7AC-452E-BECA-8612B42EE7D6}"/>
    <cellStyle name="Normal 8 16 2 3_Bridge IR Q" xfId="4944" xr:uid="{8AEB7389-3E6A-4D18-A2ED-965ADC11105F}"/>
    <cellStyle name="Normal 8 16 2 4" xfId="4945" xr:uid="{AA977BAF-6B43-44D2-B666-C59524B53EBB}"/>
    <cellStyle name="Normal 8 16 2 4 2" xfId="4946" xr:uid="{BD0E1EEB-DE4E-4B6F-8C15-F813CD2A4763}"/>
    <cellStyle name="Normal 8 16 2 4 3" xfId="4947" xr:uid="{41825841-D497-499E-9E1D-ECD870A0DB43}"/>
    <cellStyle name="Normal 8 16 2 4_Bridge IR Q" xfId="4948" xr:uid="{A14CE23A-C40B-4EB0-AB14-E9AFE16917C8}"/>
    <cellStyle name="Normal 8 16 2 5" xfId="4949" xr:uid="{369430A2-6DBB-4DA4-B585-826B5D5F2A54}"/>
    <cellStyle name="Normal 8 16 2 6" xfId="4950" xr:uid="{2B5F2787-93A8-406D-84AD-71E4558C2953}"/>
    <cellStyle name="Normal 8 16 2_Bridge IR Q" xfId="4951" xr:uid="{B05E8F6A-8F0A-443A-A356-29486F91D9EB}"/>
    <cellStyle name="Normal 8 16 3" xfId="4952" xr:uid="{DC0DAE70-304E-4261-8813-467A3ACF98C4}"/>
    <cellStyle name="Normal 8 16 3 2" xfId="4953" xr:uid="{7C7F8E16-7EC5-40E9-A94F-09FD68185129}"/>
    <cellStyle name="Normal 8 16 3 2 2" xfId="4954" xr:uid="{0A6DDE59-41DC-4FFB-A275-C7FF3DEF6AF0}"/>
    <cellStyle name="Normal 8 16 3 2 3" xfId="4955" xr:uid="{E6FA4125-639E-4A88-A06E-8EBA3A8E2FE6}"/>
    <cellStyle name="Normal 8 16 3 2_Bridge IR Q" xfId="4956" xr:uid="{D33FC63D-A178-4B32-922B-0445BED971C1}"/>
    <cellStyle name="Normal 8 16 3 3" xfId="4957" xr:uid="{8F6237FA-5073-4CF8-A078-114E78DAD1F7}"/>
    <cellStyle name="Normal 8 16 3 3 2" xfId="4958" xr:uid="{8997F139-7D3F-4F95-9797-C216BC7EFBC8}"/>
    <cellStyle name="Normal 8 16 3 3 3" xfId="4959" xr:uid="{C6AF5EEE-5E27-405C-9FA9-56099E53C267}"/>
    <cellStyle name="Normal 8 16 3 3_Bridge IR Q" xfId="4960" xr:uid="{B582EDFE-79BD-4891-AC39-0C371693C3A4}"/>
    <cellStyle name="Normal 8 16 3 4" xfId="4961" xr:uid="{4F72DE15-3ABB-4DF4-8F4C-30EE3062EC14}"/>
    <cellStyle name="Normal 8 16 3 5" xfId="4962" xr:uid="{D3473DF5-2759-48CA-9CCE-7C69351C1A0B}"/>
    <cellStyle name="Normal 8 16 3_Bridge IR Q" xfId="4963" xr:uid="{07792802-A311-4239-8F24-12E9EBB48614}"/>
    <cellStyle name="Normal 8 16 4" xfId="4964" xr:uid="{8CADED36-251E-4C8D-8DA6-E4BE82E54B4A}"/>
    <cellStyle name="Normal 8 16 4 2" xfId="4965" xr:uid="{611673D0-F1B9-4301-9AF3-55CD6C3C7164}"/>
    <cellStyle name="Normal 8 16 4 3" xfId="4966" xr:uid="{F1C72A2E-28BD-48DB-B1F9-14186353DF55}"/>
    <cellStyle name="Normal 8 16 4_Bridge IR Q" xfId="4967" xr:uid="{29912715-FC98-438C-8DBE-390E78639A8F}"/>
    <cellStyle name="Normal 8 16 5" xfId="4968" xr:uid="{57A5403B-6EAC-4A57-9B36-858B65882131}"/>
    <cellStyle name="Normal 8 16 5 2" xfId="4969" xr:uid="{2CFD4136-0944-41A1-9D40-93B92864CEA7}"/>
    <cellStyle name="Normal 8 16 5 3" xfId="4970" xr:uid="{AF98C4E9-905B-448C-B2A8-A962A47921D3}"/>
    <cellStyle name="Normal 8 16 5_Bridge IR Q" xfId="4971" xr:uid="{C57D1F51-13EF-43F3-BC7E-CC84A2C71313}"/>
    <cellStyle name="Normal 8 16 6" xfId="4972" xr:uid="{F5C89B8E-38B8-48C7-B7C6-947640F1E7E2}"/>
    <cellStyle name="Normal 8 16 7" xfId="4973" xr:uid="{33623FF5-EE74-480E-957E-A502FB52E052}"/>
    <cellStyle name="Normal 8 16_Bridge IR Q" xfId="4974" xr:uid="{65FCC6C6-DE08-4728-8636-3E515F24EE1A}"/>
    <cellStyle name="Normal 8 17" xfId="4975" xr:uid="{93896D9C-4030-49CB-AB6B-92455F20F0B5}"/>
    <cellStyle name="Normal 8 17 2" xfId="4976" xr:uid="{637AFC9B-A92E-4812-8C1A-72EBC9708F8C}"/>
    <cellStyle name="Normal 8 17 2 2" xfId="4977" xr:uid="{91E1F32C-2E10-4944-B776-F8E5FE4D67E5}"/>
    <cellStyle name="Normal 8 17 2 2 2" xfId="4978" xr:uid="{CF203564-0C3E-4307-9D4D-5BC522AE4C7B}"/>
    <cellStyle name="Normal 8 17 2 2 2 2" xfId="4979" xr:uid="{F8D19F51-95FE-473A-8FC2-C9A55EDD3A6A}"/>
    <cellStyle name="Normal 8 17 2 2 2 3" xfId="4980" xr:uid="{2F92CCDA-8407-4024-8BC2-25564CC52984}"/>
    <cellStyle name="Normal 8 17 2 2 2_Bridge IR Q" xfId="4981" xr:uid="{D46C43F4-5D0B-4684-9520-798D5C77F01F}"/>
    <cellStyle name="Normal 8 17 2 2 3" xfId="4982" xr:uid="{901A80BC-8C5E-454B-AEE5-B90669194010}"/>
    <cellStyle name="Normal 8 17 2 2 3 2" xfId="4983" xr:uid="{701142D0-D4F4-4710-BB42-2A8FB5246484}"/>
    <cellStyle name="Normal 8 17 2 2 3 3" xfId="4984" xr:uid="{4F16FA0D-C026-40B6-995E-A04FDD60B491}"/>
    <cellStyle name="Normal 8 17 2 2 3_Bridge IR Q" xfId="4985" xr:uid="{37234D6F-A4B4-4C6E-8A93-F6224C02F67C}"/>
    <cellStyle name="Normal 8 17 2 2 4" xfId="4986" xr:uid="{B623FC7D-900B-4A3A-9266-3CA7C0B80184}"/>
    <cellStyle name="Normal 8 17 2 2 5" xfId="4987" xr:uid="{8F4B496C-F5C1-4755-A21F-7C8C3B4B8F72}"/>
    <cellStyle name="Normal 8 17 2 2_Bridge IR Q" xfId="4988" xr:uid="{346ABFD8-27CC-428B-8DA4-3FB4697800EA}"/>
    <cellStyle name="Normal 8 17 2 3" xfId="4989" xr:uid="{D4542065-C62F-4723-8A8A-816D24F5DCFD}"/>
    <cellStyle name="Normal 8 17 2 3 2" xfId="4990" xr:uid="{3F603DCF-CB1F-442D-AD2F-F6B94D4F1426}"/>
    <cellStyle name="Normal 8 17 2 3 3" xfId="4991" xr:uid="{77B54355-CBDB-4DFF-91C8-4A86B9561512}"/>
    <cellStyle name="Normal 8 17 2 3_Bridge IR Q" xfId="4992" xr:uid="{2CC44833-39D2-4F00-80E8-A60A8D28F2E8}"/>
    <cellStyle name="Normal 8 17 2 4" xfId="4993" xr:uid="{6A47E6FE-7202-457A-B9AA-508BB703EB77}"/>
    <cellStyle name="Normal 8 17 2 4 2" xfId="4994" xr:uid="{EFB05546-EF0C-406C-85BB-E6B068C2E0A3}"/>
    <cellStyle name="Normal 8 17 2 4 3" xfId="4995" xr:uid="{F7BEA7D4-8441-4A73-8E95-6266DC4D8540}"/>
    <cellStyle name="Normal 8 17 2 4_Bridge IR Q" xfId="4996" xr:uid="{B36532F5-BFAF-413C-B084-BC1D6AC42A9E}"/>
    <cellStyle name="Normal 8 17 2 5" xfId="4997" xr:uid="{7D1DA2A6-9EE4-4FD9-817F-BC776FDE8D00}"/>
    <cellStyle name="Normal 8 17 2 6" xfId="4998" xr:uid="{6570528E-6A96-4283-85D9-CD386458B1B7}"/>
    <cellStyle name="Normal 8 17 2_Bridge IR Q" xfId="4999" xr:uid="{7EF4B1E5-EE53-4379-9C8C-7C4466F6E884}"/>
    <cellStyle name="Normal 8 17 3" xfId="5000" xr:uid="{122F6936-0858-4309-87CF-54C441E53B83}"/>
    <cellStyle name="Normal 8 17 3 2" xfId="5001" xr:uid="{13A84390-658C-4E14-8CEC-C523389DEC40}"/>
    <cellStyle name="Normal 8 17 3 2 2" xfId="5002" xr:uid="{A090E0D3-423F-4102-BF94-582B20CC625C}"/>
    <cellStyle name="Normal 8 17 3 2 3" xfId="5003" xr:uid="{E655AFA5-1F6A-498B-B46B-AC7A7E0499F1}"/>
    <cellStyle name="Normal 8 17 3 2_Bridge IR Q" xfId="5004" xr:uid="{1173DD40-708F-4E87-AA4B-A5D144E7AAB6}"/>
    <cellStyle name="Normal 8 17 3 3" xfId="5005" xr:uid="{8A4CF616-16B6-4C24-903C-6E2B00F29893}"/>
    <cellStyle name="Normal 8 17 3 3 2" xfId="5006" xr:uid="{BC6E0ABA-1253-4A3D-A116-203938107648}"/>
    <cellStyle name="Normal 8 17 3 3 3" xfId="5007" xr:uid="{72EC82A5-5670-46D6-AA9A-FA0C94D67FAC}"/>
    <cellStyle name="Normal 8 17 3 3_Bridge IR Q" xfId="5008" xr:uid="{B136641D-6305-47E5-8A6E-D5F0243C992B}"/>
    <cellStyle name="Normal 8 17 3 4" xfId="5009" xr:uid="{8327D5E3-89EB-4320-B4C5-D28222195C50}"/>
    <cellStyle name="Normal 8 17 3 5" xfId="5010" xr:uid="{D07DDA0B-7078-472C-BC01-63C60BE2310C}"/>
    <cellStyle name="Normal 8 17 3_Bridge IR Q" xfId="5011" xr:uid="{E8BA348E-5BF1-40E1-ABC7-FCA425EA1DA1}"/>
    <cellStyle name="Normal 8 17 4" xfId="5012" xr:uid="{4DC73313-2833-498D-B15B-CD58BC8C40FC}"/>
    <cellStyle name="Normal 8 17 4 2" xfId="5013" xr:uid="{E5CA5094-E306-42F4-BF80-A487C851D3E0}"/>
    <cellStyle name="Normal 8 17 4 3" xfId="5014" xr:uid="{07A33E36-16FA-446A-941F-AB2B7CFDC17C}"/>
    <cellStyle name="Normal 8 17 4_Bridge IR Q" xfId="5015" xr:uid="{8FA46CD5-0DEB-4E4F-A060-1189DD08731D}"/>
    <cellStyle name="Normal 8 17 5" xfId="5016" xr:uid="{F958C229-663D-400B-9309-6F578B106C92}"/>
    <cellStyle name="Normal 8 17 5 2" xfId="5017" xr:uid="{0D6007EC-3149-41C6-8EBE-B9D6566C7265}"/>
    <cellStyle name="Normal 8 17 5 3" xfId="5018" xr:uid="{23166194-0245-4B2A-8F9B-F5CD440BB095}"/>
    <cellStyle name="Normal 8 17 5_Bridge IR Q" xfId="5019" xr:uid="{1A56ED09-0BB6-4627-8959-E77ED88EBD70}"/>
    <cellStyle name="Normal 8 17 6" xfId="5020" xr:uid="{A018A1E5-4E6C-463B-82B2-67AFC8BC7BEA}"/>
    <cellStyle name="Normal 8 17 7" xfId="5021" xr:uid="{2C0A80E7-BAD5-4A5B-B7F0-D3B4765AB313}"/>
    <cellStyle name="Normal 8 17_Bridge IR Q" xfId="5022" xr:uid="{CF0B3706-31FD-40CB-BADC-9CD484CD5C4E}"/>
    <cellStyle name="Normal 8 18" xfId="5023" xr:uid="{46E697C2-AC24-43C8-B848-ADAAC326E515}"/>
    <cellStyle name="Normal 8 18 2" xfId="5024" xr:uid="{D21D421C-5511-4AE3-81DB-FDA78AD8E0D9}"/>
    <cellStyle name="Normal 8 18 2 2" xfId="5025" xr:uid="{301C0C86-1965-422B-A5BE-2393ED1EBD9F}"/>
    <cellStyle name="Normal 8 18 2 2 2" xfId="5026" xr:uid="{4D2F44BB-D0BB-42CA-8A70-2306AE2429D1}"/>
    <cellStyle name="Normal 8 18 2 2 2 2" xfId="5027" xr:uid="{0BDBD057-312B-4F4D-A53A-3A4D327D1E1B}"/>
    <cellStyle name="Normal 8 18 2 2 2 3" xfId="5028" xr:uid="{65E81132-0A7F-4B71-ADD2-0DDB5DD1E107}"/>
    <cellStyle name="Normal 8 18 2 2 2_Bridge IR Q" xfId="5029" xr:uid="{511F6704-7BF6-4A53-9046-9436DF25C2F8}"/>
    <cellStyle name="Normal 8 18 2 2 3" xfId="5030" xr:uid="{24774488-C309-4E86-AC91-7004607C5AE2}"/>
    <cellStyle name="Normal 8 18 2 2 3 2" xfId="5031" xr:uid="{3A4E43BC-2746-4DF1-83F1-62FABC537BDD}"/>
    <cellStyle name="Normal 8 18 2 2 3 3" xfId="5032" xr:uid="{500E31B0-10CB-4187-8392-607224A709CB}"/>
    <cellStyle name="Normal 8 18 2 2 3_Bridge IR Q" xfId="5033" xr:uid="{1EB466A1-355E-4657-8057-976818D92285}"/>
    <cellStyle name="Normal 8 18 2 2 4" xfId="5034" xr:uid="{FAC050D6-6352-4AFC-B755-5786142D941D}"/>
    <cellStyle name="Normal 8 18 2 2 5" xfId="5035" xr:uid="{4ADBAA4B-8E15-4ED0-A34A-A88503C7F92B}"/>
    <cellStyle name="Normal 8 18 2 2_Bridge IR Q" xfId="5036" xr:uid="{381F842C-BBEF-4413-B8D3-EC4190C3E2E3}"/>
    <cellStyle name="Normal 8 18 2 3" xfId="5037" xr:uid="{17C9DA4B-1700-44FA-90F8-9182A8020E95}"/>
    <cellStyle name="Normal 8 18 2 3 2" xfId="5038" xr:uid="{7CDF1DB8-E839-46D7-A716-60A93B755CB4}"/>
    <cellStyle name="Normal 8 18 2 3 3" xfId="5039" xr:uid="{8594610E-0DAD-4506-B56E-BB01BBA261BE}"/>
    <cellStyle name="Normal 8 18 2 3_Bridge IR Q" xfId="5040" xr:uid="{2FBEC503-E999-45A6-B0C6-C6E37383CB5E}"/>
    <cellStyle name="Normal 8 18 2 4" xfId="5041" xr:uid="{5E11594C-3A48-48F4-B809-1C08EF43FFB1}"/>
    <cellStyle name="Normal 8 18 2 4 2" xfId="5042" xr:uid="{DC03839A-7C71-4F44-8506-E2569A90C046}"/>
    <cellStyle name="Normal 8 18 2 4 3" xfId="5043" xr:uid="{312817E8-DE6A-4E41-9CFC-968434E7665D}"/>
    <cellStyle name="Normal 8 18 2 4_Bridge IR Q" xfId="5044" xr:uid="{C2A67190-6239-408A-AEB3-D885620EA912}"/>
    <cellStyle name="Normal 8 18 2 5" xfId="5045" xr:uid="{160F54E0-16EC-4402-AFB0-F20BF3BCBF87}"/>
    <cellStyle name="Normal 8 18 2 6" xfId="5046" xr:uid="{4D25CAFB-7034-48C4-8F03-19486854BBA3}"/>
    <cellStyle name="Normal 8 18 2_Bridge IR Q" xfId="5047" xr:uid="{2FACDBCE-12B0-4690-8CE3-0FAF42469C3B}"/>
    <cellStyle name="Normal 8 18 3" xfId="5048" xr:uid="{48732AE0-FF52-456A-8827-A486919E2D5B}"/>
    <cellStyle name="Normal 8 18 3 2" xfId="5049" xr:uid="{DF3B1BC1-BC01-443F-9990-42DC9D436751}"/>
    <cellStyle name="Normal 8 18 3 2 2" xfId="5050" xr:uid="{DD536B01-A51B-428C-8629-6FC78556027E}"/>
    <cellStyle name="Normal 8 18 3 2 3" xfId="5051" xr:uid="{03FF4987-28B7-4E12-88F6-00FE522C718B}"/>
    <cellStyle name="Normal 8 18 3 2_Bridge IR Q" xfId="5052" xr:uid="{8AE016E7-C937-43D0-80E4-88A52927BA05}"/>
    <cellStyle name="Normal 8 18 3 3" xfId="5053" xr:uid="{DB624486-D3FE-4F96-AF67-9FC632D50193}"/>
    <cellStyle name="Normal 8 18 3 3 2" xfId="5054" xr:uid="{BB8D2DD1-57C6-41AB-A762-B6B9A53A9274}"/>
    <cellStyle name="Normal 8 18 3 3 3" xfId="5055" xr:uid="{E9AEDBD2-D8A0-4DC6-94DA-FB37DD69CC42}"/>
    <cellStyle name="Normal 8 18 3 3_Bridge IR Q" xfId="5056" xr:uid="{829B4901-52C4-407F-8EDA-47653EBF27E5}"/>
    <cellStyle name="Normal 8 18 3 4" xfId="5057" xr:uid="{B444103C-552B-4B13-B965-1AA2C868F339}"/>
    <cellStyle name="Normal 8 18 3 5" xfId="5058" xr:uid="{8854BBC6-18D1-40F7-BCEA-F87D7554891C}"/>
    <cellStyle name="Normal 8 18 3_Bridge IR Q" xfId="5059" xr:uid="{B81E606D-1E36-4269-8BA6-BE8684014F3E}"/>
    <cellStyle name="Normal 8 18 4" xfId="5060" xr:uid="{9791AA57-CBBB-46E5-B542-647BAF960EDE}"/>
    <cellStyle name="Normal 8 18 4 2" xfId="5061" xr:uid="{FA1C0B39-43BF-4062-A328-19101EFA43CC}"/>
    <cellStyle name="Normal 8 18 4 3" xfId="5062" xr:uid="{9D557F63-7EBC-437F-962B-6A4F043D3617}"/>
    <cellStyle name="Normal 8 18 4_Bridge IR Q" xfId="5063" xr:uid="{D0A10004-89D2-41C0-9083-D161EFE7BF71}"/>
    <cellStyle name="Normal 8 18 5" xfId="5064" xr:uid="{4A8FADF5-1708-4DC2-AA46-C0BA90B3ED98}"/>
    <cellStyle name="Normal 8 18 5 2" xfId="5065" xr:uid="{19DF8557-A27E-42E1-9130-1A891AB77A6D}"/>
    <cellStyle name="Normal 8 18 5 3" xfId="5066" xr:uid="{AA3FF450-23DF-44EA-B6E9-073F43E7606A}"/>
    <cellStyle name="Normal 8 18 5_Bridge IR Q" xfId="5067" xr:uid="{5B556F62-FCC1-480B-9AF3-83C4E9071E74}"/>
    <cellStyle name="Normal 8 18 6" xfId="5068" xr:uid="{65383DAB-92D7-47B6-9277-19FDAD2127FB}"/>
    <cellStyle name="Normal 8 18 7" xfId="5069" xr:uid="{EC6E53AE-5E67-4514-9328-4C10B4D6EC31}"/>
    <cellStyle name="Normal 8 18_Bridge IR Q" xfId="5070" xr:uid="{4960BAED-72E2-4E9B-BD1A-48C73EA15013}"/>
    <cellStyle name="Normal 8 19" xfId="5071" xr:uid="{3D8FB9AB-B10D-4E7F-B0A4-8111C93895AD}"/>
    <cellStyle name="Normal 8 19 2" xfId="5072" xr:uid="{771D1AA4-45FE-4BA8-9BF5-B19AD79E446E}"/>
    <cellStyle name="Normal 8 19 2 2" xfId="5073" xr:uid="{51A9ED90-048C-4A67-9D8D-11C4BC2E1ED1}"/>
    <cellStyle name="Normal 8 19 2 2 2" xfId="5074" xr:uid="{0EFA2E8D-DAD8-40AB-980E-5F1F4B667B28}"/>
    <cellStyle name="Normal 8 19 2 2 2 2" xfId="5075" xr:uid="{E015B22D-474A-46B0-916C-6B3805F8BBE1}"/>
    <cellStyle name="Normal 8 19 2 2 2 3" xfId="5076" xr:uid="{C5FDAFE6-82FD-4F62-A35D-BFBD7564E566}"/>
    <cellStyle name="Normal 8 19 2 2 2_Bridge IR Q" xfId="5077" xr:uid="{60923876-537A-42FA-B780-F217A19E9823}"/>
    <cellStyle name="Normal 8 19 2 2 3" xfId="5078" xr:uid="{E74A09C3-514B-450A-8497-996754980CAA}"/>
    <cellStyle name="Normal 8 19 2 2 3 2" xfId="5079" xr:uid="{34A50893-7D65-432F-A6A9-97CD57F60D0F}"/>
    <cellStyle name="Normal 8 19 2 2 3 3" xfId="5080" xr:uid="{AEA6CAE7-A066-422D-813E-37A8D57297DF}"/>
    <cellStyle name="Normal 8 19 2 2 3_Bridge IR Q" xfId="5081" xr:uid="{C11AE801-2766-4908-95D9-14C608337491}"/>
    <cellStyle name="Normal 8 19 2 2 4" xfId="5082" xr:uid="{767B9822-7B15-4067-8021-22D06DF0C85B}"/>
    <cellStyle name="Normal 8 19 2 2 5" xfId="5083" xr:uid="{B5ED17A5-1ECF-4B5E-ABE1-64E043828D24}"/>
    <cellStyle name="Normal 8 19 2 2_Bridge IR Q" xfId="5084" xr:uid="{2DBB4833-96C5-4D74-B255-16C7D323F52F}"/>
    <cellStyle name="Normal 8 19 2 3" xfId="5085" xr:uid="{B75A3D6C-85FA-4099-AA32-29240F39C692}"/>
    <cellStyle name="Normal 8 19 2 3 2" xfId="5086" xr:uid="{0829A72E-9D72-4EB4-A6D8-8A0CBAC84EE9}"/>
    <cellStyle name="Normal 8 19 2 3 3" xfId="5087" xr:uid="{3AC5967F-1A94-41D5-AD01-3DB6712B9326}"/>
    <cellStyle name="Normal 8 19 2 3_Bridge IR Q" xfId="5088" xr:uid="{A179AF33-901E-4631-B1E6-BB303D1FF321}"/>
    <cellStyle name="Normal 8 19 2 4" xfId="5089" xr:uid="{73208848-C184-4021-9DC5-8D0FBAB1EBD9}"/>
    <cellStyle name="Normal 8 19 2 4 2" xfId="5090" xr:uid="{53C470CE-0B3C-4FF4-8940-B2BF747B8794}"/>
    <cellStyle name="Normal 8 19 2 4 3" xfId="5091" xr:uid="{6C270581-AEFC-445C-A6D1-DDBF6747233A}"/>
    <cellStyle name="Normal 8 19 2 4_Bridge IR Q" xfId="5092" xr:uid="{CED3828F-5F02-4DC1-9C9B-5B5CA4244A81}"/>
    <cellStyle name="Normal 8 19 2 5" xfId="5093" xr:uid="{1515538E-9022-4547-A585-808D75A1A4D1}"/>
    <cellStyle name="Normal 8 19 2 6" xfId="5094" xr:uid="{B9010799-1977-4994-B189-743932B6B50C}"/>
    <cellStyle name="Normal 8 19 2_Bridge IR Q" xfId="5095" xr:uid="{70743F1D-2210-483A-927F-548F2F2E3F91}"/>
    <cellStyle name="Normal 8 19 3" xfId="5096" xr:uid="{21D95045-C7F9-4C4A-8036-A8D7BB6425D5}"/>
    <cellStyle name="Normal 8 19 3 2" xfId="5097" xr:uid="{B61CC92B-77FE-4437-8839-1C843ABF4D5F}"/>
    <cellStyle name="Normal 8 19 3 2 2" xfId="5098" xr:uid="{5B99C80E-821A-42FB-8479-D66B78C106D7}"/>
    <cellStyle name="Normal 8 19 3 2 3" xfId="5099" xr:uid="{C6CE925C-6C2E-41DE-854F-CBDCC66E99A2}"/>
    <cellStyle name="Normal 8 19 3 2_Bridge IR Q" xfId="5100" xr:uid="{F18378B1-E9B4-48BD-A772-F3E67B61688E}"/>
    <cellStyle name="Normal 8 19 3 3" xfId="5101" xr:uid="{B37C47EF-A201-4D23-8F56-34422F96AA3B}"/>
    <cellStyle name="Normal 8 19 3 3 2" xfId="5102" xr:uid="{72517FA3-6DF0-4061-890B-F7872E998E4B}"/>
    <cellStyle name="Normal 8 19 3 3 3" xfId="5103" xr:uid="{E4EE1ECE-06F1-42BD-9856-6356529AD3FF}"/>
    <cellStyle name="Normal 8 19 3 3_Bridge IR Q" xfId="5104" xr:uid="{76A418A3-77BF-4348-ADA1-BCC4B287B564}"/>
    <cellStyle name="Normal 8 19 3 4" xfId="5105" xr:uid="{485CAAF3-2D0F-4D7A-BD7C-F627CFDA7024}"/>
    <cellStyle name="Normal 8 19 3 5" xfId="5106" xr:uid="{74532D49-BD26-4E37-B145-9D4381BB8A13}"/>
    <cellStyle name="Normal 8 19 3_Bridge IR Q" xfId="5107" xr:uid="{0F2CDC62-37BE-4C3A-892A-C477183324EC}"/>
    <cellStyle name="Normal 8 19 4" xfId="5108" xr:uid="{657EC3A1-DA30-4A31-9435-ED00CB63CD6E}"/>
    <cellStyle name="Normal 8 19 4 2" xfId="5109" xr:uid="{C476BC3D-7FFA-4877-93D2-FBBE6F7006EE}"/>
    <cellStyle name="Normal 8 19 4 3" xfId="5110" xr:uid="{FB148BDC-0740-4038-A983-D81A065B730F}"/>
    <cellStyle name="Normal 8 19 4_Bridge IR Q" xfId="5111" xr:uid="{C75A5AB9-AECA-4E8F-B8C6-8BB58E0EEAD3}"/>
    <cellStyle name="Normal 8 19 5" xfId="5112" xr:uid="{3F2CBF73-0024-4DFD-B2D7-5132ADD0BAD8}"/>
    <cellStyle name="Normal 8 19 5 2" xfId="5113" xr:uid="{CE735384-E5C7-4141-85CF-EE803DB5A5E1}"/>
    <cellStyle name="Normal 8 19 5 3" xfId="5114" xr:uid="{0C722115-9811-4346-9B24-3DA5AC526559}"/>
    <cellStyle name="Normal 8 19 5_Bridge IR Q" xfId="5115" xr:uid="{59899633-939A-4338-8628-FCD61F324D07}"/>
    <cellStyle name="Normal 8 19 6" xfId="5116" xr:uid="{8C1DBA77-A76B-4A11-9E09-26A792F6E647}"/>
    <cellStyle name="Normal 8 19 7" xfId="5117" xr:uid="{79A01210-9433-49C8-8572-350141BF93B7}"/>
    <cellStyle name="Normal 8 19_Bridge IR Q" xfId="5118" xr:uid="{D5C071EE-2455-456D-9B66-58AC3314D53E}"/>
    <cellStyle name="Normal 8 2" xfId="5119" xr:uid="{BF73D824-5267-4438-AE92-361E2A8D0D04}"/>
    <cellStyle name="Normal 8 2 10" xfId="5120" xr:uid="{601F67B2-9287-4A92-B542-2D8C92D09D5E}"/>
    <cellStyle name="Normal 8 2 10 2" xfId="5121" xr:uid="{DD64B32D-AFA5-4ED9-A09E-21995158E499}"/>
    <cellStyle name="Normal 8 2 10 3" xfId="5122" xr:uid="{CB6B3B87-76A2-482A-8D76-E12B979CF101}"/>
    <cellStyle name="Normal 8 2 10_Bridge IR Q" xfId="5123" xr:uid="{F22A87DF-1D81-4A85-BD43-7C2B09544754}"/>
    <cellStyle name="Normal 8 2 11" xfId="5124" xr:uid="{FD773334-2DF1-4FED-BE63-7B45FA44120D}"/>
    <cellStyle name="Normal 8 2 12" xfId="5125" xr:uid="{3C704390-B163-48BD-8AB9-A3CA4F93A650}"/>
    <cellStyle name="Normal 8 2 2" xfId="5126" xr:uid="{F746612E-A399-4772-8D5A-306249833E85}"/>
    <cellStyle name="Normal 8 2 2 2" xfId="5127" xr:uid="{A1694E56-1519-4255-BF8E-03DC4A2261E4}"/>
    <cellStyle name="Normal 8 2 2 2 2" xfId="5128" xr:uid="{27A4764F-488F-4104-90CE-8E1BFD7A3D4D}"/>
    <cellStyle name="Normal 8 2 2 2 2 2" xfId="5129" xr:uid="{7C7EBA67-23D7-490E-A1A2-BE06B065A027}"/>
    <cellStyle name="Normal 8 2 2 2 2 3" xfId="5130" xr:uid="{27CFB511-0F93-4656-97BA-39393CF24011}"/>
    <cellStyle name="Normal 8 2 2 2 2_Bridge IR Q" xfId="5131" xr:uid="{F6BCFEBE-FFF6-428B-AD7D-52B6768696A5}"/>
    <cellStyle name="Normal 8 2 2 2 3" xfId="5132" xr:uid="{948155DB-7EF5-4F37-8024-00E000FF14C4}"/>
    <cellStyle name="Normal 8 2 2 2 3 2" xfId="5133" xr:uid="{013EE323-21A4-4315-A0D9-2D5CAAE19DE2}"/>
    <cellStyle name="Normal 8 2 2 2 3 3" xfId="5134" xr:uid="{1B726021-E642-4052-BBD8-6E79818A8E07}"/>
    <cellStyle name="Normal 8 2 2 2 3_Bridge IR Q" xfId="5135" xr:uid="{5C5D7845-F5D6-40FC-9A64-561C2E2B9E6E}"/>
    <cellStyle name="Normal 8 2 2 2 4" xfId="5136" xr:uid="{E177C5C2-9A2F-4808-828E-D727BA957C30}"/>
    <cellStyle name="Normal 8 2 2 2 5" xfId="5137" xr:uid="{DB9CE22C-9155-426A-B58D-06C6974C7890}"/>
    <cellStyle name="Normal 8 2 2 2_Bridge IR Q" xfId="5138" xr:uid="{69774829-A35D-41FF-AFA0-B96729E6DAE4}"/>
    <cellStyle name="Normal 8 2 2 3" xfId="5139" xr:uid="{8B652887-95EB-4E06-B465-3ACA52DAA6B3}"/>
    <cellStyle name="Normal 8 2 2 3 2" xfId="5140" xr:uid="{C798FC53-8452-4998-94EA-05614599F4CB}"/>
    <cellStyle name="Normal 8 2 2 3 3" xfId="5141" xr:uid="{D915ABCD-5018-4E74-96D7-D3BE498DF9C9}"/>
    <cellStyle name="Normal 8 2 2 3_Bridge IR Q" xfId="5142" xr:uid="{0A323067-F638-49DA-9E45-7F7340FFB690}"/>
    <cellStyle name="Normal 8 2 2 4" xfId="5143" xr:uid="{C28F76AA-93E8-47BE-A5AF-4AE803A2DD8E}"/>
    <cellStyle name="Normal 8 2 2 4 2" xfId="5144" xr:uid="{E057F21B-5A80-4461-841E-C4F5DC4224AE}"/>
    <cellStyle name="Normal 8 2 2 4 3" xfId="5145" xr:uid="{FFC82648-318C-4F70-AEFD-60467752BD44}"/>
    <cellStyle name="Normal 8 2 2 4_Bridge IR Q" xfId="5146" xr:uid="{F73036FC-A879-4646-8BBB-725A0C550614}"/>
    <cellStyle name="Normal 8 2 2 5" xfId="5147" xr:uid="{C8E6A1D1-586C-4A45-B40C-26B15BD3F085}"/>
    <cellStyle name="Normal 8 2 2 6" xfId="5148" xr:uid="{83AA9945-D4B7-414C-8575-4E7A88E1342C}"/>
    <cellStyle name="Normal 8 2 2_1 KeyFig" xfId="5149" xr:uid="{C97CDA9E-A152-4858-AB55-E13F1618B9A6}"/>
    <cellStyle name="Normal 8 2 3" xfId="5150" xr:uid="{76549655-AFD7-4AF5-8D35-9D0632D0AB57}"/>
    <cellStyle name="Normal 8 2 3 2" xfId="5151" xr:uid="{3EE890A2-0237-4FC3-B662-9F5A298EABEF}"/>
    <cellStyle name="Normal 8 2 3 2 2" xfId="5152" xr:uid="{8510F3D0-F780-4270-9192-605E04556EA2}"/>
    <cellStyle name="Normal 8 2 3 2 2 2" xfId="5153" xr:uid="{DF1220EC-9FC5-4095-8087-CED4B364D57A}"/>
    <cellStyle name="Normal 8 2 3 2 2 3" xfId="5154" xr:uid="{41AC6A4F-B559-4650-92F7-40FBBC6FB96F}"/>
    <cellStyle name="Normal 8 2 3 2 2_Bridge IR Q" xfId="5155" xr:uid="{B50D5D27-7295-4F68-AA5D-6DA56F7B67E6}"/>
    <cellStyle name="Normal 8 2 3 2 3" xfId="5156" xr:uid="{37769A7E-37C3-4BF4-99D3-5B54CEE882D6}"/>
    <cellStyle name="Normal 8 2 3 2 3 2" xfId="5157" xr:uid="{08C29551-1F7A-4454-AB49-3C70ED131052}"/>
    <cellStyle name="Normal 8 2 3 2 3 3" xfId="5158" xr:uid="{FD41B5DB-3E41-4AD4-9F17-2647B3BD9FCF}"/>
    <cellStyle name="Normal 8 2 3 2 3_Bridge IR Q" xfId="5159" xr:uid="{60A216B0-B100-4781-B4FC-494D94AD35D3}"/>
    <cellStyle name="Normal 8 2 3 2 4" xfId="5160" xr:uid="{8C4A35C7-4EC0-4DB6-A926-225F32A18EF0}"/>
    <cellStyle name="Normal 8 2 3 2 5" xfId="5161" xr:uid="{C100BE1C-C55A-4B13-9568-C78D06DFB5D4}"/>
    <cellStyle name="Normal 8 2 3 2_Bridge IR Q" xfId="5162" xr:uid="{A739AA97-39F9-421D-96DB-AEC0998EED5B}"/>
    <cellStyle name="Normal 8 2 3 3" xfId="5163" xr:uid="{93C0496B-C079-4110-AD29-ECBE4A40051E}"/>
    <cellStyle name="Normal 8 2 3 3 2" xfId="5164" xr:uid="{4282A0D8-39CC-4012-A2D8-D30BE975C153}"/>
    <cellStyle name="Normal 8 2 3 3 3" xfId="5165" xr:uid="{B6241501-6B6D-4F85-9141-07AA16AFE6F2}"/>
    <cellStyle name="Normal 8 2 3 3_Bridge IR Q" xfId="5166" xr:uid="{B46F1069-A24A-4E76-9EAE-3481DFF4FF72}"/>
    <cellStyle name="Normal 8 2 3 4" xfId="5167" xr:uid="{12D0EA23-4E49-4121-9EA1-E8D795D86135}"/>
    <cellStyle name="Normal 8 2 3 4 2" xfId="5168" xr:uid="{6442B8F5-5937-47D6-91E9-39A901A7C104}"/>
    <cellStyle name="Normal 8 2 3 4 3" xfId="5169" xr:uid="{00EF739C-B1A6-4601-9FE5-1CB2B8C5619F}"/>
    <cellStyle name="Normal 8 2 3 4_Bridge IR Q" xfId="5170" xr:uid="{426BBB94-D254-4B87-8A8A-D8239D968056}"/>
    <cellStyle name="Normal 8 2 3 5" xfId="5171" xr:uid="{00E3D7A3-FFF2-45DB-A2ED-A47A2B595680}"/>
    <cellStyle name="Normal 8 2 3 6" xfId="5172" xr:uid="{29B6FB7B-AF38-43C6-9480-706660DB6891}"/>
    <cellStyle name="Normal 8 2 3_1 KeyFig" xfId="5173" xr:uid="{C3D48EF5-5242-4AC8-8020-6185377CBB44}"/>
    <cellStyle name="Normal 8 2 4" xfId="5174" xr:uid="{085D2E07-3DB5-42D5-8D3B-957E60031AE1}"/>
    <cellStyle name="Normal 8 2 4 2" xfId="5175" xr:uid="{C141F48F-0CBB-43D9-8C11-5463F41CEF20}"/>
    <cellStyle name="Normal 8 2 4 2 2" xfId="5176" xr:uid="{0B173CAE-AE5D-4665-90E5-953FA9975BA5}"/>
    <cellStyle name="Normal 8 2 4 2 2 2" xfId="5177" xr:uid="{800EECDE-14A9-4E06-A3D0-FE902948DE76}"/>
    <cellStyle name="Normal 8 2 4 2 2 3" xfId="5178" xr:uid="{E94344AE-5D45-4E7E-A230-54CE3F4A7A5D}"/>
    <cellStyle name="Normal 8 2 4 2 2_Bridge IR Q" xfId="5179" xr:uid="{23B4CF50-2C8F-43FE-9DF6-652C6AA5901B}"/>
    <cellStyle name="Normal 8 2 4 2 3" xfId="5180" xr:uid="{6E0B2F5B-E0B0-45D4-A003-151F29DA6F1D}"/>
    <cellStyle name="Normal 8 2 4 2 3 2" xfId="5181" xr:uid="{18F63E19-D7AA-4F15-AF98-79563D71EC07}"/>
    <cellStyle name="Normal 8 2 4 2 3 3" xfId="5182" xr:uid="{C42BDC0C-8AE5-484C-89BC-BFBDFB56DAE5}"/>
    <cellStyle name="Normal 8 2 4 2 3_Bridge IR Q" xfId="5183" xr:uid="{9EF832E5-8541-4C4E-927D-E64678593101}"/>
    <cellStyle name="Normal 8 2 4 2 4" xfId="5184" xr:uid="{765EF18D-C0F5-4E5E-B6DB-A9E0BA15AD15}"/>
    <cellStyle name="Normal 8 2 4 2 5" xfId="5185" xr:uid="{9B495BC3-142F-42A7-974B-6BE8AF37508C}"/>
    <cellStyle name="Normal 8 2 4 2_Bridge IR Q" xfId="5186" xr:uid="{F86D6C7E-C45C-4786-80D0-90292DF7CE89}"/>
    <cellStyle name="Normal 8 2 4 3" xfId="5187" xr:uid="{E55E8652-600B-44EF-8AA2-11B536C9F401}"/>
    <cellStyle name="Normal 8 2 4 3 2" xfId="5188" xr:uid="{5EB3BBC4-241A-4D8C-9C5A-7A2E77C69E2B}"/>
    <cellStyle name="Normal 8 2 4 3 3" xfId="5189" xr:uid="{FCCF7CA0-50C7-4C33-9E64-5262E4F37183}"/>
    <cellStyle name="Normal 8 2 4 3_Bridge IR Q" xfId="5190" xr:uid="{4AAB64EA-D3AB-441B-90ED-50892C63D8AC}"/>
    <cellStyle name="Normal 8 2 4 4" xfId="5191" xr:uid="{C96F4FC6-D93B-4125-B54A-268E2E2513FE}"/>
    <cellStyle name="Normal 8 2 4 4 2" xfId="5192" xr:uid="{F363093C-B3B8-42AE-B975-5E94CF4FF3C7}"/>
    <cellStyle name="Normal 8 2 4 4 3" xfId="5193" xr:uid="{D404628B-3BED-4D27-82E2-BB0D69FDA7C3}"/>
    <cellStyle name="Normal 8 2 4 4_Bridge IR Q" xfId="5194" xr:uid="{609A030B-220B-4474-AE78-B6A5B4F2E4AC}"/>
    <cellStyle name="Normal 8 2 4 5" xfId="5195" xr:uid="{ADFF2317-7E33-43A3-97D7-92F66EA84097}"/>
    <cellStyle name="Normal 8 2 4 6" xfId="5196" xr:uid="{91DC7D75-1062-4A61-B93D-3DF0591D4E0F}"/>
    <cellStyle name="Normal 8 2 4_1 KeyFig" xfId="5197" xr:uid="{2461400C-1B4E-477B-AA87-5D1CB989C06A}"/>
    <cellStyle name="Normal 8 2 5" xfId="5198" xr:uid="{E09322A2-170E-4FFC-8177-5F64B988D6E4}"/>
    <cellStyle name="Normal 8 2 5 2" xfId="5199" xr:uid="{20395B9D-AC81-44EC-9DCE-63AA2C875B7F}"/>
    <cellStyle name="Normal 8 2 5 2 2" xfId="5200" xr:uid="{242D404B-B8DA-4B2F-BCAB-DC0F779C0E9A}"/>
    <cellStyle name="Normal 8 2 5 2 2 2" xfId="5201" xr:uid="{E400E6B5-D262-42D9-AF9B-BEEE5765118F}"/>
    <cellStyle name="Normal 8 2 5 2 2 3" xfId="5202" xr:uid="{A0D96D48-089B-48D2-83C0-49E1BC9F3B2B}"/>
    <cellStyle name="Normal 8 2 5 2 2_Bridge IR Q" xfId="5203" xr:uid="{13955BE7-696C-4CAD-961E-2EAF61CFAD1D}"/>
    <cellStyle name="Normal 8 2 5 2 3" xfId="5204" xr:uid="{9E2C7DF7-4BC3-439D-9C96-F33D588D3E04}"/>
    <cellStyle name="Normal 8 2 5 2 3 2" xfId="5205" xr:uid="{DE885202-865D-4ED9-97A5-A9FCA2D088AB}"/>
    <cellStyle name="Normal 8 2 5 2 3 3" xfId="5206" xr:uid="{25D3D98F-BF4F-43F5-9EF2-5F9F25975584}"/>
    <cellStyle name="Normal 8 2 5 2 3_Bridge IR Q" xfId="5207" xr:uid="{D9509828-EC01-4FF5-B5B7-602A52E6A0FC}"/>
    <cellStyle name="Normal 8 2 5 2 4" xfId="5208" xr:uid="{2741ADB7-3225-4F53-8BAF-A606FB440B77}"/>
    <cellStyle name="Normal 8 2 5 2 5" xfId="5209" xr:uid="{3C0B4E9C-C02C-44FB-9CA9-10CEEC35E808}"/>
    <cellStyle name="Normal 8 2 5 2_Bridge IR Q" xfId="5210" xr:uid="{AF271472-94A9-4545-9BAA-D88EB8663317}"/>
    <cellStyle name="Normal 8 2 5 3" xfId="5211" xr:uid="{33910390-B2E9-4E59-9385-2839D6A8BB34}"/>
    <cellStyle name="Normal 8 2 5 3 2" xfId="5212" xr:uid="{B6F29988-12E5-4FD2-BF80-EF855B895A63}"/>
    <cellStyle name="Normal 8 2 5 3 3" xfId="5213" xr:uid="{151BE1B8-DB5C-4D24-8726-0009F303314B}"/>
    <cellStyle name="Normal 8 2 5 3_Bridge IR Q" xfId="5214" xr:uid="{AFA1237C-6457-4A8C-8298-2F60259605BA}"/>
    <cellStyle name="Normal 8 2 5 4" xfId="5215" xr:uid="{235977C7-5C33-4E2D-B51F-987E634593F9}"/>
    <cellStyle name="Normal 8 2 5 4 2" xfId="5216" xr:uid="{35D25869-DE02-4B14-90E7-D0826EAFD450}"/>
    <cellStyle name="Normal 8 2 5 4 3" xfId="5217" xr:uid="{FFF6C93F-B5AF-400D-808E-D1843AD208A4}"/>
    <cellStyle name="Normal 8 2 5 4_Bridge IR Q" xfId="5218" xr:uid="{073EC820-5785-437D-A1B3-BE5B3C64FB1F}"/>
    <cellStyle name="Normal 8 2 5 5" xfId="5219" xr:uid="{D944245A-FADA-405A-ADEC-EBD0399ACA51}"/>
    <cellStyle name="Normal 8 2 5 6" xfId="5220" xr:uid="{5E13CB74-FCC0-42C3-A309-9BE48AB9A57F}"/>
    <cellStyle name="Normal 8 2 5_1 KeyFig" xfId="5221" xr:uid="{3BC45AF3-6C4F-4C19-B020-B036295393D1}"/>
    <cellStyle name="Normal 8 2 6" xfId="5222" xr:uid="{2FA858B9-807A-4F64-BDA8-2094E4ED1C47}"/>
    <cellStyle name="Normal 8 2 6 2" xfId="5223" xr:uid="{2CD448EE-77FF-4217-8970-7D3DE5A5F02D}"/>
    <cellStyle name="Normal 8 2 6 2 2" xfId="5224" xr:uid="{A5517ED3-2C82-46A6-BF25-972077B5049F}"/>
    <cellStyle name="Normal 8 2 6 2 2 2" xfId="5225" xr:uid="{9D3AE5A8-8FE1-46D2-9A42-1B51EF763ADC}"/>
    <cellStyle name="Normal 8 2 6 2 2 3" xfId="5226" xr:uid="{0EF52059-1D7F-49EB-913B-B38DF5BAF00A}"/>
    <cellStyle name="Normal 8 2 6 2 2_Bridge IR Q" xfId="5227" xr:uid="{44CBE862-36C8-4460-A987-913DFD99B18E}"/>
    <cellStyle name="Normal 8 2 6 2 3" xfId="5228" xr:uid="{3FED237E-7E9E-44E8-BEF6-3119C4DC1992}"/>
    <cellStyle name="Normal 8 2 6 2 3 2" xfId="5229" xr:uid="{E9C249BB-7B46-4758-8015-204BCBD81754}"/>
    <cellStyle name="Normal 8 2 6 2 3 3" xfId="5230" xr:uid="{1AF59712-07E8-4203-B7EA-EDFFC8AD2318}"/>
    <cellStyle name="Normal 8 2 6 2 3_Bridge IR Q" xfId="5231" xr:uid="{225D3B84-556D-4E80-A863-177823DC79A5}"/>
    <cellStyle name="Normal 8 2 6 2 4" xfId="5232" xr:uid="{355A8FD0-4FC7-4D99-9048-56F545BBEEBD}"/>
    <cellStyle name="Normal 8 2 6 2 5" xfId="5233" xr:uid="{191847EF-4187-48F7-9AFB-335D25B8C28F}"/>
    <cellStyle name="Normal 8 2 6 2_Bridge IR Q" xfId="5234" xr:uid="{12CC5E47-DE0A-40F7-9F6D-9F688A8BAC57}"/>
    <cellStyle name="Normal 8 2 6 3" xfId="5235" xr:uid="{3EEA5DE7-7A5C-4D9D-A4FF-E08E74073BD2}"/>
    <cellStyle name="Normal 8 2 6 3 2" xfId="5236" xr:uid="{D640CB32-4DBC-466A-A15A-125306E83B17}"/>
    <cellStyle name="Normal 8 2 6 3 3" xfId="5237" xr:uid="{8ADB6ED5-035F-4E8A-B63F-52255DC6FE73}"/>
    <cellStyle name="Normal 8 2 6 3_Bridge IR Q" xfId="5238" xr:uid="{EFBDE6D2-8C18-46D3-B450-0E7151216438}"/>
    <cellStyle name="Normal 8 2 6 4" xfId="5239" xr:uid="{7562317A-CD18-4975-BB2B-12F19A95E927}"/>
    <cellStyle name="Normal 8 2 6 4 2" xfId="5240" xr:uid="{7FFA329B-E03F-4DCD-BA8F-A60D82275E88}"/>
    <cellStyle name="Normal 8 2 6 4 3" xfId="5241" xr:uid="{93EAF8AD-97C2-4F90-804F-697641C01B51}"/>
    <cellStyle name="Normal 8 2 6 4_Bridge IR Q" xfId="5242" xr:uid="{B8320CEB-96D5-451E-9005-B11664253B01}"/>
    <cellStyle name="Normal 8 2 6 5" xfId="5243" xr:uid="{21D6D652-7847-4707-BBF6-96DFBA607A09}"/>
    <cellStyle name="Normal 8 2 6 6" xfId="5244" xr:uid="{C934B239-9199-4F94-968D-BB9ADFAABD72}"/>
    <cellStyle name="Normal 8 2 6_Bridge IR Q" xfId="5245" xr:uid="{E8FCB8F3-3CE7-4A42-9C2E-B2210250936C}"/>
    <cellStyle name="Normal 8 2 7" xfId="5246" xr:uid="{1D2B3020-BA05-4A44-A33B-22174125F137}"/>
    <cellStyle name="Normal 8 2 7 2" xfId="5247" xr:uid="{C9D4F6C8-9192-4CE8-9D53-D8CB0EF5F0B4}"/>
    <cellStyle name="Normal 8 2 7_Bridge IR Q" xfId="5248" xr:uid="{20EDB0B8-3D13-49E4-BF86-A90A87906325}"/>
    <cellStyle name="Normal 8 2 8" xfId="5249" xr:uid="{AC1E37E8-168D-425A-A58A-500C24CA1D6C}"/>
    <cellStyle name="Normal 8 2 8 2" xfId="5250" xr:uid="{BCD156C7-659B-4442-8C18-2A15F9D85E53}"/>
    <cellStyle name="Normal 8 2 8 2 2" xfId="5251" xr:uid="{081801C8-AF91-443B-95C8-66EFAA72EA2C}"/>
    <cellStyle name="Normal 8 2 8 2 3" xfId="5252" xr:uid="{646E3CEB-B161-4795-BA2C-1F7D796AD6B6}"/>
    <cellStyle name="Normal 8 2 8 2_Bridge IR Q" xfId="5253" xr:uid="{10C68D41-B4EC-43C2-BD16-3C4D4446EED0}"/>
    <cellStyle name="Normal 8 2 8 3" xfId="5254" xr:uid="{02311C83-4841-4D40-BC1F-7380F7081C8A}"/>
    <cellStyle name="Normal 8 2 8 3 2" xfId="5255" xr:uid="{76C19DD9-76EC-47E8-AA86-30B5D36C9598}"/>
    <cellStyle name="Normal 8 2 8 3 3" xfId="5256" xr:uid="{74A8505C-6FEC-4881-9793-4A48546F03FA}"/>
    <cellStyle name="Normal 8 2 8 3_Bridge IR Q" xfId="5257" xr:uid="{A70060E4-1E4B-4CB1-9C59-AD16E730B652}"/>
    <cellStyle name="Normal 8 2 8 4" xfId="5258" xr:uid="{842F75D5-6770-4781-8D40-2011728182B0}"/>
    <cellStyle name="Normal 8 2 8 5" xfId="5259" xr:uid="{666E68EB-E51D-41C0-8A23-993C51A502BC}"/>
    <cellStyle name="Normal 8 2 8_Bridge IR Q" xfId="5260" xr:uid="{D6CE76B4-9F6D-494E-B14E-3F2A37047A83}"/>
    <cellStyle name="Normal 8 2 9" xfId="5261" xr:uid="{9B9F848F-BF21-4417-AA94-328D7DEA3BEA}"/>
    <cellStyle name="Normal 8 2 9 2" xfId="5262" xr:uid="{996A5119-763C-44F6-BFDC-99EC84514754}"/>
    <cellStyle name="Normal 8 2 9 3" xfId="5263" xr:uid="{A4D229CE-62A6-4658-9530-A427B2FEC764}"/>
    <cellStyle name="Normal 8 2 9_Bridge IR Q" xfId="5264" xr:uid="{BFE50CA7-E05B-49FE-8935-3C4F68530636}"/>
    <cellStyle name="Normal 8 2_1 KeyFig" xfId="5265" xr:uid="{31CD539E-A786-4898-A480-3EE46097FE9B}"/>
    <cellStyle name="Normal 8 20" xfId="5266" xr:uid="{408AC811-163A-42E8-9BA0-7CCEF3DCDA62}"/>
    <cellStyle name="Normal 8 20 2" xfId="5267" xr:uid="{EC44E67D-2147-4779-A81C-B3658963A89F}"/>
    <cellStyle name="Normal 8 20 2 2" xfId="5268" xr:uid="{E52F0660-C129-4AB8-87B3-EEB051E22751}"/>
    <cellStyle name="Normal 8 20 2 2 2" xfId="5269" xr:uid="{F4C9BF30-6385-4573-9B8E-33A4E0DB1AAE}"/>
    <cellStyle name="Normal 8 20 2 2 2 2" xfId="5270" xr:uid="{D4CFA2AD-3178-423D-8E9A-9F1D1CFDF271}"/>
    <cellStyle name="Normal 8 20 2 2 2 3" xfId="5271" xr:uid="{35B4C716-C85D-4D5B-B895-7DA9188283F1}"/>
    <cellStyle name="Normal 8 20 2 2 2_Bridge IR Q" xfId="5272" xr:uid="{85CCC3E1-E26B-4C56-A6C3-EA3E84F4AFDC}"/>
    <cellStyle name="Normal 8 20 2 2 3" xfId="5273" xr:uid="{FF6EA80C-190B-4AE5-B0C7-A26A3AB7B6B1}"/>
    <cellStyle name="Normal 8 20 2 2 3 2" xfId="5274" xr:uid="{0CBB0F85-8816-45FE-A132-32D0993C014D}"/>
    <cellStyle name="Normal 8 20 2 2 3 3" xfId="5275" xr:uid="{5A77CC24-E3BE-43C4-A0BD-999E9AB399A9}"/>
    <cellStyle name="Normal 8 20 2 2 3_Bridge IR Q" xfId="5276" xr:uid="{CC0674E5-12BF-4EB1-A1CD-F8949D1E9562}"/>
    <cellStyle name="Normal 8 20 2 2 4" xfId="5277" xr:uid="{5EAB72AD-7015-4268-80BF-69AB018706E6}"/>
    <cellStyle name="Normal 8 20 2 2 5" xfId="5278" xr:uid="{B9894A03-C715-4688-BD9D-A0FA858E45D1}"/>
    <cellStyle name="Normal 8 20 2 2_Bridge IR Q" xfId="5279" xr:uid="{FBBE4A77-A727-4204-8F04-3B232BF29C16}"/>
    <cellStyle name="Normal 8 20 2 3" xfId="5280" xr:uid="{55367A63-EC3A-42B7-A30E-269CD4977D97}"/>
    <cellStyle name="Normal 8 20 2 3 2" xfId="5281" xr:uid="{274CDCB3-43E7-493C-BB6D-FA38B17870F6}"/>
    <cellStyle name="Normal 8 20 2 3 3" xfId="5282" xr:uid="{18DB3314-3770-485D-AD86-793817CA718F}"/>
    <cellStyle name="Normal 8 20 2 3_Bridge IR Q" xfId="5283" xr:uid="{8E717774-9F75-40E8-AF46-155F8400A2F7}"/>
    <cellStyle name="Normal 8 20 2 4" xfId="5284" xr:uid="{13A34FCF-33B8-44EE-BFB0-68BCA9912AB7}"/>
    <cellStyle name="Normal 8 20 2 4 2" xfId="5285" xr:uid="{5CEE282C-CC13-499D-9D33-37C2EEA75B93}"/>
    <cellStyle name="Normal 8 20 2 4 3" xfId="5286" xr:uid="{1832F969-82D8-44ED-AFC6-53D8BB5D82B2}"/>
    <cellStyle name="Normal 8 20 2 4_Bridge IR Q" xfId="5287" xr:uid="{3979C051-8695-409E-A788-ACFCB9E8A4E1}"/>
    <cellStyle name="Normal 8 20 2 5" xfId="5288" xr:uid="{9621BCE7-49D5-4299-8317-E83F5EB53C34}"/>
    <cellStyle name="Normal 8 20 2 6" xfId="5289" xr:uid="{DA546572-FFAD-4635-9A46-4AC534BF892F}"/>
    <cellStyle name="Normal 8 20 2_Bridge IR Q" xfId="5290" xr:uid="{924FCEC3-D515-469E-80CA-0888E694E9A9}"/>
    <cellStyle name="Normal 8 20 3" xfId="5291" xr:uid="{64A045F3-BBEE-4106-8BB7-5805A050C825}"/>
    <cellStyle name="Normal 8 20 3 2" xfId="5292" xr:uid="{A8A8A0EC-EB56-4A4D-90BB-33483303C124}"/>
    <cellStyle name="Normal 8 20 3 2 2" xfId="5293" xr:uid="{DFA0AEC7-8ECE-46C2-BE52-6FF89FEE3EAD}"/>
    <cellStyle name="Normal 8 20 3 2 3" xfId="5294" xr:uid="{C2BA99AE-9782-4F91-83CE-5BDA344E288F}"/>
    <cellStyle name="Normal 8 20 3 2_Bridge IR Q" xfId="5295" xr:uid="{2B8D88E8-97A0-433F-B557-4AEDBE819C88}"/>
    <cellStyle name="Normal 8 20 3 3" xfId="5296" xr:uid="{11C42B4D-FB17-460A-A82D-1FE3864A8663}"/>
    <cellStyle name="Normal 8 20 3 3 2" xfId="5297" xr:uid="{DFE691CA-128D-46BC-BF57-E48B4149383A}"/>
    <cellStyle name="Normal 8 20 3 3 3" xfId="5298" xr:uid="{0B4E467A-13E8-4AA1-A2C7-BF88232651F3}"/>
    <cellStyle name="Normal 8 20 3 3_Bridge IR Q" xfId="5299" xr:uid="{656DEAFF-9E6C-43C3-9797-21EA4CF5A5C7}"/>
    <cellStyle name="Normal 8 20 3 4" xfId="5300" xr:uid="{85DC0B22-08D9-402E-8FAF-FB424765AD9D}"/>
    <cellStyle name="Normal 8 20 3 5" xfId="5301" xr:uid="{CD1D65CC-7710-4B0C-B816-2F4DEC4B4AEF}"/>
    <cellStyle name="Normal 8 20 3_Bridge IR Q" xfId="5302" xr:uid="{13C2E847-0C3E-41CA-8C91-CFCEA1E1FC95}"/>
    <cellStyle name="Normal 8 20 4" xfId="5303" xr:uid="{627C393F-3015-4BFC-9CBB-622A8FF2C694}"/>
    <cellStyle name="Normal 8 20 4 2" xfId="5304" xr:uid="{EA409134-E651-4CE2-99FC-3C44465F8FA9}"/>
    <cellStyle name="Normal 8 20 4 3" xfId="5305" xr:uid="{FAEC5186-AFC4-4048-B9BA-CAD0823F0B8B}"/>
    <cellStyle name="Normal 8 20 4_Bridge IR Q" xfId="5306" xr:uid="{114DB87C-BF47-47C9-8BA1-BB55D22B2B15}"/>
    <cellStyle name="Normal 8 20 5" xfId="5307" xr:uid="{8F70841A-CEBC-41C7-A3B9-5E8A82EEE9DA}"/>
    <cellStyle name="Normal 8 20 5 2" xfId="5308" xr:uid="{A42C9817-7EC4-496B-8AE9-4C14EE890C3E}"/>
    <cellStyle name="Normal 8 20 5 3" xfId="5309" xr:uid="{34051213-3A2A-461D-A4B5-CB17B3749058}"/>
    <cellStyle name="Normal 8 20 5_Bridge IR Q" xfId="5310" xr:uid="{AAA0E8A4-2AB5-4AF1-8C4A-0674ADE60724}"/>
    <cellStyle name="Normal 8 20 6" xfId="5311" xr:uid="{38EEC2DA-0162-4D63-A8E0-4D48A93D4ECE}"/>
    <cellStyle name="Normal 8 20 7" xfId="5312" xr:uid="{306F37DA-1C1E-4686-8E5F-A4816F53D246}"/>
    <cellStyle name="Normal 8 20_Bridge IR Q" xfId="5313" xr:uid="{0C310E9E-7D91-4975-9791-EFC49D477BE4}"/>
    <cellStyle name="Normal 8 21" xfId="5314" xr:uid="{4806D0A9-6D0E-41BA-A826-057C86101F68}"/>
    <cellStyle name="Normal 8 21 2" xfId="5315" xr:uid="{1FE6D700-C9D5-4671-8524-48BE86A3F136}"/>
    <cellStyle name="Normal 8 21 2 2" xfId="5316" xr:uid="{CF650A83-8994-43F2-B98A-30FEAE4CF05E}"/>
    <cellStyle name="Normal 8 21 2 2 2" xfId="5317" xr:uid="{653BEB3D-1E67-48B6-B995-69CAF2831107}"/>
    <cellStyle name="Normal 8 21 2 2 2 2" xfId="5318" xr:uid="{C5313799-56ED-4A4F-B87B-C323334ECDCF}"/>
    <cellStyle name="Normal 8 21 2 2 2 3" xfId="5319" xr:uid="{045427CA-986B-446F-9C9D-C2625A8A1995}"/>
    <cellStyle name="Normal 8 21 2 2 2_Bridge IR Q" xfId="5320" xr:uid="{9754A80C-0775-4AC8-9D53-81CF547CC690}"/>
    <cellStyle name="Normal 8 21 2 2 3" xfId="5321" xr:uid="{331D2117-DC46-4045-82B1-1750B10E8C6B}"/>
    <cellStyle name="Normal 8 21 2 2 3 2" xfId="5322" xr:uid="{3D880F47-516E-43D3-BC85-618883BC2578}"/>
    <cellStyle name="Normal 8 21 2 2 3 3" xfId="5323" xr:uid="{35D2FD40-EF2B-4E2A-9A8F-80AF83AF41F0}"/>
    <cellStyle name="Normal 8 21 2 2 3_Bridge IR Q" xfId="5324" xr:uid="{E2BB230F-13ED-4EC4-8B66-948F0065FD95}"/>
    <cellStyle name="Normal 8 21 2 2 4" xfId="5325" xr:uid="{944A7D24-3F8E-470A-9174-D5765BC784C1}"/>
    <cellStyle name="Normal 8 21 2 2 5" xfId="5326" xr:uid="{1080332C-15E6-4F25-B04F-31E22C491205}"/>
    <cellStyle name="Normal 8 21 2 2_Bridge IR Q" xfId="5327" xr:uid="{29F2204F-9E32-43A7-A634-7437C0D19C10}"/>
    <cellStyle name="Normal 8 21 2 3" xfId="5328" xr:uid="{BF4DC8FE-3D00-42DB-A0C9-A124D9977286}"/>
    <cellStyle name="Normal 8 21 2 3 2" xfId="5329" xr:uid="{0592812C-2EA5-424A-B6BA-264F5DDFA44B}"/>
    <cellStyle name="Normal 8 21 2 3 3" xfId="5330" xr:uid="{02F29481-1FFA-4263-9A07-25E1C130ED34}"/>
    <cellStyle name="Normal 8 21 2 3_Bridge IR Q" xfId="5331" xr:uid="{9444A19F-5D16-4D51-B5B2-594635E70BE1}"/>
    <cellStyle name="Normal 8 21 2 4" xfId="5332" xr:uid="{24A7BF52-3BF9-4A0D-94EB-4AF53B900B27}"/>
    <cellStyle name="Normal 8 21 2 4 2" xfId="5333" xr:uid="{5994317C-FF5E-4599-A30C-3A5F43CB6F73}"/>
    <cellStyle name="Normal 8 21 2 4 3" xfId="5334" xr:uid="{7424A792-72CB-4BB2-AD41-8F371FA22935}"/>
    <cellStyle name="Normal 8 21 2 4_Bridge IR Q" xfId="5335" xr:uid="{F256B3B4-B63F-4EE7-89BE-6DE6DCD9ABDC}"/>
    <cellStyle name="Normal 8 21 2 5" xfId="5336" xr:uid="{B2792D4D-535C-4DE0-8144-C42CAA533A7C}"/>
    <cellStyle name="Normal 8 21 2 6" xfId="5337" xr:uid="{7CE14F03-8135-44A1-9C27-E9DF3D482F5B}"/>
    <cellStyle name="Normal 8 21 2_Bridge IR Q" xfId="5338" xr:uid="{3669027C-8F0A-41FD-BDEA-D0D846239765}"/>
    <cellStyle name="Normal 8 21 3" xfId="5339" xr:uid="{D083A9AA-2F1A-46C6-BD1E-DCEA7A15C70E}"/>
    <cellStyle name="Normal 8 21 3 2" xfId="5340" xr:uid="{15066356-BD9A-4B44-AEC3-7D7C4C3366DA}"/>
    <cellStyle name="Normal 8 21 3 2 2" xfId="5341" xr:uid="{10AC3CE2-83DF-4110-99DF-A3E89A6C34BC}"/>
    <cellStyle name="Normal 8 21 3 2 3" xfId="5342" xr:uid="{1E1EFC56-EBB7-49CC-94CA-BFD1C005C315}"/>
    <cellStyle name="Normal 8 21 3 2_Bridge IR Q" xfId="5343" xr:uid="{C924F73B-75FD-4DDD-B09E-B1D25911883D}"/>
    <cellStyle name="Normal 8 21 3 3" xfId="5344" xr:uid="{7F5330C6-C052-426D-87A2-0E99F352B2FB}"/>
    <cellStyle name="Normal 8 21 3 3 2" xfId="5345" xr:uid="{A765E39D-37A5-4059-8D05-220CD896567D}"/>
    <cellStyle name="Normal 8 21 3 3 3" xfId="5346" xr:uid="{049B8D9F-8EAA-4452-BE1F-2A94FCDA908F}"/>
    <cellStyle name="Normal 8 21 3 3_Bridge IR Q" xfId="5347" xr:uid="{E1A676CA-EC58-445D-B3EC-361861D29B29}"/>
    <cellStyle name="Normal 8 21 3 4" xfId="5348" xr:uid="{E77E2F04-8819-4C5C-85E9-FD90D1F842E0}"/>
    <cellStyle name="Normal 8 21 3 5" xfId="5349" xr:uid="{ABAC6042-27C1-45D0-B265-6B6E1970AEFF}"/>
    <cellStyle name="Normal 8 21 3_Bridge IR Q" xfId="5350" xr:uid="{0175E35B-4FE0-4161-BFAC-8A6B9B817224}"/>
    <cellStyle name="Normal 8 21 4" xfId="5351" xr:uid="{E3705B22-F6DA-477A-B39F-93F2058F5077}"/>
    <cellStyle name="Normal 8 21 4 2" xfId="5352" xr:uid="{FBE04633-D459-49A7-B420-2821D9E11E8F}"/>
    <cellStyle name="Normal 8 21 4 3" xfId="5353" xr:uid="{80735348-3226-4112-8733-1A8DCDBA9AF8}"/>
    <cellStyle name="Normal 8 21 4_Bridge IR Q" xfId="5354" xr:uid="{BB7124DE-87FD-40FF-95D6-55A244E7820C}"/>
    <cellStyle name="Normal 8 21 5" xfId="5355" xr:uid="{89537666-13B6-43F2-8077-B7D1B1386948}"/>
    <cellStyle name="Normal 8 21 5 2" xfId="5356" xr:uid="{F72F3DD1-7F04-41AB-BFA9-94A7388B1ADB}"/>
    <cellStyle name="Normal 8 21 5 3" xfId="5357" xr:uid="{ED9ED8C3-4AEB-4E41-9BF4-6AA977EFFA0E}"/>
    <cellStyle name="Normal 8 21 5_Bridge IR Q" xfId="5358" xr:uid="{70DDB456-63FE-416C-974C-917F63F8B39F}"/>
    <cellStyle name="Normal 8 21 6" xfId="5359" xr:uid="{A03838B6-94DC-4D14-9CE8-704482CD752E}"/>
    <cellStyle name="Normal 8 21 7" xfId="5360" xr:uid="{06C55FFC-0A35-4949-A987-91C5691D89FD}"/>
    <cellStyle name="Normal 8 21_Bridge IR Q" xfId="5361" xr:uid="{03808731-6B33-45E3-9582-1A4C5EF479EC}"/>
    <cellStyle name="Normal 8 22" xfId="5362" xr:uid="{AFAA2794-1D56-423D-8799-F2F38C5AEEA2}"/>
    <cellStyle name="Normal 8 22 2" xfId="5363" xr:uid="{CE8AD781-A74F-4809-A98F-AFA60DA0678E}"/>
    <cellStyle name="Normal 8 22 2 2" xfId="5364" xr:uid="{0773A55D-6DD1-4A27-9885-C36AB00B30D6}"/>
    <cellStyle name="Normal 8 22 2 2 2" xfId="5365" xr:uid="{C79B1E62-1A1B-4826-8BF3-404694146F1C}"/>
    <cellStyle name="Normal 8 22 2 2 3" xfId="5366" xr:uid="{621C6845-5D8F-4B17-BFB9-50C6DBFC7CEA}"/>
    <cellStyle name="Normal 8 22 2 2_Bridge IR Q" xfId="5367" xr:uid="{20AFB9CE-C70A-41DA-A72E-4C7D5CDF1105}"/>
    <cellStyle name="Normal 8 22 2 3" xfId="5368" xr:uid="{C38D043D-42C1-4890-82C9-5A778D008047}"/>
    <cellStyle name="Normal 8 22 2 3 2" xfId="5369" xr:uid="{6E6DE321-8A55-4136-BAF2-9E4F18F7B8CE}"/>
    <cellStyle name="Normal 8 22 2 3 3" xfId="5370" xr:uid="{504CDB16-0510-48E5-BE1C-E2466B18C49E}"/>
    <cellStyle name="Normal 8 22 2 3_Bridge IR Q" xfId="5371" xr:uid="{8A7CC552-4CAB-4D3D-A4AA-27120BF59CF7}"/>
    <cellStyle name="Normal 8 22 2 4" xfId="5372" xr:uid="{6BDB2676-CCF2-47C0-B486-B297397ED865}"/>
    <cellStyle name="Normal 8 22 2 5" xfId="5373" xr:uid="{CE6FEC39-4DC6-4CDE-BE7F-0D924F4D0E47}"/>
    <cellStyle name="Normal 8 22 2_Bridge IR Q" xfId="5374" xr:uid="{E205F117-55AC-4E10-A961-6CB47A3F957F}"/>
    <cellStyle name="Normal 8 22 3" xfId="5375" xr:uid="{1E4A0887-A01C-484A-AC73-182FB2A732FB}"/>
    <cellStyle name="Normal 8 22 3 2" xfId="5376" xr:uid="{0CC24218-226C-462E-9F72-25AF835FC45A}"/>
    <cellStyle name="Normal 8 22 3 3" xfId="5377" xr:uid="{DDE88929-EDF2-40F4-A234-B953A0B59D66}"/>
    <cellStyle name="Normal 8 22 3_Bridge IR Q" xfId="5378" xr:uid="{71429FDA-5391-4701-842D-CFF1F145CAA2}"/>
    <cellStyle name="Normal 8 22 4" xfId="5379" xr:uid="{76BF8C57-7416-464F-9002-C237BC2D24FF}"/>
    <cellStyle name="Normal 8 22 4 2" xfId="5380" xr:uid="{B00BF617-DA7E-4460-BF13-AE6832165152}"/>
    <cellStyle name="Normal 8 22 4 3" xfId="5381" xr:uid="{09B8F3EB-B60F-4196-AF62-975371842E7C}"/>
    <cellStyle name="Normal 8 22 4_Bridge IR Q" xfId="5382" xr:uid="{3C0BD9FD-9389-472B-BF05-F628A8AF6CCA}"/>
    <cellStyle name="Normal 8 22 5" xfId="5383" xr:uid="{47B60721-4318-4232-BF55-1F29DAA29F5B}"/>
    <cellStyle name="Normal 8 22 6" xfId="5384" xr:uid="{AC10EE2F-4EB5-4EA4-9630-0E5C09A3D5E6}"/>
    <cellStyle name="Normal 8 22_Bridge IR Q" xfId="5385" xr:uid="{20A424D0-9907-4F29-B609-14F2C892EDF6}"/>
    <cellStyle name="Normal 8 23" xfId="5386" xr:uid="{81483FA6-7332-47D7-B828-27A33993CFF6}"/>
    <cellStyle name="Normal 8 23 2" xfId="5387" xr:uid="{FFC8D9C1-BD30-4721-A068-F0E1BC9E22BD}"/>
    <cellStyle name="Normal 8 23 2 2" xfId="5388" xr:uid="{9E444D6C-F127-4C2C-96D5-CB34CEF45708}"/>
    <cellStyle name="Normal 8 23 2 2 2" xfId="5389" xr:uid="{EFF7ABAE-413A-4CB7-92B6-46AAD34DAD74}"/>
    <cellStyle name="Normal 8 23 2 2 3" xfId="5390" xr:uid="{E1A56552-E6A5-4A76-85E6-EF2975836D1E}"/>
    <cellStyle name="Normal 8 23 2 2_Bridge IR Q" xfId="5391" xr:uid="{354ACA02-3FA1-4D99-9EAB-79378097AB32}"/>
    <cellStyle name="Normal 8 23 2 3" xfId="5392" xr:uid="{5C11F2D8-F080-4F9D-938E-F34EED4AFFF6}"/>
    <cellStyle name="Normal 8 23 2 3 2" xfId="5393" xr:uid="{C585E857-92D6-411D-BF93-1142563F0087}"/>
    <cellStyle name="Normal 8 23 2 3 3" xfId="5394" xr:uid="{0DFF38C1-6EDF-440A-98D1-A7B40D7ED1D4}"/>
    <cellStyle name="Normal 8 23 2 3_Bridge IR Q" xfId="5395" xr:uid="{39079EA1-2432-49BA-8793-0A668807829A}"/>
    <cellStyle name="Normal 8 23 2 4" xfId="5396" xr:uid="{9AEA4B43-A539-466E-B559-B675A0F692BB}"/>
    <cellStyle name="Normal 8 23 2 5" xfId="5397" xr:uid="{AEFF7787-000C-4704-8B1F-67A6C4D38890}"/>
    <cellStyle name="Normal 8 23 2_Bridge IR Q" xfId="5398" xr:uid="{29A23E9B-FDDD-4D08-8AE4-DE73B50E4AA8}"/>
    <cellStyle name="Normal 8 23 3" xfId="5399" xr:uid="{C7D6C072-D61D-4121-AA49-4B4008971209}"/>
    <cellStyle name="Normal 8 23 3 2" xfId="5400" xr:uid="{B9DEBBFE-3610-4F3F-8451-E58BE37C20F1}"/>
    <cellStyle name="Normal 8 23 3 3" xfId="5401" xr:uid="{CD03B278-D59E-47AC-96D0-EFC7B3D4F99C}"/>
    <cellStyle name="Normal 8 23 3_Bridge IR Q" xfId="5402" xr:uid="{13B6374E-2802-4EA9-8696-268435BF5E07}"/>
    <cellStyle name="Normal 8 23 4" xfId="5403" xr:uid="{AF4D257F-8919-42F0-BF6B-7F43C1AF302A}"/>
    <cellStyle name="Normal 8 23 4 2" xfId="5404" xr:uid="{C7E1DC33-929C-4262-BC9B-F649A817C850}"/>
    <cellStyle name="Normal 8 23 4 3" xfId="5405" xr:uid="{1558EEA7-0A11-4591-8AC5-70C245A9D13F}"/>
    <cellStyle name="Normal 8 23 4_Bridge IR Q" xfId="5406" xr:uid="{7F91AFF2-7BFC-459E-BE62-EFF92C0C1096}"/>
    <cellStyle name="Normal 8 23 5" xfId="5407" xr:uid="{561C7CE5-73C8-4217-B8A4-20B3FDA40B9D}"/>
    <cellStyle name="Normal 8 23 6" xfId="5408" xr:uid="{0D161E6E-F168-46E9-839B-B3031B56EBA1}"/>
    <cellStyle name="Normal 8 23_Bridge IR Q" xfId="5409" xr:uid="{A257CF74-1605-45D3-B72C-E0A0C3853190}"/>
    <cellStyle name="Normal 8 24" xfId="5410" xr:uid="{D291EB15-72F2-4886-95CC-87C3F1E15803}"/>
    <cellStyle name="Normal 8 24 2" xfId="5411" xr:uid="{70E973FE-7819-4507-955B-1DD7177489CD}"/>
    <cellStyle name="Normal 8 24 2 2" xfId="5412" xr:uid="{BBB949B8-C42A-490B-BAC4-90A50FB81E27}"/>
    <cellStyle name="Normal 8 24 2 2 2" xfId="5413" xr:uid="{0521EC9C-684A-4582-97CE-6F28FFD7FAA6}"/>
    <cellStyle name="Normal 8 24 2 2 3" xfId="5414" xr:uid="{DB39A4E7-5C29-4D85-8DDE-03099F288A84}"/>
    <cellStyle name="Normal 8 24 2 2_Bridge IR Q" xfId="5415" xr:uid="{8B046287-0BB9-468C-B3F2-8638BB9F988C}"/>
    <cellStyle name="Normal 8 24 2 3" xfId="5416" xr:uid="{99E6596C-2405-468A-AB8E-B11B723A5B34}"/>
    <cellStyle name="Normal 8 24 2 3 2" xfId="5417" xr:uid="{E8B467B9-3711-40E1-92CF-EC6B555AFC3C}"/>
    <cellStyle name="Normal 8 24 2 3 3" xfId="5418" xr:uid="{AA921B4A-3E5D-41B5-B237-4D5514036ED4}"/>
    <cellStyle name="Normal 8 24 2 3_Bridge IR Q" xfId="5419" xr:uid="{CC604E24-C266-4A63-93FF-78CE566AF3E7}"/>
    <cellStyle name="Normal 8 24 2 4" xfId="5420" xr:uid="{D5A6CA33-77B4-4816-960F-4C751960744D}"/>
    <cellStyle name="Normal 8 24 2 5" xfId="5421" xr:uid="{B4E5EB35-2CF0-450D-AA37-B793797CE525}"/>
    <cellStyle name="Normal 8 24 2_Bridge IR Q" xfId="5422" xr:uid="{2F5F73B7-657B-4DA4-A507-C6E4422994D1}"/>
    <cellStyle name="Normal 8 24 3" xfId="5423" xr:uid="{8AEE8C22-4D7E-49F1-A701-7C8A4426B3CE}"/>
    <cellStyle name="Normal 8 24 3 2" xfId="5424" xr:uid="{D9E07A5C-DD8C-4D0E-B1C2-157E7E2CC687}"/>
    <cellStyle name="Normal 8 24 3 3" xfId="5425" xr:uid="{A6E3B4A1-9C34-4EF3-83A8-ED8D3AD72000}"/>
    <cellStyle name="Normal 8 24 3_Bridge IR Q" xfId="5426" xr:uid="{65BD7209-3838-4502-9CE6-D0BC5EEEDA45}"/>
    <cellStyle name="Normal 8 24 4" xfId="5427" xr:uid="{A2DBD1C9-0619-421C-9A08-D2FC74265C41}"/>
    <cellStyle name="Normal 8 24 4 2" xfId="5428" xr:uid="{5E45AADC-DD13-4C54-8A16-1F2F3563E081}"/>
    <cellStyle name="Normal 8 24 4 3" xfId="5429" xr:uid="{DF9DBA11-3988-4A29-9B08-705970D50FA0}"/>
    <cellStyle name="Normal 8 24 4_Bridge IR Q" xfId="5430" xr:uid="{D3CD7245-6777-43A5-9C15-926FFB44CEE9}"/>
    <cellStyle name="Normal 8 24 5" xfId="5431" xr:uid="{ED8FADA1-7D76-469F-95AA-15008DE7B5D4}"/>
    <cellStyle name="Normal 8 24 6" xfId="5432" xr:uid="{E794C350-8D99-496F-9D70-A865C50D0EB1}"/>
    <cellStyle name="Normal 8 24_Bridge IR Q" xfId="5433" xr:uid="{CDE5262C-8D81-4CB3-A185-FF3F616567A4}"/>
    <cellStyle name="Normal 8 25" xfId="5434" xr:uid="{F61BB911-7FF5-4312-94D7-40E0C294B2B3}"/>
    <cellStyle name="Normal 8 25 2" xfId="5435" xr:uid="{21274CF6-7656-4831-88B0-80E24D677F99}"/>
    <cellStyle name="Normal 8 25 2 2" xfId="5436" xr:uid="{2AE04446-167E-46A9-B9CF-4CCA269CD657}"/>
    <cellStyle name="Normal 8 25 2 2 2" xfId="5437" xr:uid="{C6B7412F-DE7A-4D91-AEBD-1356C91B1128}"/>
    <cellStyle name="Normal 8 25 2 2 3" xfId="5438" xr:uid="{2DE37B9F-8731-43BB-B56D-831FA1DE3A20}"/>
    <cellStyle name="Normal 8 25 2 2_Bridge IR Q" xfId="5439" xr:uid="{1E47EE82-2F79-4ABF-9676-1CF6F5E2607C}"/>
    <cellStyle name="Normal 8 25 2 3" xfId="5440" xr:uid="{8A7A6DC3-CB96-4A95-982C-AF9A1ED140FB}"/>
    <cellStyle name="Normal 8 25 2 3 2" xfId="5441" xr:uid="{64E5019D-0E0E-48C9-9E2E-6A2858EC0AD6}"/>
    <cellStyle name="Normal 8 25 2 3 3" xfId="5442" xr:uid="{EDBC484B-F385-41F1-BD3B-2567EFAAA25C}"/>
    <cellStyle name="Normal 8 25 2 3_Bridge IR Q" xfId="5443" xr:uid="{E64773A8-9277-4EFE-AD0C-60FFEDF36378}"/>
    <cellStyle name="Normal 8 25 2 4" xfId="5444" xr:uid="{906FAB0B-0C64-4630-8C2E-D958383F9CEE}"/>
    <cellStyle name="Normal 8 25 2 5" xfId="5445" xr:uid="{DBD4DCC3-06F5-4916-A51C-C7153AD57CFA}"/>
    <cellStyle name="Normal 8 25 2_Bridge IR Q" xfId="5446" xr:uid="{D9327C10-8DE5-4C49-B3AA-D8F5A787A34C}"/>
    <cellStyle name="Normal 8 25 3" xfId="5447" xr:uid="{F50DE764-E875-4639-B7D8-9A037B2B5CD1}"/>
    <cellStyle name="Normal 8 25 3 2" xfId="5448" xr:uid="{61DC7086-B10F-45EF-B9FF-671F93C8419D}"/>
    <cellStyle name="Normal 8 25 3 3" xfId="5449" xr:uid="{C5E47FC3-1316-4625-894B-FAE7BAC0CC97}"/>
    <cellStyle name="Normal 8 25 3_Bridge IR Q" xfId="5450" xr:uid="{6898D69B-845A-462F-A277-6A28529410DB}"/>
    <cellStyle name="Normal 8 25 4" xfId="5451" xr:uid="{325225EC-40D3-4009-9C26-A105DAD1699A}"/>
    <cellStyle name="Normal 8 25 4 2" xfId="5452" xr:uid="{524849D6-6FC9-44F8-B217-90E4AC4321DB}"/>
    <cellStyle name="Normal 8 25 4 3" xfId="5453" xr:uid="{50A21C58-5F9C-40EC-8942-7DACB7E06FB8}"/>
    <cellStyle name="Normal 8 25 4_Bridge IR Q" xfId="5454" xr:uid="{2C18ABD1-72B1-4498-B62E-07F4CE4BD28D}"/>
    <cellStyle name="Normal 8 25 5" xfId="5455" xr:uid="{5EA46CA4-975B-486E-BA65-185427DCB5B8}"/>
    <cellStyle name="Normal 8 25 6" xfId="5456" xr:uid="{84DBA86B-1500-4836-9968-03358FFA4C0C}"/>
    <cellStyle name="Normal 8 25_Bridge IR Q" xfId="5457" xr:uid="{5CDCAAD4-956F-4AD8-8F8C-6E51A0C10EF3}"/>
    <cellStyle name="Normal 8 26" xfId="5458" xr:uid="{EFF95B91-0F72-44D3-960C-22A9318E887F}"/>
    <cellStyle name="Normal 8 26 2" xfId="5459" xr:uid="{CB0FCADB-F810-41D7-89C0-A57B11E37F85}"/>
    <cellStyle name="Normal 8 26 2 2" xfId="5460" xr:uid="{935C1A34-7C5C-4CA8-8810-5EF52458E8BA}"/>
    <cellStyle name="Normal 8 26 2 2 2" xfId="5461" xr:uid="{69C2D9AD-32D9-4D30-AC5D-1EB0DD4CF81F}"/>
    <cellStyle name="Normal 8 26 2 2 3" xfId="5462" xr:uid="{4C448E8F-DAC9-46B5-A286-38A605BCD741}"/>
    <cellStyle name="Normal 8 26 2 2_Bridge IR Q" xfId="5463" xr:uid="{72E2C455-4B76-49DB-B9D3-AAB06C960511}"/>
    <cellStyle name="Normal 8 26 2 3" xfId="5464" xr:uid="{48B20CCA-B4B2-42C6-B698-49D924CFA63A}"/>
    <cellStyle name="Normal 8 26 2 3 2" xfId="5465" xr:uid="{64E10EC2-15CE-41CF-82BF-5C354E82D2F4}"/>
    <cellStyle name="Normal 8 26 2 3 3" xfId="5466" xr:uid="{0F7AAE57-10EA-4346-82B9-8876CAAEC57C}"/>
    <cellStyle name="Normal 8 26 2 3_Bridge IR Q" xfId="5467" xr:uid="{4BE5F3B4-6497-4A4F-B579-B1B43B92524E}"/>
    <cellStyle name="Normal 8 26 2 4" xfId="5468" xr:uid="{49EC8EF0-7AD1-4683-A96D-596C6040F320}"/>
    <cellStyle name="Normal 8 26 2 5" xfId="5469" xr:uid="{989FC350-9619-4616-AFE2-378F66E8E4D3}"/>
    <cellStyle name="Normal 8 26 2_Bridge IR Q" xfId="5470" xr:uid="{C9A32707-D09A-40BB-B140-72BC653FE676}"/>
    <cellStyle name="Normal 8 26 3" xfId="5471" xr:uid="{F90723D9-E5A3-42CF-8428-330E23E261A3}"/>
    <cellStyle name="Normal 8 26 3 2" xfId="5472" xr:uid="{3728E9CD-DEA2-44D2-B2B1-D5A7DE772349}"/>
    <cellStyle name="Normal 8 26 3 3" xfId="5473" xr:uid="{5F9D2AC8-19B7-471C-9206-8EAD0DD08E31}"/>
    <cellStyle name="Normal 8 26 3_Bridge IR Q" xfId="5474" xr:uid="{ABD9E4FD-2C4B-4600-BC36-067C8574A452}"/>
    <cellStyle name="Normal 8 26 4" xfId="5475" xr:uid="{184BDB1F-3A16-439E-8BFD-C1636831FA86}"/>
    <cellStyle name="Normal 8 26 4 2" xfId="5476" xr:uid="{50B5C34D-CE44-479D-B954-E79F7500689C}"/>
    <cellStyle name="Normal 8 26 4 3" xfId="5477" xr:uid="{BF83C4C9-F685-4E09-8A46-B52537BB3EAB}"/>
    <cellStyle name="Normal 8 26 4_Bridge IR Q" xfId="5478" xr:uid="{5FB066FA-5896-4A3D-9977-76A6A534C9CE}"/>
    <cellStyle name="Normal 8 26 5" xfId="5479" xr:uid="{2B530DD9-BE0C-4F53-BC8E-DE60DE4B048A}"/>
    <cellStyle name="Normal 8 26 6" xfId="5480" xr:uid="{83094A0F-6BCE-4FCD-95AD-D2DAB564543B}"/>
    <cellStyle name="Normal 8 26_Bridge IR Q" xfId="5481" xr:uid="{14A1FE3A-05EB-451A-BCE9-589061B198D2}"/>
    <cellStyle name="Normal 8 27" xfId="5482" xr:uid="{3FCD8D9C-82F0-4B5A-8CCB-AFF30CF73F31}"/>
    <cellStyle name="Normal 8 28" xfId="5483" xr:uid="{594A941C-BE04-4EA4-9A7C-73FB017D48EB}"/>
    <cellStyle name="Normal 8 28 2" xfId="5484" xr:uid="{37149BD8-2A61-460C-911E-4D3CE77EA151}"/>
    <cellStyle name="Normal 8 28 2 2" xfId="5485" xr:uid="{454467B9-70FC-4ACD-9250-B8A92C2F539A}"/>
    <cellStyle name="Normal 8 28 2 3" xfId="5486" xr:uid="{90707597-1E7C-4635-B789-0818C80D44DF}"/>
    <cellStyle name="Normal 8 28 2_Bridge IR Q" xfId="5487" xr:uid="{6577D4CE-C4E1-4EC4-8D22-3FB977BBF098}"/>
    <cellStyle name="Normal 8 28 3" xfId="5488" xr:uid="{6FF191ED-4B22-49DB-A01F-CFB3D81E4A0E}"/>
    <cellStyle name="Normal 8 28 3 2" xfId="5489" xr:uid="{205496A9-CC78-4026-AEF3-26510254571A}"/>
    <cellStyle name="Normal 8 28 3 3" xfId="5490" xr:uid="{56A6B5EF-FD42-44A5-A6D5-0B23D007D682}"/>
    <cellStyle name="Normal 8 28 3_Bridge IR Q" xfId="5491" xr:uid="{07890E64-B126-4FBD-98F9-081AC5CF4B37}"/>
    <cellStyle name="Normal 8 28 4" xfId="5492" xr:uid="{70FC3ABF-0A60-437F-BC64-2AD0652CFCC1}"/>
    <cellStyle name="Normal 8 28 5" xfId="5493" xr:uid="{5DD9181F-2828-4940-ABF2-4319E2DAA97D}"/>
    <cellStyle name="Normal 8 28_Bridge IR Q" xfId="5494" xr:uid="{0F758B43-BD88-4ED0-B1F5-3111E3F1D836}"/>
    <cellStyle name="Normal 8 29" xfId="5495" xr:uid="{E02D8E3F-C223-437D-89A6-2BA195595CF4}"/>
    <cellStyle name="Normal 8 29 2" xfId="5496" xr:uid="{93C76F5D-2BCC-4674-920C-9D572F757CA6}"/>
    <cellStyle name="Normal 8 29 3" xfId="5497" xr:uid="{9020CF54-D4E4-46F7-8AA8-80929983EB9A}"/>
    <cellStyle name="Normal 8 29_Bridge IR Q" xfId="5498" xr:uid="{DBCF75EC-4CD4-4168-903F-04BE67DF7AF1}"/>
    <cellStyle name="Normal 8 3" xfId="5499" xr:uid="{46E351B2-6339-4188-8B88-8EEDBD266391}"/>
    <cellStyle name="Normal 8 3 2" xfId="5500" xr:uid="{9EAA1E64-B862-46A8-AD5E-47CF54FA1277}"/>
    <cellStyle name="Normal 8 3 2 2" xfId="5501" xr:uid="{2C3DBEFE-B8A7-4ACE-84D9-080D8D8BFEE4}"/>
    <cellStyle name="Normal 8 3 2 2 2" xfId="5502" xr:uid="{B6A4B3E5-3567-4D3E-9F20-B6BA58FF1D64}"/>
    <cellStyle name="Normal 8 3 2 2 2 2" xfId="5503" xr:uid="{A81EEDD5-0DF7-4AC9-8654-4A56B4D619C7}"/>
    <cellStyle name="Normal 8 3 2 2 2 3" xfId="5504" xr:uid="{05195E6E-5DCC-4FC1-9E16-778890F2F877}"/>
    <cellStyle name="Normal 8 3 2 2 2_Bridge IR Q" xfId="5505" xr:uid="{6E9BDC21-B8A6-4915-A971-C674804DB81B}"/>
    <cellStyle name="Normal 8 3 2 2 3" xfId="5506" xr:uid="{3A0FF75E-1097-43D4-AF81-092B29A14FBA}"/>
    <cellStyle name="Normal 8 3 2 2 3 2" xfId="5507" xr:uid="{FF55B5C5-D0F8-4032-A5DE-B4CA146BFCFA}"/>
    <cellStyle name="Normal 8 3 2 2 3 3" xfId="5508" xr:uid="{8B6460C0-03D6-4594-A3CD-36CC5D330841}"/>
    <cellStyle name="Normal 8 3 2 2 3_Bridge IR Q" xfId="5509" xr:uid="{064663D6-BFB3-4AAF-A716-132654A11B52}"/>
    <cellStyle name="Normal 8 3 2 2 4" xfId="5510" xr:uid="{35B628F3-9A05-4D5D-BB47-9F899F70D55A}"/>
    <cellStyle name="Normal 8 3 2 2 5" xfId="5511" xr:uid="{FFFCAD1D-4506-41DD-9A6B-A55498CF3E34}"/>
    <cellStyle name="Normal 8 3 2 2_Bridge IR Q" xfId="5512" xr:uid="{19626075-6098-46A6-AA48-76D04CDB5547}"/>
    <cellStyle name="Normal 8 3 2 3" xfId="5513" xr:uid="{9166B3BB-9923-44E5-B5C8-52B1490B3C42}"/>
    <cellStyle name="Normal 8 3 2 3 2" xfId="5514" xr:uid="{99B3D5D1-65C4-4B6F-A9B7-F199EC765203}"/>
    <cellStyle name="Normal 8 3 2 3 3" xfId="5515" xr:uid="{54F57A38-A886-4283-B3CD-EC95B3A9EB5E}"/>
    <cellStyle name="Normal 8 3 2 3_Bridge IR Q" xfId="5516" xr:uid="{E62D8F78-F6F4-477A-A109-90E47DE41CB0}"/>
    <cellStyle name="Normal 8 3 2 4" xfId="5517" xr:uid="{21078F35-086B-485E-B296-5ACFE7CFA9AD}"/>
    <cellStyle name="Normal 8 3 2 4 2" xfId="5518" xr:uid="{DE0E3BEF-1212-4C0A-8A5E-1D6A0B3B071B}"/>
    <cellStyle name="Normal 8 3 2 4 3" xfId="5519" xr:uid="{177B0CCB-AB8D-41D1-81BE-C99D8A578C32}"/>
    <cellStyle name="Normal 8 3 2 4_Bridge IR Q" xfId="5520" xr:uid="{7DDFAD24-BD7D-4016-9A03-E5720C74517D}"/>
    <cellStyle name="Normal 8 3 2 5" xfId="5521" xr:uid="{E272078F-6990-47B6-9FD1-594A080414BA}"/>
    <cellStyle name="Normal 8 3 2 6" xfId="5522" xr:uid="{4AF1FCDC-B917-449E-936A-A1FD04BF698F}"/>
    <cellStyle name="Normal 8 3 2_Bridge IR Q" xfId="5523" xr:uid="{687116A4-433F-47C4-B609-5E12B2C63D46}"/>
    <cellStyle name="Normal 8 3 3" xfId="5524" xr:uid="{CF90E355-B777-4B95-B60C-8241F23B88A8}"/>
    <cellStyle name="Normal 8 3 3 2" xfId="5525" xr:uid="{E42A13ED-B0AC-4985-9A47-3FC498DE0D3F}"/>
    <cellStyle name="Normal 8 3 3 2 2" xfId="5526" xr:uid="{B8D7202F-9F5F-467B-8BF2-3679819DD260}"/>
    <cellStyle name="Normal 8 3 3 2 3" xfId="5527" xr:uid="{2042BE39-F553-4D1D-B6FC-38BD6EB49170}"/>
    <cellStyle name="Normal 8 3 3 2_Bridge IR Q" xfId="5528" xr:uid="{BE431716-ED1D-4FCD-9817-F01AC58A0642}"/>
    <cellStyle name="Normal 8 3 3 3" xfId="5529" xr:uid="{05490F7F-AA03-4071-846D-CFDA442A9E5C}"/>
    <cellStyle name="Normal 8 3 3 3 2" xfId="5530" xr:uid="{444320D0-8D46-49EF-A927-29CCD9FA18B9}"/>
    <cellStyle name="Normal 8 3 3 3 3" xfId="5531" xr:uid="{82F228C0-8821-44BA-81A2-77E760B02927}"/>
    <cellStyle name="Normal 8 3 3 3_Bridge IR Q" xfId="5532" xr:uid="{427CFE22-5C95-45A6-9E9C-3B85C22940C5}"/>
    <cellStyle name="Normal 8 3 3 4" xfId="5533" xr:uid="{F6D0FAF1-5EC0-4070-9EF2-218DAA52A4DE}"/>
    <cellStyle name="Normal 8 3 3 5" xfId="5534" xr:uid="{16F06C36-E6CE-4299-ADB3-EEAC7A060AB3}"/>
    <cellStyle name="Normal 8 3 3_Bridge IR Q" xfId="5535" xr:uid="{2D1A6028-D9AF-4531-9A1E-9E1449B7308C}"/>
    <cellStyle name="Normal 8 3 4" xfId="5536" xr:uid="{72AAFFF9-0163-4EC9-A5D2-D372B203F339}"/>
    <cellStyle name="Normal 8 3 4 2" xfId="5537" xr:uid="{DA598C5F-39FB-4CEE-8522-D281FD59105B}"/>
    <cellStyle name="Normal 8 3 4 3" xfId="5538" xr:uid="{2CD07D11-AF9C-4544-983E-2B68FDA909FF}"/>
    <cellStyle name="Normal 8 3 4_Bridge IR Q" xfId="5539" xr:uid="{DCF70750-DEEC-42F0-9C3A-FC6236667FEA}"/>
    <cellStyle name="Normal 8 3 5" xfId="5540" xr:uid="{1F1B99DB-70E4-417F-8996-2733CE176021}"/>
    <cellStyle name="Normal 8 3 5 2" xfId="5541" xr:uid="{C1B7DE68-5AC2-4C01-B868-0C0368F5E7F0}"/>
    <cellStyle name="Normal 8 3 5 3" xfId="5542" xr:uid="{4B9BE868-A54E-4180-A896-85FD8B1A9545}"/>
    <cellStyle name="Normal 8 3 5_Bridge IR Q" xfId="5543" xr:uid="{4924EB9E-B9EC-4474-ADE5-5F29D7858DB4}"/>
    <cellStyle name="Normal 8 3 6" xfId="5544" xr:uid="{89144A7F-A21B-4637-B726-93D5223B5583}"/>
    <cellStyle name="Normal 8 3 7" xfId="5545" xr:uid="{104F879F-4D5F-4FCD-BA3B-81183CFB2B1F}"/>
    <cellStyle name="Normal 8 3 8" xfId="5546" xr:uid="{E4F525D8-E79F-4257-93E0-8589B85CF803}"/>
    <cellStyle name="Normal 8 3 9" xfId="5547" xr:uid="{5850BC40-4966-46A8-AB7D-8673E04E6322}"/>
    <cellStyle name="Normal 8 3_1 KeyFig" xfId="5548" xr:uid="{1FE7EFA3-1917-4517-9C44-43C7FE04840E}"/>
    <cellStyle name="Normal 8 30" xfId="5549" xr:uid="{F50E5565-B346-4810-811B-71C13836A32D}"/>
    <cellStyle name="Normal 8 30 2" xfId="5550" xr:uid="{58298061-E9DD-4604-B867-61EFB1B005A8}"/>
    <cellStyle name="Normal 8 30 3" xfId="5551" xr:uid="{A5B84BF9-F2F6-4E7F-B2E8-92D4F7314063}"/>
    <cellStyle name="Normal 8 30_Bridge IR Q" xfId="5552" xr:uid="{2DD451C3-E45C-403D-8C20-D83EB5F421DE}"/>
    <cellStyle name="Normal 8 31" xfId="5553" xr:uid="{B3C6E4B9-C1A9-428C-A341-FF8DA92D9413}"/>
    <cellStyle name="Normal 8 32" xfId="5554" xr:uid="{BEFB2D42-A51B-478B-9296-48C761034DEA}"/>
    <cellStyle name="Normal 8 33" xfId="5555" xr:uid="{EEBE8F34-A512-44EC-AF29-CD1BDDF0900E}"/>
    <cellStyle name="Normal 8 34" xfId="5556" xr:uid="{B08297C5-0750-439A-943A-77F3E99129A5}"/>
    <cellStyle name="Normal 8 35" xfId="5557" xr:uid="{CC18D33A-E75C-488C-930B-65FB6C8A9DBC}"/>
    <cellStyle name="Normal 8 36" xfId="5558" xr:uid="{909F5D60-4159-44DC-A729-6C58549567ED}"/>
    <cellStyle name="Normal 8 37" xfId="5559" xr:uid="{B777A35C-7AFD-453F-8C25-5628A5828AB5}"/>
    <cellStyle name="Normal 8 38" xfId="5560" xr:uid="{02A4C9D5-1F7E-4776-B9FA-960CEEAFDB4C}"/>
    <cellStyle name="Normal 8 39" xfId="5561" xr:uid="{1F317283-5CB4-4006-8904-81179C6CFB42}"/>
    <cellStyle name="Normal 8 4" xfId="5562" xr:uid="{D3085148-ECC2-4042-A6B9-AE26A9A29B45}"/>
    <cellStyle name="Normal 8 4 2" xfId="5563" xr:uid="{AFF6C02C-0969-4952-B3D2-4B886A3B0682}"/>
    <cellStyle name="Normal 8 4 2 2" xfId="5564" xr:uid="{9DB7FEE9-94DD-45C1-AD56-2AAE5D415E9F}"/>
    <cellStyle name="Normal 8 4 2 2 2" xfId="5565" xr:uid="{950AC620-C058-4ADA-BAE2-6A3BF0172F49}"/>
    <cellStyle name="Normal 8 4 2 2 2 2" xfId="5566" xr:uid="{6C3D92E7-4ADB-4F0B-BEA5-106DE84DE8FE}"/>
    <cellStyle name="Normal 8 4 2 2 2 3" xfId="5567" xr:uid="{5066CCA1-A99E-4479-859F-6B1239A614C1}"/>
    <cellStyle name="Normal 8 4 2 2 2_Bridge IR Q" xfId="5568" xr:uid="{C76AE632-2A93-4BD7-840C-E85EF9E92E28}"/>
    <cellStyle name="Normal 8 4 2 2 3" xfId="5569" xr:uid="{C1EBE7FE-A987-4601-8AD0-F108E4A2F6C5}"/>
    <cellStyle name="Normal 8 4 2 2 3 2" xfId="5570" xr:uid="{304257EC-7220-4743-8322-1453B32F8881}"/>
    <cellStyle name="Normal 8 4 2 2 3 3" xfId="5571" xr:uid="{BEB70F07-0735-47FF-9B0B-ADE73A07E1B6}"/>
    <cellStyle name="Normal 8 4 2 2 3_Bridge IR Q" xfId="5572" xr:uid="{C3140783-690E-45C5-A2ED-A157278A1FD7}"/>
    <cellStyle name="Normal 8 4 2 2 4" xfId="5573" xr:uid="{BB9C1A6D-4BEE-4280-BD9D-5D819CE4CDE2}"/>
    <cellStyle name="Normal 8 4 2 2 5" xfId="5574" xr:uid="{F6EF62FB-AB15-49CB-B1FA-5A07122254E5}"/>
    <cellStyle name="Normal 8 4 2 2_Bridge IR Q" xfId="5575" xr:uid="{C73E54E0-CE6E-429C-BA61-AE494FC27067}"/>
    <cellStyle name="Normal 8 4 2 3" xfId="5576" xr:uid="{911E1298-601F-4714-9FCC-6FCCA2C00B63}"/>
    <cellStyle name="Normal 8 4 2 3 2" xfId="5577" xr:uid="{2C0AEE09-71F3-47FA-9A9A-B5D9425FCE68}"/>
    <cellStyle name="Normal 8 4 2 3 3" xfId="5578" xr:uid="{8D7280C1-3235-4EAD-B687-6732346C3905}"/>
    <cellStyle name="Normal 8 4 2 3_Bridge IR Q" xfId="5579" xr:uid="{C00181C2-D27C-4092-9933-C52AD4DC8089}"/>
    <cellStyle name="Normal 8 4 2 4" xfId="5580" xr:uid="{A1C54AED-ED3C-4677-A48B-2BC781AA58AE}"/>
    <cellStyle name="Normal 8 4 2 4 2" xfId="5581" xr:uid="{7933CFCC-1B26-40D3-A924-92E7F8D5305F}"/>
    <cellStyle name="Normal 8 4 2 4 3" xfId="5582" xr:uid="{33FCC629-8383-44C8-970E-B46E5929AA72}"/>
    <cellStyle name="Normal 8 4 2 4_Bridge IR Q" xfId="5583" xr:uid="{013CC559-12AE-4482-ABA7-9EAFC00D57C0}"/>
    <cellStyle name="Normal 8 4 2 5" xfId="5584" xr:uid="{59C40BDE-C0EC-47C6-BD10-154A8610AC8E}"/>
    <cellStyle name="Normal 8 4 2 6" xfId="5585" xr:uid="{E6C5F472-860C-498D-AB7A-6EC7506ABA4D}"/>
    <cellStyle name="Normal 8 4 2_Bridge IR Q" xfId="5586" xr:uid="{B8B9FA26-A127-469B-9AA3-ECB5C32C92E1}"/>
    <cellStyle name="Normal 8 4 3" xfId="5587" xr:uid="{3B4A532E-A5F9-4028-8EB1-BB2ECC54C6A5}"/>
    <cellStyle name="Normal 8 4 3 2" xfId="5588" xr:uid="{3875C141-8663-4C0D-8942-91C1EBFE9AAB}"/>
    <cellStyle name="Normal 8 4 3 2 2" xfId="5589" xr:uid="{40FBB056-A6FA-49BE-81AC-CEF00DDE790D}"/>
    <cellStyle name="Normal 8 4 3 2 3" xfId="5590" xr:uid="{22842AFD-719B-43ED-95E5-13E670994D10}"/>
    <cellStyle name="Normal 8 4 3 2_Bridge IR Q" xfId="5591" xr:uid="{AF108972-2276-44A7-B529-91E4B8FB9B6F}"/>
    <cellStyle name="Normal 8 4 3 3" xfId="5592" xr:uid="{61719923-ADA6-4C14-8CFC-13F5E5C12DD7}"/>
    <cellStyle name="Normal 8 4 3 3 2" xfId="5593" xr:uid="{325CA389-0D7B-4827-823D-3A6A53A1896B}"/>
    <cellStyle name="Normal 8 4 3 3 3" xfId="5594" xr:uid="{EA738023-9CE7-4BAD-946A-16C18244A027}"/>
    <cellStyle name="Normal 8 4 3 3_Bridge IR Q" xfId="5595" xr:uid="{56D3519E-16EE-4FEE-A894-2D85B159444C}"/>
    <cellStyle name="Normal 8 4 3 4" xfId="5596" xr:uid="{DF13883A-A68A-4E69-A597-D5ED37481AD3}"/>
    <cellStyle name="Normal 8 4 3 5" xfId="5597" xr:uid="{1E007A31-D15D-4D21-9421-E5CFD5031865}"/>
    <cellStyle name="Normal 8 4 3_Bridge IR Q" xfId="5598" xr:uid="{78F8D75E-D919-4E85-8059-3FCB9173800B}"/>
    <cellStyle name="Normal 8 4 4" xfId="5599" xr:uid="{248A80C2-ED62-4AB8-AB73-2A81F87C49CA}"/>
    <cellStyle name="Normal 8 4 4 2" xfId="5600" xr:uid="{1A133C50-CDED-4EBE-94C8-10D49E8D85AB}"/>
    <cellStyle name="Normal 8 4 4 3" xfId="5601" xr:uid="{C138A3D9-3EE8-4A6C-8F3F-4E26C09C23C7}"/>
    <cellStyle name="Normal 8 4 4_Bridge IR Q" xfId="5602" xr:uid="{B36C6886-560E-4A46-8FA1-E19E0A6DF10B}"/>
    <cellStyle name="Normal 8 4 5" xfId="5603" xr:uid="{EDB4370B-62BE-4530-B28B-A3A7BA252EA0}"/>
    <cellStyle name="Normal 8 4 5 2" xfId="5604" xr:uid="{BBC71757-E2E2-451D-9553-2B8F321F7333}"/>
    <cellStyle name="Normal 8 4 5 3" xfId="5605" xr:uid="{664771D9-70CB-4ED6-8FFA-01924300EA1F}"/>
    <cellStyle name="Normal 8 4 5_Bridge IR Q" xfId="5606" xr:uid="{45002639-C7DD-4532-B957-D22FD8F0781F}"/>
    <cellStyle name="Normal 8 4 6" xfId="5607" xr:uid="{DB48AC05-EA19-4E67-BDBB-3AEEF3DC8485}"/>
    <cellStyle name="Normal 8 4 7" xfId="5608" xr:uid="{1374BDC0-585E-429F-89B6-6C8081CB750B}"/>
    <cellStyle name="Normal 8 4_1 KeyFig" xfId="5609" xr:uid="{CF701E01-A609-4D70-91AB-EE6138E6CAD5}"/>
    <cellStyle name="Normal 8 40" xfId="5610" xr:uid="{1F39E3B7-A727-4B5E-8F7E-8657BF04F5C6}"/>
    <cellStyle name="Normal 8 41" xfId="5611" xr:uid="{75E1DE30-A939-4798-9714-2FCE7575B30D}"/>
    <cellStyle name="Normal 8 42" xfId="5612" xr:uid="{FE048FCC-CF93-4FB8-AD6B-D8033F551BCE}"/>
    <cellStyle name="Normal 8 43" xfId="5613" xr:uid="{78434776-D7B1-45BE-B617-2D470C215C48}"/>
    <cellStyle name="Normal 8 44" xfId="5614" xr:uid="{7BFA7849-AE85-45AC-BADF-9AF04A3B95B2}"/>
    <cellStyle name="Normal 8 45" xfId="5615" xr:uid="{613CE242-6ED8-456F-811E-A94CA9893832}"/>
    <cellStyle name="Normal 8 46" xfId="5616" xr:uid="{394108DF-7265-4781-BFE8-A4A54F880439}"/>
    <cellStyle name="Normal 8 47" xfId="5617" xr:uid="{2F478A9F-469D-4AF4-9730-3D09CCF5BEB0}"/>
    <cellStyle name="Normal 8 48" xfId="5618" xr:uid="{02496601-6A54-483F-8E7A-937B49F4C70E}"/>
    <cellStyle name="Normal 8 49" xfId="5619" xr:uid="{BA2223CA-B094-4978-B224-6CF1370AE7ED}"/>
    <cellStyle name="Normal 8 5" xfId="5620" xr:uid="{BF287F1A-C930-471A-A1ED-3882F6A2A179}"/>
    <cellStyle name="Normal 8 5 2" xfId="5621" xr:uid="{26EA921A-5773-49D2-8A81-1090361BFF48}"/>
    <cellStyle name="Normal 8 5 2 2" xfId="5622" xr:uid="{FB4C529D-A2E1-43F9-84D6-8CA9DD988D23}"/>
    <cellStyle name="Normal 8 5 2 2 2" xfId="5623" xr:uid="{D5A2B633-5AC9-4D2C-B40A-AB661DCA0E8E}"/>
    <cellStyle name="Normal 8 5 2 2 2 2" xfId="5624" xr:uid="{D7FB44E9-6AFC-44DE-98AD-8DCCD68DC1F7}"/>
    <cellStyle name="Normal 8 5 2 2 2 3" xfId="5625" xr:uid="{24149DE5-0ADA-4A59-B77A-374569AAE2E2}"/>
    <cellStyle name="Normal 8 5 2 2 2_Bridge IR Q" xfId="5626" xr:uid="{AEECF9FD-989C-47E3-B7BE-967FBD3ABA7C}"/>
    <cellStyle name="Normal 8 5 2 2 3" xfId="5627" xr:uid="{676DF881-7821-4DC7-BEF8-6B4D075D4FFC}"/>
    <cellStyle name="Normal 8 5 2 2 3 2" xfId="5628" xr:uid="{D1E3F228-4819-42E9-A414-FA2C102B03C9}"/>
    <cellStyle name="Normal 8 5 2 2 3 3" xfId="5629" xr:uid="{33E28E21-FC37-478A-84CD-C9EA82A078F8}"/>
    <cellStyle name="Normal 8 5 2 2 3_Bridge IR Q" xfId="5630" xr:uid="{CB6078DE-AEA6-43E9-89DE-712AFDF4CB4A}"/>
    <cellStyle name="Normal 8 5 2 2 4" xfId="5631" xr:uid="{6F71EA9F-DE6B-4F78-A56F-B99FB1A8BB58}"/>
    <cellStyle name="Normal 8 5 2 2 5" xfId="5632" xr:uid="{C025C1AE-FCB5-4ABC-8529-BA59F77EEF4A}"/>
    <cellStyle name="Normal 8 5 2 2_Bridge IR Q" xfId="5633" xr:uid="{BFE8D8D6-9665-4879-9D15-DE5AB13BAFE6}"/>
    <cellStyle name="Normal 8 5 2 3" xfId="5634" xr:uid="{B322D1FB-DEA3-492A-A70E-0FE197514A01}"/>
    <cellStyle name="Normal 8 5 2 3 2" xfId="5635" xr:uid="{4D0F57B9-405B-4268-9EDF-8D5ED38A988E}"/>
    <cellStyle name="Normal 8 5 2 3 3" xfId="5636" xr:uid="{985B6709-8B40-421F-86BE-099778876A04}"/>
    <cellStyle name="Normal 8 5 2 3_Bridge IR Q" xfId="5637" xr:uid="{9115980E-21EE-4AF0-A174-EFDBA66116CC}"/>
    <cellStyle name="Normal 8 5 2 4" xfId="5638" xr:uid="{6BC167BC-F511-464B-8FDA-D111C0E75E3F}"/>
    <cellStyle name="Normal 8 5 2 4 2" xfId="5639" xr:uid="{6AD1F833-861A-41EA-A344-516044E8D6AA}"/>
    <cellStyle name="Normal 8 5 2 4 3" xfId="5640" xr:uid="{25DD35C9-33D4-40DD-839E-5FB6245C2E55}"/>
    <cellStyle name="Normal 8 5 2 4_Bridge IR Q" xfId="5641" xr:uid="{CEEC160A-49B9-48E8-B994-CB039ECCB87D}"/>
    <cellStyle name="Normal 8 5 2 5" xfId="5642" xr:uid="{29CA5EFF-DD2D-4CF5-A780-E5C84D857AE1}"/>
    <cellStyle name="Normal 8 5 2 6" xfId="5643" xr:uid="{97E43AE1-53C2-4701-9F75-8F8113A0CD69}"/>
    <cellStyle name="Normal 8 5 2_Bridge IR Q" xfId="5644" xr:uid="{3DAFC18B-7EFD-4C6A-893C-0C1690EF58AF}"/>
    <cellStyle name="Normal 8 5 3" xfId="5645" xr:uid="{A58BAAE0-E952-4754-A9C5-FF8EE055F1B3}"/>
    <cellStyle name="Normal 8 5 3 2" xfId="5646" xr:uid="{40DAA679-51AF-4520-AE7A-FB41DC6055CE}"/>
    <cellStyle name="Normal 8 5 3 2 2" xfId="5647" xr:uid="{6CADB34F-FA22-4148-8BFE-CF9C863AF42E}"/>
    <cellStyle name="Normal 8 5 3 2 3" xfId="5648" xr:uid="{F7883484-A5FD-42E2-AB2F-842F7CE88691}"/>
    <cellStyle name="Normal 8 5 3 2_Bridge IR Q" xfId="5649" xr:uid="{46D1E6CF-534A-4E9C-98F0-A629C668EB67}"/>
    <cellStyle name="Normal 8 5 3 3" xfId="5650" xr:uid="{7051E545-EE1F-4537-9DE3-6B2278AC9634}"/>
    <cellStyle name="Normal 8 5 3 3 2" xfId="5651" xr:uid="{1AD2C66C-F903-4FD9-A59A-2B1E5B7A7EA1}"/>
    <cellStyle name="Normal 8 5 3 3 3" xfId="5652" xr:uid="{AA73F280-3357-425A-8BCB-D4D85D816282}"/>
    <cellStyle name="Normal 8 5 3 3_Bridge IR Q" xfId="5653" xr:uid="{0C566968-C16A-4448-9B00-1652F1886852}"/>
    <cellStyle name="Normal 8 5 3 4" xfId="5654" xr:uid="{61340A71-E08D-4226-9EC0-AC14A68888DE}"/>
    <cellStyle name="Normal 8 5 3 5" xfId="5655" xr:uid="{7320E79F-F54E-4A05-95CB-9FD7EE2298F6}"/>
    <cellStyle name="Normal 8 5 3_Bridge IR Q" xfId="5656" xr:uid="{D4097D24-F925-4303-8092-2E681E254615}"/>
    <cellStyle name="Normal 8 5 4" xfId="5657" xr:uid="{4E958CC2-245E-4D26-AAEE-F8356C3B1F2C}"/>
    <cellStyle name="Normal 8 5 4 2" xfId="5658" xr:uid="{ECDBFB56-589F-4D50-A8F1-B11343853BA8}"/>
    <cellStyle name="Normal 8 5 4 3" xfId="5659" xr:uid="{04BE21D0-F070-4D4B-8A63-2677802487C4}"/>
    <cellStyle name="Normal 8 5 4_Bridge IR Q" xfId="5660" xr:uid="{D2DF3D0B-E523-4DD0-A6D0-2F42ABB41A49}"/>
    <cellStyle name="Normal 8 5 5" xfId="5661" xr:uid="{34894919-7B43-4EEE-95EB-AB9B5F877DA2}"/>
    <cellStyle name="Normal 8 5 5 2" xfId="5662" xr:uid="{B934318A-91E6-490F-BFD5-F259BD653499}"/>
    <cellStyle name="Normal 8 5 5 3" xfId="5663" xr:uid="{A912C0CE-A5B0-4EE6-A4F4-344DA717D9AF}"/>
    <cellStyle name="Normal 8 5 5_Bridge IR Q" xfId="5664" xr:uid="{8A6F83AF-1844-4FE4-B4BB-BCD13BD55A19}"/>
    <cellStyle name="Normal 8 5 6" xfId="5665" xr:uid="{2022B912-8CAA-4403-8BDB-47EF8AAF6666}"/>
    <cellStyle name="Normal 8 5 7" xfId="5666" xr:uid="{749A9A64-8697-4366-AA03-80144A0FD398}"/>
    <cellStyle name="Normal 8 5_1 KeyFig" xfId="5667" xr:uid="{4399EB9D-B83C-45E6-8D13-8CA5A0A1A0E0}"/>
    <cellStyle name="Normal 8 50" xfId="5668" xr:uid="{80E09217-BF18-467A-AC75-115F059DFF2B}"/>
    <cellStyle name="Normal 8 51" xfId="5669" xr:uid="{FC5F5BA7-6128-4821-BA5E-A283893F3A39}"/>
    <cellStyle name="Normal 8 52" xfId="5670" xr:uid="{5931EB2A-D3C2-401E-AB2D-9A6456277538}"/>
    <cellStyle name="Normal 8 53" xfId="5671" xr:uid="{E2B5A053-8E96-47F3-B2EA-23867FB35FDD}"/>
    <cellStyle name="Normal 8 54" xfId="5672" xr:uid="{82B62FC9-4A1E-477E-AE60-9F787D7A2B81}"/>
    <cellStyle name="Normal 8 55" xfId="5673" xr:uid="{6D04FF05-0EFD-4B25-A6E3-06FBAC695080}"/>
    <cellStyle name="Normal 8 56" xfId="5674" xr:uid="{CBBA3B64-0A9F-4223-A2BB-BA46958C5789}"/>
    <cellStyle name="Normal 8 6" xfId="5675" xr:uid="{228AB060-6C5B-40A3-96C4-4B7046196351}"/>
    <cellStyle name="Normal 8 6 2" xfId="5676" xr:uid="{1391A280-BC77-4743-9DB2-5B40675FF563}"/>
    <cellStyle name="Normal 8 6 2 2" xfId="5677" xr:uid="{B526B54A-707D-4663-BC82-86BB934226DB}"/>
    <cellStyle name="Normal 8 6 2 2 2" xfId="5678" xr:uid="{A2AD9952-87A4-4692-928D-565F0442EB3D}"/>
    <cellStyle name="Normal 8 6 2 2 2 2" xfId="5679" xr:uid="{056046C5-166C-4072-916E-995D9B2EDEBD}"/>
    <cellStyle name="Normal 8 6 2 2 2 3" xfId="5680" xr:uid="{532DF3C8-BE10-45E8-9669-6D4CA57249B7}"/>
    <cellStyle name="Normal 8 6 2 2 2_Bridge IR Q" xfId="5681" xr:uid="{09E2F5D4-B953-430C-83FA-BE3A6353BA06}"/>
    <cellStyle name="Normal 8 6 2 2 3" xfId="5682" xr:uid="{7520D6B1-A7E1-472A-A08A-C7A748F4854D}"/>
    <cellStyle name="Normal 8 6 2 2 3 2" xfId="5683" xr:uid="{058F8E6B-E3DA-4F60-9F15-AD0EEFC78D68}"/>
    <cellStyle name="Normal 8 6 2 2 3 3" xfId="5684" xr:uid="{0F563EE9-E6B1-44CC-A1C9-9F557C405C75}"/>
    <cellStyle name="Normal 8 6 2 2 3_Bridge IR Q" xfId="5685" xr:uid="{D029C489-AFAD-44F2-BC49-212658EFA915}"/>
    <cellStyle name="Normal 8 6 2 2 4" xfId="5686" xr:uid="{7631F342-0657-4AAC-AB40-61D53BBC492E}"/>
    <cellStyle name="Normal 8 6 2 2 5" xfId="5687" xr:uid="{0024DB47-FD5A-48F7-962A-99304F4B4B54}"/>
    <cellStyle name="Normal 8 6 2 2_Bridge IR Q" xfId="5688" xr:uid="{0C0CE5E9-B5BC-416C-8FDA-0A362989A7D7}"/>
    <cellStyle name="Normal 8 6 2 3" xfId="5689" xr:uid="{BD49D446-9EB8-4A42-B955-ED89F0F37086}"/>
    <cellStyle name="Normal 8 6 2 3 2" xfId="5690" xr:uid="{4B3DDCC7-A80C-42AD-B967-CE22D0BCCE7F}"/>
    <cellStyle name="Normal 8 6 2 3 3" xfId="5691" xr:uid="{ED7FA2B6-7FD7-4FF6-A6F7-9BAC0E41BAAE}"/>
    <cellStyle name="Normal 8 6 2 3_Bridge IR Q" xfId="5692" xr:uid="{1F114BB2-5B89-445B-B07D-7EB1ECC734B8}"/>
    <cellStyle name="Normal 8 6 2 4" xfId="5693" xr:uid="{338C4153-8378-4230-9AE1-FEF3022DBB87}"/>
    <cellStyle name="Normal 8 6 2 4 2" xfId="5694" xr:uid="{A63083FB-E6D0-479C-AB25-D8B3B10002E4}"/>
    <cellStyle name="Normal 8 6 2 4 3" xfId="5695" xr:uid="{D2C09BD7-8087-4F2A-A68B-FB6F36B17392}"/>
    <cellStyle name="Normal 8 6 2 4_Bridge IR Q" xfId="5696" xr:uid="{BD59BE98-4AC4-4C17-9637-B0540ABA04BF}"/>
    <cellStyle name="Normal 8 6 2 5" xfId="5697" xr:uid="{988BFA0E-E9AD-4A55-8E35-8DDA6BD154B3}"/>
    <cellStyle name="Normal 8 6 2 6" xfId="5698" xr:uid="{EBEF39D3-100B-49C8-9AD3-525A40BE13CF}"/>
    <cellStyle name="Normal 8 6 2_Bridge IR Q" xfId="5699" xr:uid="{923678D2-E80C-4C41-8C96-9D3303FE3A68}"/>
    <cellStyle name="Normal 8 6 3" xfId="5700" xr:uid="{A54ED2CE-FE5A-4E78-AD8C-3AFFEE1B33CF}"/>
    <cellStyle name="Normal 8 6 3 2" xfId="5701" xr:uid="{B1F241D4-AA82-4669-BCFA-01D11334D3C9}"/>
    <cellStyle name="Normal 8 6 3 2 2" xfId="5702" xr:uid="{1788F3AD-0BF9-4255-99DC-5B535810905A}"/>
    <cellStyle name="Normal 8 6 3 2 3" xfId="5703" xr:uid="{58AF6FBF-6793-47BF-89CC-7B4D1D57AC16}"/>
    <cellStyle name="Normal 8 6 3 2_Bridge IR Q" xfId="5704" xr:uid="{1065B771-B5D3-4B98-AFEE-40F1E9D80A43}"/>
    <cellStyle name="Normal 8 6 3 3" xfId="5705" xr:uid="{1E1A9259-796A-44B7-8B2C-B316B72CC4E7}"/>
    <cellStyle name="Normal 8 6 3 3 2" xfId="5706" xr:uid="{4E76801A-9ED3-4A7D-AC3E-99510EE6337B}"/>
    <cellStyle name="Normal 8 6 3 3 3" xfId="5707" xr:uid="{E18608A9-6204-4D9A-9880-8744A84AACC7}"/>
    <cellStyle name="Normal 8 6 3 3_Bridge IR Q" xfId="5708" xr:uid="{044180AC-C584-44AC-A70F-4D7D8B3BFDCF}"/>
    <cellStyle name="Normal 8 6 3 4" xfId="5709" xr:uid="{DDF0DE3A-FEF6-4D3F-B8E5-273BD53501A4}"/>
    <cellStyle name="Normal 8 6 3 5" xfId="5710" xr:uid="{B5DFC60B-22B9-42C3-879C-79CFF32EEEEB}"/>
    <cellStyle name="Normal 8 6 3_Bridge IR Q" xfId="5711" xr:uid="{D26D47B5-354B-43DA-8C15-E7CAC4025FA2}"/>
    <cellStyle name="Normal 8 6 4" xfId="5712" xr:uid="{753F1966-37AA-4AA5-B4ED-0D35FA0816A7}"/>
    <cellStyle name="Normal 8 6 4 2" xfId="5713" xr:uid="{543AA1B4-AA9E-4840-B224-E94DD6F8417E}"/>
    <cellStyle name="Normal 8 6 4 3" xfId="5714" xr:uid="{50E44A41-03A3-40BF-B27B-4419E8B87B46}"/>
    <cellStyle name="Normal 8 6 4_Bridge IR Q" xfId="5715" xr:uid="{C21B2D1A-8191-4F83-A1DD-01183E8A75F7}"/>
    <cellStyle name="Normal 8 6 5" xfId="5716" xr:uid="{748C928A-FC86-4FA9-8B78-2264D505FC23}"/>
    <cellStyle name="Normal 8 6 5 2" xfId="5717" xr:uid="{3F6EC017-936A-489C-8DDD-DCB295549CA7}"/>
    <cellStyle name="Normal 8 6 5 3" xfId="5718" xr:uid="{D4A6B979-DFDD-4566-AE74-2CC35F330F1F}"/>
    <cellStyle name="Normal 8 6 5_Bridge IR Q" xfId="5719" xr:uid="{7978DB7D-A1A7-4FD5-B27B-2F9BE0CFA425}"/>
    <cellStyle name="Normal 8 6 6" xfId="5720" xr:uid="{062255D1-5EB7-4198-AB16-4BE38FFBE236}"/>
    <cellStyle name="Normal 8 6 7" xfId="5721" xr:uid="{EFC65923-B2E6-404E-B875-B80B184DD91D}"/>
    <cellStyle name="Normal 8 6_1 KeyFig" xfId="5722" xr:uid="{B1E82C8D-267E-4FEA-9C45-17EDA2AB9AD3}"/>
    <cellStyle name="Normal 8 7" xfId="5723" xr:uid="{F7672958-57EC-4EE1-8305-544E95419217}"/>
    <cellStyle name="Normal 8 7 2" xfId="5724" xr:uid="{11C34BBC-1EBD-437A-9C47-B458BE168B68}"/>
    <cellStyle name="Normal 8 7 2 2" xfId="5725" xr:uid="{ACA02258-B13D-417D-B675-00E1788B7CAE}"/>
    <cellStyle name="Normal 8 7 2 2 2" xfId="5726" xr:uid="{8A41EEFA-AFEB-4C94-A89D-74B6777E9C62}"/>
    <cellStyle name="Normal 8 7 2 2 2 2" xfId="5727" xr:uid="{472BEA3C-69C3-40DB-AD87-BCAE3F6EE690}"/>
    <cellStyle name="Normal 8 7 2 2 2 3" xfId="5728" xr:uid="{DA5E4210-84B6-4D28-8106-6ABE0E0AA9F2}"/>
    <cellStyle name="Normal 8 7 2 2 2_Bridge IR Q" xfId="5729" xr:uid="{6AEF4FEB-5816-4F18-8D46-6FF3BE1CB5E0}"/>
    <cellStyle name="Normal 8 7 2 2 3" xfId="5730" xr:uid="{94EEEC49-295E-4707-BE0E-7FC41EABA5C7}"/>
    <cellStyle name="Normal 8 7 2 2 3 2" xfId="5731" xr:uid="{5B28875C-B07F-4765-9F3D-D6FE96F7B416}"/>
    <cellStyle name="Normal 8 7 2 2 3 3" xfId="5732" xr:uid="{275B1468-B2E7-441B-87D5-61CD93B396C9}"/>
    <cellStyle name="Normal 8 7 2 2 3_Bridge IR Q" xfId="5733" xr:uid="{CC26E64E-572B-4676-8403-016C19F6D3F4}"/>
    <cellStyle name="Normal 8 7 2 2 4" xfId="5734" xr:uid="{BEC95875-CEFD-4DC5-BCA6-89F689EDA41F}"/>
    <cellStyle name="Normal 8 7 2 2 5" xfId="5735" xr:uid="{F29D058E-1BC3-4804-8CD6-91FD0BCABF39}"/>
    <cellStyle name="Normal 8 7 2 2_Bridge IR Q" xfId="5736" xr:uid="{139A4C30-382C-486D-950B-B6B9EAA39F04}"/>
    <cellStyle name="Normal 8 7 2 3" xfId="5737" xr:uid="{DB9BC639-F319-4AB7-BA7E-E393017B5213}"/>
    <cellStyle name="Normal 8 7 2 3 2" xfId="5738" xr:uid="{FFA6C182-E987-4673-9CF7-26320406FB12}"/>
    <cellStyle name="Normal 8 7 2 3 3" xfId="5739" xr:uid="{07847C07-0D05-4A32-B4E2-275AB044BDFD}"/>
    <cellStyle name="Normal 8 7 2 3_Bridge IR Q" xfId="5740" xr:uid="{44B4D5F1-9791-4A47-8333-A5746C4558BC}"/>
    <cellStyle name="Normal 8 7 2 4" xfId="5741" xr:uid="{3EE1901E-101A-47FB-8B4E-F5A11AEE9910}"/>
    <cellStyle name="Normal 8 7 2 4 2" xfId="5742" xr:uid="{53645B2D-674F-480D-9AC5-424F985A8213}"/>
    <cellStyle name="Normal 8 7 2 4 3" xfId="5743" xr:uid="{51E58C4A-D67C-4925-8062-B9897C0B895D}"/>
    <cellStyle name="Normal 8 7 2 4_Bridge IR Q" xfId="5744" xr:uid="{77407BE5-96CF-4247-991F-84A749653614}"/>
    <cellStyle name="Normal 8 7 2 5" xfId="5745" xr:uid="{F57EE3A9-482B-47A7-9EBE-B808F0B9A805}"/>
    <cellStyle name="Normal 8 7 2 6" xfId="5746" xr:uid="{F89195E3-761F-42D8-B9A9-3DFDB5DB86CB}"/>
    <cellStyle name="Normal 8 7 2_Bridge IR Q" xfId="5747" xr:uid="{AABB6649-0679-477D-AFE7-7A937CEB0B48}"/>
    <cellStyle name="Normal 8 7 3" xfId="5748" xr:uid="{281CF5D2-338F-41B3-8B7A-CDCA92033CDB}"/>
    <cellStyle name="Normal 8 7 3 2" xfId="5749" xr:uid="{AC780422-2C97-469C-9C73-D2ABBB59FF61}"/>
    <cellStyle name="Normal 8 7 3 2 2" xfId="5750" xr:uid="{861FB5B1-D0F5-41B6-AF8C-C8354E2C2AD0}"/>
    <cellStyle name="Normal 8 7 3 2 3" xfId="5751" xr:uid="{E4B97594-EA34-41A0-9524-30660A701732}"/>
    <cellStyle name="Normal 8 7 3 2_Bridge IR Q" xfId="5752" xr:uid="{8EBD4ED8-D273-41BA-9100-C50C1A401064}"/>
    <cellStyle name="Normal 8 7 3 3" xfId="5753" xr:uid="{4B6EB243-D4ED-42DB-87DC-745851A4D32D}"/>
    <cellStyle name="Normal 8 7 3 3 2" xfId="5754" xr:uid="{9F8D3B4C-3D97-4FA8-8C93-B1215A28B973}"/>
    <cellStyle name="Normal 8 7 3 3 3" xfId="5755" xr:uid="{FEB3B32E-366E-4DE5-8A2F-CC64B635682C}"/>
    <cellStyle name="Normal 8 7 3 3_Bridge IR Q" xfId="5756" xr:uid="{0644644B-4B54-4EE5-AAB9-9B1128FD7EA3}"/>
    <cellStyle name="Normal 8 7 3 4" xfId="5757" xr:uid="{A38BFA5D-827F-4838-8B7F-5A920E39A543}"/>
    <cellStyle name="Normal 8 7 3 5" xfId="5758" xr:uid="{5E40AE07-B36A-46F8-BBC6-D5C142675945}"/>
    <cellStyle name="Normal 8 7 3_Bridge IR Q" xfId="5759" xr:uid="{BCABB011-9DB1-4A48-8C5B-BB74E28B7180}"/>
    <cellStyle name="Normal 8 7 4" xfId="5760" xr:uid="{67F8F449-7E21-4478-BBB2-C2AB9EA63F54}"/>
    <cellStyle name="Normal 8 7 4 2" xfId="5761" xr:uid="{48CCFD4C-5FDB-4AED-A1B9-AE88ECB0BEAD}"/>
    <cellStyle name="Normal 8 7 4 3" xfId="5762" xr:uid="{E22B4D8F-3B38-4831-B68D-E413FBF07201}"/>
    <cellStyle name="Normal 8 7 4_Bridge IR Q" xfId="5763" xr:uid="{10B65BDA-2B72-4FB4-81E0-A6BF2844D6E7}"/>
    <cellStyle name="Normal 8 7 5" xfId="5764" xr:uid="{DF2F9B3F-87BB-4CCF-B928-99A15EE67F52}"/>
    <cellStyle name="Normal 8 7 5 2" xfId="5765" xr:uid="{7D05EBD9-4AC4-48F0-AA24-2E634CEEEEC2}"/>
    <cellStyle name="Normal 8 7 5 3" xfId="5766" xr:uid="{0234927F-4A9F-4415-ADAD-BBE6BBC2F357}"/>
    <cellStyle name="Normal 8 7 5_Bridge IR Q" xfId="5767" xr:uid="{B69C05AD-1259-4264-947B-DF304389955F}"/>
    <cellStyle name="Normal 8 7 6" xfId="5768" xr:uid="{424A599E-1707-450F-917E-893F036FF77F}"/>
    <cellStyle name="Normal 8 7 7" xfId="5769" xr:uid="{973EFD47-3FEC-4596-BE3C-F094AEE49A28}"/>
    <cellStyle name="Normal 8 7 8" xfId="5770" xr:uid="{06505349-75AB-46FF-9B9F-19ABA875B4E1}"/>
    <cellStyle name="Normal 8 7_1 KeyFig" xfId="5771" xr:uid="{122116C8-8FFA-487B-A096-AF04D46BAC1A}"/>
    <cellStyle name="Normal 8 8" xfId="5772" xr:uid="{BA4E89A7-2FB4-4A0F-9DE1-D86EF012D731}"/>
    <cellStyle name="Normal 8 8 2" xfId="5773" xr:uid="{6BE6FDAA-38BE-4CA8-BB31-9FABF70574DF}"/>
    <cellStyle name="Normal 8 8 2 2" xfId="5774" xr:uid="{2A4700A7-7FA1-4F26-B8D4-70C55213D1F7}"/>
    <cellStyle name="Normal 8 8 2 2 2" xfId="5775" xr:uid="{618F3005-22F7-4896-A6CB-A5858319DE1A}"/>
    <cellStyle name="Normal 8 8 2 2 2 2" xfId="5776" xr:uid="{F7DB5861-7925-4145-A580-AF4B829CB728}"/>
    <cellStyle name="Normal 8 8 2 2 2 3" xfId="5777" xr:uid="{96D5D83F-A221-41BA-BE8D-F27062594E95}"/>
    <cellStyle name="Normal 8 8 2 2 2_Bridge IR Q" xfId="5778" xr:uid="{7AD207DA-1BB3-4A84-8259-2E6A4789702C}"/>
    <cellStyle name="Normal 8 8 2 2 3" xfId="5779" xr:uid="{B1C078B2-00F1-420B-8308-3B98510E6766}"/>
    <cellStyle name="Normal 8 8 2 2 3 2" xfId="5780" xr:uid="{E48047DA-644E-4CA4-A386-B28D817F9D6D}"/>
    <cellStyle name="Normal 8 8 2 2 3 3" xfId="5781" xr:uid="{8AFE0875-3DA1-449C-A661-B68E640EEE91}"/>
    <cellStyle name="Normal 8 8 2 2 3_Bridge IR Q" xfId="5782" xr:uid="{8C9F6034-2E3A-47D9-9A2F-5CC3664D7B8E}"/>
    <cellStyle name="Normal 8 8 2 2 4" xfId="5783" xr:uid="{523D5D2B-0016-4177-B7D7-C690653DFFF9}"/>
    <cellStyle name="Normal 8 8 2 2 5" xfId="5784" xr:uid="{E4E85D78-9BAF-4557-825E-125C79863D4D}"/>
    <cellStyle name="Normal 8 8 2 2_Bridge IR Q" xfId="5785" xr:uid="{0D6FA709-CFAD-431D-BEB1-DAB4F7690864}"/>
    <cellStyle name="Normal 8 8 2 3" xfId="5786" xr:uid="{9EF2AAD7-860C-4584-8DAC-9F44B8F00A99}"/>
    <cellStyle name="Normal 8 8 2 3 2" xfId="5787" xr:uid="{8AE909AE-92BF-46A0-8CDA-E69EC86B47A0}"/>
    <cellStyle name="Normal 8 8 2 3 3" xfId="5788" xr:uid="{E9FD5111-75C9-46AC-BD3E-9B58B6BCFB40}"/>
    <cellStyle name="Normal 8 8 2 3_Bridge IR Q" xfId="5789" xr:uid="{F8D94312-BA57-4003-8240-05B2A3CD8942}"/>
    <cellStyle name="Normal 8 8 2 4" xfId="5790" xr:uid="{0ADA86C1-C6E7-4724-9A19-E070C07A1994}"/>
    <cellStyle name="Normal 8 8 2 4 2" xfId="5791" xr:uid="{267039F3-3FD4-4F7A-8812-6AA66ABADDDD}"/>
    <cellStyle name="Normal 8 8 2 4 3" xfId="5792" xr:uid="{BA80CB03-936E-4881-9991-8A05AF78E8CE}"/>
    <cellStyle name="Normal 8 8 2 4_Bridge IR Q" xfId="5793" xr:uid="{C49FED4F-8938-43C6-97C5-FB052DEC75ED}"/>
    <cellStyle name="Normal 8 8 2 5" xfId="5794" xr:uid="{58310602-5BA3-498B-BCBD-EDF7E7BF2895}"/>
    <cellStyle name="Normal 8 8 2 6" xfId="5795" xr:uid="{50710C37-6E0B-4FD0-AA39-C3D35962796F}"/>
    <cellStyle name="Normal 8 8 2_Bridge IR Q" xfId="5796" xr:uid="{B2CCF8B5-8AFE-4DE0-96F8-FF912CB970A4}"/>
    <cellStyle name="Normal 8 8 3" xfId="5797" xr:uid="{1EDE24BB-5922-4003-97DE-30272D0E79C6}"/>
    <cellStyle name="Normal 8 8 3 2" xfId="5798" xr:uid="{DC0910F2-6F15-494D-AA53-0A3CD3A54B37}"/>
    <cellStyle name="Normal 8 8 3 2 2" xfId="5799" xr:uid="{B2A9E4CD-A0FC-4AFA-896E-B28051C1DEF9}"/>
    <cellStyle name="Normal 8 8 3 2 3" xfId="5800" xr:uid="{DE4927C1-5A46-493F-A4C5-CEB3D8887BAB}"/>
    <cellStyle name="Normal 8 8 3 2_Bridge IR Q" xfId="5801" xr:uid="{6E9EF929-1823-48AE-9723-AC0573552B4B}"/>
    <cellStyle name="Normal 8 8 3 3" xfId="5802" xr:uid="{E0F9383E-1B66-4006-A91D-CDA0599AACCD}"/>
    <cellStyle name="Normal 8 8 3 3 2" xfId="5803" xr:uid="{5BFA6917-14E6-452B-BF73-759168764808}"/>
    <cellStyle name="Normal 8 8 3 3 3" xfId="5804" xr:uid="{6CB1422B-DD2C-4B2A-B937-F5D7A9656634}"/>
    <cellStyle name="Normal 8 8 3 3_Bridge IR Q" xfId="5805" xr:uid="{9B4ADC8D-D97E-43B2-8630-585F6719B8FE}"/>
    <cellStyle name="Normal 8 8 3 4" xfId="5806" xr:uid="{EE878F22-5EB0-484D-A121-9F120DD5F392}"/>
    <cellStyle name="Normal 8 8 3 5" xfId="5807" xr:uid="{DF578CF8-9DF0-4324-85B2-5EF2697ABBA1}"/>
    <cellStyle name="Normal 8 8 3_Bridge IR Q" xfId="5808" xr:uid="{ED697210-28D6-4C4F-A914-CC258697B736}"/>
    <cellStyle name="Normal 8 8 4" xfId="5809" xr:uid="{9C962E33-E06A-411D-98AD-FE8A16ACC14E}"/>
    <cellStyle name="Normal 8 8 4 2" xfId="5810" xr:uid="{52FD7F8C-B7AB-45DA-9FBB-68A260227B58}"/>
    <cellStyle name="Normal 8 8 4 3" xfId="5811" xr:uid="{58A73A57-090A-438D-A479-30758D83761C}"/>
    <cellStyle name="Normal 8 8 4_Bridge IR Q" xfId="5812" xr:uid="{E3979680-88AE-4D74-90E7-7442E11700CF}"/>
    <cellStyle name="Normal 8 8 5" xfId="5813" xr:uid="{EF81EAD4-0511-473A-9CE0-0A79C3A1072B}"/>
    <cellStyle name="Normal 8 8 5 2" xfId="5814" xr:uid="{9F8C59EB-917A-4626-AD9C-DA2EF7C259F6}"/>
    <cellStyle name="Normal 8 8 5 3" xfId="5815" xr:uid="{D521DBE1-67EF-4BF4-8633-D0FF76431247}"/>
    <cellStyle name="Normal 8 8 5_Bridge IR Q" xfId="5816" xr:uid="{B5856073-7CE2-4929-8F10-8B0D42B625F2}"/>
    <cellStyle name="Normal 8 8 6" xfId="5817" xr:uid="{A112519D-4A16-4FEB-857D-B7335B604527}"/>
    <cellStyle name="Normal 8 8 7" xfId="5818" xr:uid="{3671A7E6-34D8-4DD9-B332-4DFBD8C5FDAA}"/>
    <cellStyle name="Normal 8 8_1 KeyFig" xfId="5819" xr:uid="{CD29FE98-1B35-4D2E-B0F9-F294D6C41459}"/>
    <cellStyle name="Normal 8 9" xfId="5820" xr:uid="{D7C3FA3C-5FA5-4029-80E7-77A60AFEC7DF}"/>
    <cellStyle name="Normal 8 9 2" xfId="5821" xr:uid="{1FB528B1-8830-4894-A8E4-919F7A70AC2D}"/>
    <cellStyle name="Normal 8 9 2 2" xfId="5822" xr:uid="{F516E39D-4E42-4E61-9C04-C03D99865379}"/>
    <cellStyle name="Normal 8 9 2 2 2" xfId="5823" xr:uid="{75E94A15-9B37-401B-A8D0-88E073632B3E}"/>
    <cellStyle name="Normal 8 9 2 2 2 2" xfId="5824" xr:uid="{5A774B0F-0C09-4014-A7B9-6E850162CD5C}"/>
    <cellStyle name="Normal 8 9 2 2 2 3" xfId="5825" xr:uid="{5F6F661E-BE22-4253-945C-06CCDEDD0135}"/>
    <cellStyle name="Normal 8 9 2 2 2_Bridge IR Q" xfId="5826" xr:uid="{2F389FAD-E2A9-443A-89DB-FE1F072D04CB}"/>
    <cellStyle name="Normal 8 9 2 2 3" xfId="5827" xr:uid="{9AA04E0E-A694-469C-A8C8-30F8BD96722D}"/>
    <cellStyle name="Normal 8 9 2 2 3 2" xfId="5828" xr:uid="{4FA85152-08A3-418F-9856-0C6C29197081}"/>
    <cellStyle name="Normal 8 9 2 2 3 3" xfId="5829" xr:uid="{BA342CE1-3CC6-4D14-BD2B-C87C81A38358}"/>
    <cellStyle name="Normal 8 9 2 2 3_Bridge IR Q" xfId="5830" xr:uid="{316D69F3-DA92-46B8-AED8-4145CA04F72D}"/>
    <cellStyle name="Normal 8 9 2 2 4" xfId="5831" xr:uid="{E89A6F99-DE36-4564-8ACF-B1880B3A4C42}"/>
    <cellStyle name="Normal 8 9 2 2 5" xfId="5832" xr:uid="{1F8319A5-DB56-4BD7-B302-4CDA92A591A0}"/>
    <cellStyle name="Normal 8 9 2 2_Bridge IR Q" xfId="5833" xr:uid="{9CC05EB0-6423-4FB0-96E5-B269C56354F0}"/>
    <cellStyle name="Normal 8 9 2 3" xfId="5834" xr:uid="{9D828BF2-3392-4EBF-8DB8-F87DA5029298}"/>
    <cellStyle name="Normal 8 9 2 3 2" xfId="5835" xr:uid="{48A20FB4-8EE8-41DD-A7DD-0CC75B0FFD47}"/>
    <cellStyle name="Normal 8 9 2 3 3" xfId="5836" xr:uid="{90355FAE-3010-4658-B702-6EE3C6F08BB0}"/>
    <cellStyle name="Normal 8 9 2 3_Bridge IR Q" xfId="5837" xr:uid="{0A0C66EF-CDEF-483E-84A5-7CD3156BEEF8}"/>
    <cellStyle name="Normal 8 9 2 4" xfId="5838" xr:uid="{0F02A9BE-0733-4170-BE1F-2F7CFB398144}"/>
    <cellStyle name="Normal 8 9 2 4 2" xfId="5839" xr:uid="{913AD1DD-717C-499C-AE1C-463BA89A7A5A}"/>
    <cellStyle name="Normal 8 9 2 4 3" xfId="5840" xr:uid="{7D7CA6A7-6D23-4B1F-A09A-EC08452FA0BB}"/>
    <cellStyle name="Normal 8 9 2 4_Bridge IR Q" xfId="5841" xr:uid="{0892EBE7-FDC3-4678-BD2B-98071D3207A4}"/>
    <cellStyle name="Normal 8 9 2 5" xfId="5842" xr:uid="{E8C67E7E-B2DC-4E82-91DF-2CF36AEC5FF2}"/>
    <cellStyle name="Normal 8 9 2 6" xfId="5843" xr:uid="{5D249160-7914-43AC-85FA-110175FA7A05}"/>
    <cellStyle name="Normal 8 9 2_Bridge IR Q" xfId="5844" xr:uid="{9D950316-10DF-471C-848E-DF27A64614C8}"/>
    <cellStyle name="Normal 8 9 3" xfId="5845" xr:uid="{A953EFEF-F635-48F7-A980-756F37919551}"/>
    <cellStyle name="Normal 8 9 3 2" xfId="5846" xr:uid="{81B90170-CCB3-4860-9864-59E10CDA9117}"/>
    <cellStyle name="Normal 8 9 3 2 2" xfId="5847" xr:uid="{9DFA00BA-C59A-460F-982E-8E22259BC8BD}"/>
    <cellStyle name="Normal 8 9 3 2 3" xfId="5848" xr:uid="{5079B47D-0CBF-41A1-BAF9-B392124ACC6C}"/>
    <cellStyle name="Normal 8 9 3 2_Bridge IR Q" xfId="5849" xr:uid="{8FD49010-4B55-4879-829F-21DB639FD6B9}"/>
    <cellStyle name="Normal 8 9 3 3" xfId="5850" xr:uid="{8DA3F2C0-7C57-4B50-B0B3-FDE2D8388687}"/>
    <cellStyle name="Normal 8 9 3 3 2" xfId="5851" xr:uid="{331E5B4A-236E-4D1D-8CDB-5E18FADC1AAF}"/>
    <cellStyle name="Normal 8 9 3 3 3" xfId="5852" xr:uid="{5D62E93A-D597-4153-B018-70904B9DA0EF}"/>
    <cellStyle name="Normal 8 9 3 3_Bridge IR Q" xfId="5853" xr:uid="{14C379BC-32D1-4719-92CC-64F783ECF6C7}"/>
    <cellStyle name="Normal 8 9 3 4" xfId="5854" xr:uid="{B79817B7-4FB6-4ABE-9AAF-CC685E36B066}"/>
    <cellStyle name="Normal 8 9 3 5" xfId="5855" xr:uid="{7F7B9015-F3E8-4506-9B0A-6CEEFAA65CD9}"/>
    <cellStyle name="Normal 8 9 3_Bridge IR Q" xfId="5856" xr:uid="{71313523-FE59-4CF9-AB0D-A76EF1F1DF71}"/>
    <cellStyle name="Normal 8 9 4" xfId="5857" xr:uid="{E35FA854-ECBB-4E3F-82DC-FB7F8260691C}"/>
    <cellStyle name="Normal 8 9 4 2" xfId="5858" xr:uid="{3C5E4EC1-783B-4283-A500-850684D48AC3}"/>
    <cellStyle name="Normal 8 9 4 3" xfId="5859" xr:uid="{754FC6C3-15D4-4B1B-9311-40CB335E2C88}"/>
    <cellStyle name="Normal 8 9 4_Bridge IR Q" xfId="5860" xr:uid="{4C5A27F6-74BC-4423-A3EE-42DD9F225823}"/>
    <cellStyle name="Normal 8 9 5" xfId="5861" xr:uid="{986AA3C8-5ED6-48FC-8434-25D5DB65221E}"/>
    <cellStyle name="Normal 8 9 5 2" xfId="5862" xr:uid="{E3BB519B-8D0D-4170-99E0-CECD0E43E604}"/>
    <cellStyle name="Normal 8 9 5 3" xfId="5863" xr:uid="{FAC092F1-ABFC-4455-803E-B63F7C966D91}"/>
    <cellStyle name="Normal 8 9 5_Bridge IR Q" xfId="5864" xr:uid="{DD2DD715-6157-477B-88CF-44CC5102AB9D}"/>
    <cellStyle name="Normal 8 9 6" xfId="5865" xr:uid="{1CACF3A9-20F0-46F2-BD3D-B3464E28EFE4}"/>
    <cellStyle name="Normal 8 9 7" xfId="5866" xr:uid="{C96A3CD0-4E09-4CB5-A2AD-B81666979F3A}"/>
    <cellStyle name="Normal 8 9_Bridge IR Q" xfId="5867" xr:uid="{F2926442-E15D-4987-A73F-2C21B4B80E1D}"/>
    <cellStyle name="Normal 8_1 KeyFig" xfId="5868" xr:uid="{8C6C4066-23C6-4462-B4AE-B462427F2209}"/>
    <cellStyle name="Normal 80" xfId="5869" xr:uid="{B0F1CFBF-1F77-4F8B-B98E-74DC07A15B73}"/>
    <cellStyle name="Normal 81" xfId="5870" xr:uid="{21F8C7E3-F9A4-477B-81F5-09FD943F6D9F}"/>
    <cellStyle name="Normal 82" xfId="5871" xr:uid="{47CAC57F-6601-4B75-9AC7-AA4161F19FE9}"/>
    <cellStyle name="Normal 82 2" xfId="5872" xr:uid="{B25CBCF7-DCED-479D-8E11-C52F8ED5A439}"/>
    <cellStyle name="Normal 82_1 KeyFig" xfId="5873" xr:uid="{B700940E-948F-4BEF-8CC2-942E41D844E3}"/>
    <cellStyle name="Normal 83" xfId="5874" xr:uid="{17FACB22-5D3B-4B01-9500-C46303BD7BFF}"/>
    <cellStyle name="Normal 84" xfId="5875" xr:uid="{0096ABEF-E68C-44E5-9492-FD5E84A06C9B}"/>
    <cellStyle name="Normal 85" xfId="5876" xr:uid="{21E1A7A0-D399-4AE4-A1AC-791C4551AE54}"/>
    <cellStyle name="Normal 86" xfId="5877" xr:uid="{FAADF503-03AC-43A5-9C83-7F7AB619CCB4}"/>
    <cellStyle name="Normal 87" xfId="5878" xr:uid="{992C1155-68F8-46B6-866A-1A8353C70B31}"/>
    <cellStyle name="Normal 88" xfId="5879" xr:uid="{19B098AB-3AD3-4871-B388-CCE6A687F981}"/>
    <cellStyle name="Normal 89" xfId="5880" xr:uid="{D4D600BD-AE2C-4696-89FD-4BBF33DB323C}"/>
    <cellStyle name="Normal 9" xfId="5881" xr:uid="{2FD9AC7F-2E15-4F30-B75B-86C8B66ACA89}"/>
    <cellStyle name="Normal 9 2" xfId="5882" xr:uid="{C32831CA-4B59-489A-9821-ACA6E642DF56}"/>
    <cellStyle name="Normal 9 2 2" xfId="5883" xr:uid="{2B63FCCD-4B7D-4F45-8079-37F93AFFE2E9}"/>
    <cellStyle name="Normal 9 2 2 2" xfId="5884" xr:uid="{B243E904-E52F-471B-BDD0-5E8C96819018}"/>
    <cellStyle name="Normal 9 2 2 3" xfId="5885" xr:uid="{3C0C5A6E-2549-4C59-A9F0-6FAB006307DC}"/>
    <cellStyle name="Normal 9 2 2 4" xfId="5886" xr:uid="{1E5D7837-8C0E-487D-9B22-956055AC8A2F}"/>
    <cellStyle name="Normal 9 2 2 5" xfId="5887" xr:uid="{4170DBCD-4885-4C03-90DD-D8186E122C51}"/>
    <cellStyle name="Normal 9 2 2_1 KeyFig" xfId="5888" xr:uid="{EB4B4427-CD66-4666-BB87-CBA330FBA249}"/>
    <cellStyle name="Normal 9 2 3" xfId="5889" xr:uid="{EE500D7B-9CED-440C-AF41-87C6B9585BFC}"/>
    <cellStyle name="Normal 9 2 3 2" xfId="5890" xr:uid="{F7D9B729-7D08-44CD-B93E-2168A5070008}"/>
    <cellStyle name="Normal 9 2 3_1 KeyFig" xfId="5891" xr:uid="{10CA0844-CFF9-476A-B47E-66163AD9B7CE}"/>
    <cellStyle name="Normal 9 2 4" xfId="5892" xr:uid="{497D109A-62AC-486C-BFEE-9CBE25DAF6AE}"/>
    <cellStyle name="Normal 9 2 5" xfId="5893" xr:uid="{2E49A0AA-93FF-42AF-B850-E49EE778E2EA}"/>
    <cellStyle name="Normal 9 2_1 KeyFig" xfId="5894" xr:uid="{FAD1FB7D-987A-48A6-AD92-30CD2E17F838}"/>
    <cellStyle name="Normal 9 3" xfId="5895" xr:uid="{BDE11CDF-F87C-4276-A723-8997EFAED5E5}"/>
    <cellStyle name="Normal 9 3 2" xfId="5896" xr:uid="{8DB12C0D-84D2-4AA7-AB23-7BA284141E27}"/>
    <cellStyle name="Normal 9 3_1 KeyFig" xfId="5897" xr:uid="{BF9C2747-AF1D-4753-BCAF-F65039A6CB24}"/>
    <cellStyle name="Normal 9 4" xfId="5898" xr:uid="{C17CC21B-C3FB-443D-A8F7-299006B2A717}"/>
    <cellStyle name="Normal 9 4 2" xfId="5899" xr:uid="{AC1F644C-3E1D-4F8B-9328-24EF05211969}"/>
    <cellStyle name="Normal 9 4_1 KeyFig" xfId="5900" xr:uid="{ABF33314-C5F4-41F9-960E-C1377210DC5F}"/>
    <cellStyle name="Normal 9 5" xfId="5901" xr:uid="{BD94A513-2A19-4098-B7B6-6906C67E7E28}"/>
    <cellStyle name="Normal 9 6" xfId="5902" xr:uid="{99215E4E-1482-4943-9438-B396A30B1B12}"/>
    <cellStyle name="Normal 9 7" xfId="5903" xr:uid="{DCA6272D-BEEF-47CD-84CB-30CC97B667D8}"/>
    <cellStyle name="Normal 9_1 KeyFig" xfId="5904" xr:uid="{FF687F0F-FA6D-41B0-B35F-BA6DCF336240}"/>
    <cellStyle name="Normal 90" xfId="5905" xr:uid="{E82BD5CD-EB31-4B19-9196-01EF87D31F63}"/>
    <cellStyle name="Normal 91" xfId="5906" xr:uid="{A8C166C2-48B6-4D43-BC0F-675798A88955}"/>
    <cellStyle name="Normal 92" xfId="5907" xr:uid="{5DD066BB-E79D-4B7D-8CC0-91D375EBA870}"/>
    <cellStyle name="Normal 93" xfId="5908" xr:uid="{FEF357D0-998E-4798-8EF8-FB6FD4E0C81E}"/>
    <cellStyle name="Normal 94" xfId="5909" xr:uid="{6BF80D03-F4C1-45E9-9870-438C7736D09D}"/>
    <cellStyle name="Normal 95" xfId="5910" xr:uid="{65C08CC1-1098-4EE0-B905-B4736CBAC126}"/>
    <cellStyle name="Normal 96" xfId="5911" xr:uid="{2398095A-5B05-440F-AB29-B183FC123FB3}"/>
    <cellStyle name="Normal 97" xfId="5912" xr:uid="{A8012131-B44B-4020-8840-E7DA63857447}"/>
    <cellStyle name="Normal 98" xfId="5913" xr:uid="{A640DE88-EF29-4310-BDA2-C9FEA5924E9D}"/>
    <cellStyle name="Normal 99" xfId="5914" xr:uid="{38ADF1DA-B228-41BB-969C-EA2F7D9CFC6B}"/>
    <cellStyle name="Normal ej noll" xfId="5915" xr:uid="{54753C39-74F5-44E5-ABB5-B6D0DBE30CD8}"/>
    <cellStyle name="Normal ej noll låst" xfId="5916" xr:uid="{D0B7352C-D80A-44E5-9106-C2C60ACA4F9E}"/>
    <cellStyle name="Normal ej noll_1 KeyFig" xfId="5917" xr:uid="{3ED394D4-802D-41FE-8CE8-47CB5795BDDD}"/>
    <cellStyle name="Normale_Foglio1" xfId="5918" xr:uid="{73078A1D-87BC-49AC-9899-E404EF34BB38}"/>
    <cellStyle name="Note 10" xfId="5919" xr:uid="{7B4554A8-DCEE-4247-8116-F96FE81B17B2}"/>
    <cellStyle name="Note 11" xfId="5920" xr:uid="{6434E2E1-05A7-4442-A9B5-9C574D45F33B}"/>
    <cellStyle name="Note 12" xfId="5921" xr:uid="{FFAADED2-AC9B-4E09-8F75-609078E27420}"/>
    <cellStyle name="Note 13" xfId="5922" xr:uid="{4D038A59-312A-4B85-A167-1ABB5B1DC704}"/>
    <cellStyle name="Note 14" xfId="5923" xr:uid="{11A19031-DA94-45A6-B943-3EFF3014335A}"/>
    <cellStyle name="Note 15" xfId="5924" xr:uid="{7C2BFF87-A263-4096-B460-4301B05A9F2B}"/>
    <cellStyle name="Note 16" xfId="5925" xr:uid="{4FAD6C67-66A9-416B-852D-4AC21922D06C}"/>
    <cellStyle name="Note 17" xfId="5926" xr:uid="{29A0D653-262E-4DA6-811E-02425D1667B5}"/>
    <cellStyle name="Note 18" xfId="5927" xr:uid="{AFC89071-9FCD-423F-8AFA-E011C1169C32}"/>
    <cellStyle name="Note 19" xfId="5928" xr:uid="{4BFD8F62-55DB-41E1-8FE6-047807140F1A}"/>
    <cellStyle name="Note 2" xfId="5929" xr:uid="{320F62BE-FB3B-4F5A-B805-898A00F07637}"/>
    <cellStyle name="Note 2 10" xfId="5930" xr:uid="{C6967C14-86EA-4916-88A7-014A6035B131}"/>
    <cellStyle name="Note 2 11" xfId="5931" xr:uid="{D7455C01-1909-4EF9-A174-09D2CACFFF59}"/>
    <cellStyle name="Note 2 12" xfId="5932" xr:uid="{06113335-A0D6-4518-9A87-5097EF9C7951}"/>
    <cellStyle name="Note 2 13" xfId="5933" xr:uid="{B5638DD4-3B4D-47A4-AC8A-46D1A20FB668}"/>
    <cellStyle name="Note 2 14" xfId="5934" xr:uid="{EC8A0367-D506-49ED-BDFE-8541B875A309}"/>
    <cellStyle name="Note 2 15" xfId="5935" xr:uid="{88B965CE-9F83-4D11-859A-F0164E70A639}"/>
    <cellStyle name="Note 2 16" xfId="5936" xr:uid="{9E4CCD05-53E1-4418-BE35-0B5E7C6626A0}"/>
    <cellStyle name="Note 2 2" xfId="5937" xr:uid="{C5BC211A-EBEC-449C-BB24-125902B187FB}"/>
    <cellStyle name="Note 2 2 2" xfId="5938" xr:uid="{47058C6B-90FA-4CAE-852A-C6E9D93782DD}"/>
    <cellStyle name="Note 2 2 2 2" xfId="5939" xr:uid="{B043CBA1-884D-455F-8C5F-5063067B09E5}"/>
    <cellStyle name="Note 2 2 2_1 KeyFig" xfId="5940" xr:uid="{D6C1A834-7C9E-462D-A4F8-5A4D5995C851}"/>
    <cellStyle name="Note 2 2 3" xfId="5941" xr:uid="{6DA3F915-86CE-42CB-B77A-D64D5493F13F}"/>
    <cellStyle name="Note 2 2 4" xfId="5942" xr:uid="{A2301EF7-B35C-4C25-88C9-70526E7CB5D4}"/>
    <cellStyle name="Note 2 2 5" xfId="5943" xr:uid="{88A562EE-4B96-45F2-A446-8D2FC65240BE}"/>
    <cellStyle name="Note 2 2_1 KeyFig" xfId="5944" xr:uid="{DFCB5998-EE2E-461F-A6D5-378B84724868}"/>
    <cellStyle name="Note 2 3" xfId="5945" xr:uid="{8631AA55-3AA6-4F61-B0B6-D0C9BFE5BE4F}"/>
    <cellStyle name="Note 2 3 10" xfId="5946" xr:uid="{25AAF113-C7C9-48C0-B00D-C618490071EB}"/>
    <cellStyle name="Note 2 3 11" xfId="5947" xr:uid="{DA5F117D-FFA9-4925-ACD2-30D915B70403}"/>
    <cellStyle name="Note 2 3 12" xfId="5948" xr:uid="{362146AE-8850-4DB0-8E2C-7C62C896408F}"/>
    <cellStyle name="Note 2 3 13" xfId="5949" xr:uid="{C0A359BD-613B-4475-9B05-33AF367E0833}"/>
    <cellStyle name="Note 2 3 14" xfId="5950" xr:uid="{60C26EF7-DCFF-4182-9416-F5DEC66C9DC0}"/>
    <cellStyle name="Note 2 3 15" xfId="5951" xr:uid="{CD855FE2-6576-41E8-ACC4-F80B0E131D43}"/>
    <cellStyle name="Note 2 3 2" xfId="5952" xr:uid="{048DC73B-DD55-459A-B709-3B20F0A54A2A}"/>
    <cellStyle name="Note 2 3 2 10" xfId="5953" xr:uid="{129F6BB5-3A7E-4FEE-9650-E342A545209C}"/>
    <cellStyle name="Note 2 3 2 11" xfId="5954" xr:uid="{9F84DC76-5E7D-4F83-9BED-6DA0243736A4}"/>
    <cellStyle name="Note 2 3 2 12" xfId="5955" xr:uid="{7F5D1EE5-3596-408A-BCD2-BEFC2D7B073A}"/>
    <cellStyle name="Note 2 3 2 2" xfId="5956" xr:uid="{814607B5-FDCC-403C-8244-B4AB4AEEE13F}"/>
    <cellStyle name="Note 2 3 2 3" xfId="5957" xr:uid="{FF6D0197-3B0F-455D-A830-5CB57EE6EDFF}"/>
    <cellStyle name="Note 2 3 2 4" xfId="5958" xr:uid="{AB1286F2-8F50-4BA8-9C11-74525F995A17}"/>
    <cellStyle name="Note 2 3 2 5" xfId="5959" xr:uid="{BCCB90AB-6E47-4E9D-B207-F4DB1F8A07B5}"/>
    <cellStyle name="Note 2 3 2 6" xfId="5960" xr:uid="{9FC4F691-C222-4762-8355-8EFAF0F412ED}"/>
    <cellStyle name="Note 2 3 2 7" xfId="5961" xr:uid="{D01229F6-350E-461B-8DCA-59A477CA49C6}"/>
    <cellStyle name="Note 2 3 2 8" xfId="5962" xr:uid="{B195EB12-C0A9-4291-A9A4-07083C1F1D81}"/>
    <cellStyle name="Note 2 3 2 9" xfId="5963" xr:uid="{CE5D8A49-8D15-4A2A-9512-049D58B09B9C}"/>
    <cellStyle name="Note 2 3 2_1 KeyFig" xfId="5964" xr:uid="{FDB601DE-A3C3-4CC6-85CE-A7ED41781E76}"/>
    <cellStyle name="Note 2 3 3" xfId="5965" xr:uid="{D56FEA14-C8B3-4B73-BD26-C5E78BE91BA2}"/>
    <cellStyle name="Note 2 3 4" xfId="5966" xr:uid="{50C44575-628F-4091-BDAA-398FFA6796B1}"/>
    <cellStyle name="Note 2 3 5" xfId="5967" xr:uid="{AB3A2AA3-DB9F-4C4F-97B6-83A9C76994E8}"/>
    <cellStyle name="Note 2 3 6" xfId="5968" xr:uid="{D638CB85-92DF-4767-AD72-437AB881B151}"/>
    <cellStyle name="Note 2 3 7" xfId="5969" xr:uid="{B4610959-5B6B-4FE5-BFA6-9CCA69914E97}"/>
    <cellStyle name="Note 2 3 8" xfId="5970" xr:uid="{4F0919E3-3689-4FF4-B2C6-9600CED3D9F7}"/>
    <cellStyle name="Note 2 3 9" xfId="5971" xr:uid="{7273494A-C27F-4ADB-A582-93D632CE53B5}"/>
    <cellStyle name="Note 2 3_1 KeyFig" xfId="5972" xr:uid="{573B0E8B-6603-4664-B494-C0C732A1DCB7}"/>
    <cellStyle name="Note 2 4" xfId="5973" xr:uid="{F73F9334-BD20-4FB1-9F03-61EBD1EF08E8}"/>
    <cellStyle name="Note 2 4 2" xfId="5974" xr:uid="{4F959DEE-D1FA-4153-BA04-9ACF6AD1A0B9}"/>
    <cellStyle name="Note 2 4_1 KeyFig" xfId="5975" xr:uid="{362D28F3-A165-4DAA-80EB-A91428A1E986}"/>
    <cellStyle name="Note 2 5" xfId="5976" xr:uid="{EFFEDA7E-4CC9-4556-A6BB-7F1C74F2B58D}"/>
    <cellStyle name="Note 2 6" xfId="5977" xr:uid="{51F4DB88-B2B9-410D-A78E-36295A67606D}"/>
    <cellStyle name="Note 2 7" xfId="5978" xr:uid="{7500F5EB-A214-458E-919A-94C3D40C11A3}"/>
    <cellStyle name="Note 2 8" xfId="5979" xr:uid="{FC6845DC-7240-4B64-B03C-66F474E35F11}"/>
    <cellStyle name="Note 2 8 2" xfId="5980" xr:uid="{935A606F-FFD1-450E-BBC9-BB3989778B58}"/>
    <cellStyle name="Note 2 8_1 KeyFig" xfId="5981" xr:uid="{B41AFFDC-3FD3-46AB-98AA-DBB6725174A7}"/>
    <cellStyle name="Note 2 9" xfId="5982" xr:uid="{88366826-1271-430F-9097-79F2CCEC5F6C}"/>
    <cellStyle name="Note 2_1 KeyFig" xfId="5983" xr:uid="{35A315D8-0D39-49A0-8317-1C350028C5E6}"/>
    <cellStyle name="Note 20" xfId="5984" xr:uid="{B75748D7-DE58-4452-A0F3-3F1C2ED90386}"/>
    <cellStyle name="Note 21" xfId="5985" xr:uid="{5A88ADF4-08AD-44AE-ADD4-DF87517E6340}"/>
    <cellStyle name="Note 22" xfId="5986" xr:uid="{F16931D6-EDED-4D35-B9E7-325936247D77}"/>
    <cellStyle name="Note 23" xfId="5987" xr:uid="{3740078A-10CB-493C-80A4-AFD9B1884D1A}"/>
    <cellStyle name="Note 24" xfId="5988" xr:uid="{1FF1CD39-076B-404A-B527-1CEBC8FD0DC5}"/>
    <cellStyle name="Note 25" xfId="5989" xr:uid="{5199159C-C681-4B4C-A4E7-BE3E59CCF682}"/>
    <cellStyle name="Note 26" xfId="5990" xr:uid="{61503549-8546-4A7D-AD14-5A88CC3EE3BF}"/>
    <cellStyle name="Note 27" xfId="5991" xr:uid="{70763243-6C0D-4E61-87EA-BDD790A46912}"/>
    <cellStyle name="Note 28" xfId="5992" xr:uid="{D9E20376-D2A9-478C-BC18-C837C9387760}"/>
    <cellStyle name="Note 29" xfId="5993" xr:uid="{48709088-E9E6-4854-8A46-0D6095C0E2FB}"/>
    <cellStyle name="Note 3" xfId="5994" xr:uid="{CF294949-7B6A-4C52-BA9D-D50305203200}"/>
    <cellStyle name="Note 3 10" xfId="5995" xr:uid="{AEDCB964-DB77-4960-9CA9-E223D8350791}"/>
    <cellStyle name="Note 3 11" xfId="5996" xr:uid="{5F09BFED-D747-4959-89F5-704741CD61E2}"/>
    <cellStyle name="Note 3 12" xfId="5997" xr:uid="{70156555-D290-449A-BD96-05AFE054E3DC}"/>
    <cellStyle name="Note 3 13" xfId="5998" xr:uid="{B32086B0-1B23-40A4-AE25-D42E998F568B}"/>
    <cellStyle name="Note 3 14" xfId="5999" xr:uid="{F0155A18-AB83-4C06-A6F8-2A07B9CBAF22}"/>
    <cellStyle name="Note 3 15" xfId="6000" xr:uid="{1FABAE19-A326-4EED-9C14-FCC6002DF52A}"/>
    <cellStyle name="Note 3 16" xfId="6001" xr:uid="{54BB0564-9D10-43F4-BF1F-845735AF0DEF}"/>
    <cellStyle name="Note 3 2" xfId="6002" xr:uid="{B53CD294-D690-4B48-A149-E93A69CEF0B0}"/>
    <cellStyle name="Note 3 2 2" xfId="6003" xr:uid="{37ECBF1A-F601-4FFB-96A0-42FC94760045}"/>
    <cellStyle name="Note 3 2 2 2" xfId="6004" xr:uid="{46CCE041-BDEE-41C1-9A9E-E1CFD7E0F488}"/>
    <cellStyle name="Note 3 2 2_1 KeyFig" xfId="6005" xr:uid="{3848D382-AA76-479B-AB30-E37466553B91}"/>
    <cellStyle name="Note 3 2 3" xfId="6006" xr:uid="{8E7CAC4B-F10B-4FA9-884A-639F5290261A}"/>
    <cellStyle name="Note 3 2 4" xfId="6007" xr:uid="{18FDFBB9-2258-44CE-A4BC-31DF6736269B}"/>
    <cellStyle name="Note 3 2 5" xfId="6008" xr:uid="{26044548-7CE0-42B2-8F49-DEE0540A5A6B}"/>
    <cellStyle name="Note 3 2_1 KeyFig" xfId="6009" xr:uid="{6C8BD46B-0E25-4490-B53F-192E909ABB73}"/>
    <cellStyle name="Note 3 3" xfId="6010" xr:uid="{6F6653AA-8E68-487A-9563-7B2DB7E88E47}"/>
    <cellStyle name="Note 3 3 10" xfId="6011" xr:uid="{26A55B13-E5B4-49EA-9C14-C00103905531}"/>
    <cellStyle name="Note 3 3 11" xfId="6012" xr:uid="{0C0E1272-CEAF-43A1-B382-FC9D87251A53}"/>
    <cellStyle name="Note 3 3 12" xfId="6013" xr:uid="{E7FC8686-1997-4CEE-BCDD-2AA84E66325D}"/>
    <cellStyle name="Note 3 3 2" xfId="6014" xr:uid="{2CE34162-4FFE-4858-B503-AF7B10FEBFFF}"/>
    <cellStyle name="Note 3 3 2 10" xfId="6015" xr:uid="{450337B6-E794-49C5-ABC7-6D0F95C7E94F}"/>
    <cellStyle name="Note 3 3 2 11" xfId="6016" xr:uid="{062D6028-60FF-4F3F-BD1A-6FCCEB6CA5E9}"/>
    <cellStyle name="Note 3 3 2 12" xfId="6017" xr:uid="{120E9B3F-2E87-4890-AF45-04679ACF709D}"/>
    <cellStyle name="Note 3 3 2 2" xfId="6018" xr:uid="{BA6E9333-AE3D-4DB2-B6D7-F775A3695B24}"/>
    <cellStyle name="Note 3 3 2 3" xfId="6019" xr:uid="{B425A2D4-05D6-4DD4-B564-BADFFA0C515D}"/>
    <cellStyle name="Note 3 3 2 4" xfId="6020" xr:uid="{8F98CE06-76F5-4B6B-BCA3-E218328E786D}"/>
    <cellStyle name="Note 3 3 2 5" xfId="6021" xr:uid="{51D0AFF4-728F-496E-891D-5CB92E0918F4}"/>
    <cellStyle name="Note 3 3 2 6" xfId="6022" xr:uid="{493D4E10-5988-4BBC-9E0A-5D0E5A16D32E}"/>
    <cellStyle name="Note 3 3 2 7" xfId="6023" xr:uid="{32005218-0824-48A4-A7B7-DEB816624076}"/>
    <cellStyle name="Note 3 3 2 8" xfId="6024" xr:uid="{06E7CDA9-6FEB-40E5-BC09-AABBF1D48C16}"/>
    <cellStyle name="Note 3 3 2 9" xfId="6025" xr:uid="{96E67F1F-D822-4F05-AEA1-3DAD4601AFEC}"/>
    <cellStyle name="Note 3 3 2_1 KeyFig" xfId="6026" xr:uid="{7B2624F8-C532-4CDF-BFCC-15D6FA799294}"/>
    <cellStyle name="Note 3 3 3" xfId="6027" xr:uid="{D9E3DAA4-8672-4A92-A0D3-8D278E040CB5}"/>
    <cellStyle name="Note 3 3 4" xfId="6028" xr:uid="{3D4FB61A-5614-435F-9F41-8DC21F19E797}"/>
    <cellStyle name="Note 3 3 5" xfId="6029" xr:uid="{209DBD1F-9E27-429B-BA3E-850FF30097F5}"/>
    <cellStyle name="Note 3 3 6" xfId="6030" xr:uid="{F226DD18-E8D5-49B7-B909-97564B199BEE}"/>
    <cellStyle name="Note 3 3 7" xfId="6031" xr:uid="{7FA0870B-3F76-43B9-B2EE-B6FC6D20FEEA}"/>
    <cellStyle name="Note 3 3 8" xfId="6032" xr:uid="{8B70C6AB-9767-45D9-A2FC-2C1F31C73122}"/>
    <cellStyle name="Note 3 3 9" xfId="6033" xr:uid="{A8626108-BB6B-4A87-913F-22F15B39F0CF}"/>
    <cellStyle name="Note 3 3_1 KeyFig" xfId="6034" xr:uid="{F0F7649E-5A62-4EFB-8C79-2F6A5F454A1F}"/>
    <cellStyle name="Note 3 4" xfId="6035" xr:uid="{8611E0A7-F39F-4B9D-AB75-B78ABE3318E4}"/>
    <cellStyle name="Note 3 4 2" xfId="6036" xr:uid="{FA86C360-3B76-488B-88E1-98139F75F17F}"/>
    <cellStyle name="Note 3 4_1 KeyFig" xfId="6037" xr:uid="{D5E588D8-6470-4025-954A-EE1A901C273C}"/>
    <cellStyle name="Note 3 5" xfId="6038" xr:uid="{A9F5C237-1DA1-4BA3-B085-272F6E67E653}"/>
    <cellStyle name="Note 3 5 2" xfId="6039" xr:uid="{88CD3C5F-AB1D-4A37-9919-57A7E63453F7}"/>
    <cellStyle name="Note 3 5_1 KeyFig" xfId="6040" xr:uid="{BEE4A61A-3D45-4E40-9A45-F43590637A88}"/>
    <cellStyle name="Note 3 6" xfId="6041" xr:uid="{B261AFAB-A143-472D-8C26-DFE23AA62DED}"/>
    <cellStyle name="Note 3 6 2" xfId="6042" xr:uid="{6025E6D1-38AE-4836-98A3-D890CF4D80FF}"/>
    <cellStyle name="Note 3 6 3" xfId="6043" xr:uid="{4B2B748C-662C-44BA-9EC3-072D7339B276}"/>
    <cellStyle name="Note 3 6_1 KeyFig" xfId="6044" xr:uid="{8E4F78D1-FB35-421A-9D40-C758DB035A87}"/>
    <cellStyle name="Note 3 7" xfId="6045" xr:uid="{32B3980C-E53B-4B41-8C1B-647880B981A6}"/>
    <cellStyle name="Note 3 7 2" xfId="6046" xr:uid="{2F3B1558-2FF5-4DF5-9A3D-1F4D77B67BB7}"/>
    <cellStyle name="Note 3 7_1 KeyFig" xfId="6047" xr:uid="{2D376DAB-2E70-43BC-B9B1-7AC3031FAD50}"/>
    <cellStyle name="Note 3 8" xfId="6048" xr:uid="{06EC868C-C912-4413-8F59-124E62F6CAEB}"/>
    <cellStyle name="Note 3 9" xfId="6049" xr:uid="{F45BDFA8-BD04-4FA1-901B-A3FE41C9D781}"/>
    <cellStyle name="Note 3_1 KeyFig" xfId="6050" xr:uid="{351AEC77-4CF5-40AC-9BC5-2FC11E4385BC}"/>
    <cellStyle name="Note 30" xfId="6051" xr:uid="{D371A95A-DD87-4F99-8AE1-8FE1051FC22A}"/>
    <cellStyle name="Note 31" xfId="6052" xr:uid="{8839E5FD-75E7-419B-84EA-E3FDD4F2E8C3}"/>
    <cellStyle name="Note 32" xfId="6053" xr:uid="{99181406-9E82-4744-B280-D92CE12244BA}"/>
    <cellStyle name="Note 33" xfId="6054" xr:uid="{BA79420C-6602-4896-952A-3DF236F3BC9E}"/>
    <cellStyle name="Note 34" xfId="6055" xr:uid="{C63AD798-748B-4D44-B629-AE2F52CA5383}"/>
    <cellStyle name="Note 4" xfId="6056" xr:uid="{E90B37B6-5C29-493E-B008-107F85BA13D4}"/>
    <cellStyle name="Note 4 2" xfId="6057" xr:uid="{6EA71857-BA46-42A2-8516-6074FFAA9D90}"/>
    <cellStyle name="Note 4 2 2" xfId="6058" xr:uid="{728811AF-9DD2-4246-9D9E-CCD42862961E}"/>
    <cellStyle name="Note 4 2 3" xfId="6059" xr:uid="{713F98C9-60A0-406D-9D07-0FF62A6B2592}"/>
    <cellStyle name="Note 4 2 4" xfId="6060" xr:uid="{8C3E5AF0-77B2-475C-8FE5-7ED6D6D93231}"/>
    <cellStyle name="Note 4 2 5" xfId="6061" xr:uid="{E295D369-EEEA-46F3-8DD1-E33D153321E4}"/>
    <cellStyle name="Note 4 2_1 KeyFig" xfId="6062" xr:uid="{8EF45783-9A72-4C1B-8846-77C117F4B106}"/>
    <cellStyle name="Note 4 3" xfId="6063" xr:uid="{7F04C520-CCB8-4125-BA72-B696039A8AAD}"/>
    <cellStyle name="Note 4 4" xfId="6064" xr:uid="{94F8927B-E61F-49EA-92A2-B72CF99EF2E3}"/>
    <cellStyle name="Note 4 5" xfId="6065" xr:uid="{44C85EDC-C7CB-4677-8074-003EFAB2319F}"/>
    <cellStyle name="Note 4 6" xfId="6066" xr:uid="{A4D6F520-726F-4A09-AF2A-C22E5702926B}"/>
    <cellStyle name="Note 4_1 KeyFig" xfId="6067" xr:uid="{26BD01CF-63FB-4987-A353-373546B42B91}"/>
    <cellStyle name="Note 5" xfId="6068" xr:uid="{D8C1DDCB-E13E-46A9-8AB0-ED7609DC391D}"/>
    <cellStyle name="Note 5 2" xfId="6069" xr:uid="{957EC2A6-16CA-4A91-9CAF-50AEB4B82E83}"/>
    <cellStyle name="Note 5 2 2" xfId="6070" xr:uid="{B10F341F-6C16-4E41-9BCF-681C14271E0E}"/>
    <cellStyle name="Note 5 2_1 KeyFig" xfId="6071" xr:uid="{C6F48786-9E69-4850-94C2-772AF2AD9B02}"/>
    <cellStyle name="Note 5 3" xfId="6072" xr:uid="{2F9029E7-CAAB-477F-B421-EF5A137F4943}"/>
    <cellStyle name="Note 5_1 KeyFig" xfId="6073" xr:uid="{74CD187B-F76E-4403-A8D4-AD6FD64AC2E4}"/>
    <cellStyle name="Note 6" xfId="6074" xr:uid="{3BA780C6-20F5-4566-B199-550A69564607}"/>
    <cellStyle name="Note 6 2" xfId="6075" xr:uid="{0BC5C7CF-4263-429F-ABDD-1BD6FB7D78E3}"/>
    <cellStyle name="Note 6 2 2" xfId="6076" xr:uid="{DF0C853A-3633-4278-A4EF-C2059E686542}"/>
    <cellStyle name="Note 6 2_1 KeyFig" xfId="6077" xr:uid="{6B2AFFB1-6A67-4811-AA51-10C3B8BD5040}"/>
    <cellStyle name="Note 6 3" xfId="6078" xr:uid="{A905E658-D704-44C2-86C4-9559FD45F3ED}"/>
    <cellStyle name="Note 6_1 KeyFig" xfId="6079" xr:uid="{22BF4361-C0EA-4946-A69E-83882AA69E40}"/>
    <cellStyle name="Note 7" xfId="6080" xr:uid="{2EEFF443-C7DE-477D-8BD2-6550DCC12E50}"/>
    <cellStyle name="Note 7 2" xfId="6081" xr:uid="{D3D2F0FE-17B8-4D0D-BEBE-2E9EBD8B4034}"/>
    <cellStyle name="Note 7_1 KeyFig" xfId="6082" xr:uid="{85522C18-C6F8-49D7-A905-93CE72D804FE}"/>
    <cellStyle name="Note 8" xfId="6083" xr:uid="{ED44EA2E-FF69-457A-8158-FAEC2E728559}"/>
    <cellStyle name="Note 8 2" xfId="6084" xr:uid="{E3254B4C-421D-4126-B5A3-E96AA24A61E3}"/>
    <cellStyle name="Note 8_1 KeyFig" xfId="6085" xr:uid="{5473E9F8-3551-44A6-B1AC-11BA599840D9}"/>
    <cellStyle name="Note 9" xfId="6086" xr:uid="{466D7D0A-8373-47B3-BF50-9CDCBE1F1EB4}"/>
    <cellStyle name="number" xfId="6087" xr:uid="{44BB9AF2-BC39-4A8E-AFF0-AE0868A9DBD8}"/>
    <cellStyle name="Output 10" xfId="6088" xr:uid="{3B9332DF-C5B9-461D-8B46-BEED3D1BAC73}"/>
    <cellStyle name="Output 11" xfId="6089" xr:uid="{5F912C6C-B8E7-4A6B-A9A5-A81F5F74A60C}"/>
    <cellStyle name="Output 12" xfId="6090" xr:uid="{FF2871BD-0FF1-4D70-9F89-28ACCEEAD0F5}"/>
    <cellStyle name="Output 13" xfId="6091" xr:uid="{F51D5230-6942-4F7F-9638-41A672B5CEE7}"/>
    <cellStyle name="Output 2" xfId="6092" xr:uid="{61FE9355-435A-4F70-B458-E268073AEA5D}"/>
    <cellStyle name="Output 2 10" xfId="6093" xr:uid="{217E3891-0C5A-4031-9922-558CBFEA74A0}"/>
    <cellStyle name="Output 2 11" xfId="6094" xr:uid="{0F99E763-53FC-4064-9176-392A176314F0}"/>
    <cellStyle name="Output 2 12" xfId="6095" xr:uid="{640F8063-3FE0-43DA-9693-60B9D20EB529}"/>
    <cellStyle name="Output 2 13" xfId="6096" xr:uid="{1C34E8DB-3032-4A11-B529-51382C51CABA}"/>
    <cellStyle name="Output 2 14" xfId="6097" xr:uid="{85BD8B5D-6E33-48CE-BBDC-0C2FFB3B53FD}"/>
    <cellStyle name="Output 2 15" xfId="6098" xr:uid="{3978F489-8605-4515-8D35-436D1E4A9700}"/>
    <cellStyle name="Output 2 16" xfId="6099" xr:uid="{2D622BC8-CA57-4CA1-8454-BF4A923701A7}"/>
    <cellStyle name="Output 2 2" xfId="6100" xr:uid="{95CCE6C3-31D5-4688-ABDE-2DE928CC81FF}"/>
    <cellStyle name="Output 2 2 10" xfId="6101" xr:uid="{1437B4D6-D3D3-4705-89F6-0266F03267A6}"/>
    <cellStyle name="Output 2 2 11" xfId="6102" xr:uid="{F24B5371-3322-4E92-A971-82ADBEBD2587}"/>
    <cellStyle name="Output 2 2 12" xfId="6103" xr:uid="{42DC0E8D-1A1F-4FC7-8426-ED03F5AC9240}"/>
    <cellStyle name="Output 2 2 13" xfId="6104" xr:uid="{80D8F580-C4DB-4386-AF3F-5AC91C14AD7A}"/>
    <cellStyle name="Output 2 2 14" xfId="6105" xr:uid="{7185B07B-3872-4595-8832-DF71C88355A4}"/>
    <cellStyle name="Output 2 2 15" xfId="6106" xr:uid="{E8594C2E-B68B-4ADE-ADD7-C4DD7FDC5C7A}"/>
    <cellStyle name="Output 2 2 2" xfId="6107" xr:uid="{4925436E-B949-4CA0-AB5A-223F97F59139}"/>
    <cellStyle name="Output 2 2 2 2" xfId="6108" xr:uid="{DD10A51A-0237-4DC0-8308-723E572BB443}"/>
    <cellStyle name="Output 2 2 2_1 KeyFig" xfId="6109" xr:uid="{7B70FC25-0E66-40E8-8D14-1CC3D5209EE3}"/>
    <cellStyle name="Output 2 2 3" xfId="6110" xr:uid="{775A517E-9EB0-49E7-BD91-2A8A803B174D}"/>
    <cellStyle name="Output 2 2 4" xfId="6111" xr:uid="{AFEA469D-61EF-4806-B8C4-1C10F8117664}"/>
    <cellStyle name="Output 2 2 5" xfId="6112" xr:uid="{639FE93D-B104-49BB-988B-0A48E8A306B0}"/>
    <cellStyle name="Output 2 2 6" xfId="6113" xr:uid="{FD504295-4F2C-4679-BF18-FCDE47B77362}"/>
    <cellStyle name="Output 2 2 7" xfId="6114" xr:uid="{D9F29EA7-D7C9-4417-836D-CBC3C149248A}"/>
    <cellStyle name="Output 2 2 8" xfId="6115" xr:uid="{24FCA9B2-3242-4DE0-8D7D-CDC4E6B2B0CB}"/>
    <cellStyle name="Output 2 2 9" xfId="6116" xr:uid="{E5733CD4-C81E-47A1-A480-D7849B07FF1B}"/>
    <cellStyle name="Output 2 2_1 KeyFig" xfId="6117" xr:uid="{C44F035A-0F75-4335-9CA8-4F466200E61D}"/>
    <cellStyle name="Output 2 3" xfId="6118" xr:uid="{4C6B430F-F8BD-481D-BE7A-18C091896DD9}"/>
    <cellStyle name="Output 2 3 2" xfId="6119" xr:uid="{D017B465-5E6D-4176-8505-FACA4B369CF7}"/>
    <cellStyle name="Output 2 3_1 KeyFig" xfId="6120" xr:uid="{B6F69F96-A72D-4F13-942A-5CF2CA935045}"/>
    <cellStyle name="Output 2 4" xfId="6121" xr:uid="{73CC7323-9CCE-4FC0-AC2A-9A296BA87BD5}"/>
    <cellStyle name="Output 2 4 2" xfId="6122" xr:uid="{54D3E6DE-045B-4320-97D5-53AC332E1600}"/>
    <cellStyle name="Output 2 4_1 KeyFig" xfId="6123" xr:uid="{5F717102-C6F9-4979-BE5D-4F74F9AAE803}"/>
    <cellStyle name="Output 2 5" xfId="6124" xr:uid="{90AA8CCD-60E5-4F25-99BE-AB453A175BA3}"/>
    <cellStyle name="Output 2 6" xfId="6125" xr:uid="{738110D0-C4A7-41BA-97C2-4C2CA3532452}"/>
    <cellStyle name="Output 2 7" xfId="6126" xr:uid="{39C672F8-3245-4518-ADC2-8849176B41D9}"/>
    <cellStyle name="Output 2 8" xfId="6127" xr:uid="{09F930F2-E036-43DB-BC73-600760E9B27C}"/>
    <cellStyle name="Output 2 8 2" xfId="6128" xr:uid="{4C7C6CE4-80E9-47D4-A49D-9638B9F07E41}"/>
    <cellStyle name="Output 2 8_1 KeyFig" xfId="6129" xr:uid="{F6FB7FE0-426C-4797-8999-4BCC9436FB28}"/>
    <cellStyle name="Output 2 9" xfId="6130" xr:uid="{AC958851-1D03-4F3F-B3F5-3D7C8FFC7ACA}"/>
    <cellStyle name="Output 2_1 KeyFig" xfId="6131" xr:uid="{5F8B22DA-CC64-4364-A819-4342DF78DDDC}"/>
    <cellStyle name="Output 3" xfId="6132" xr:uid="{A6136705-557D-49EE-9A17-5778C3D0BC59}"/>
    <cellStyle name="Output 3 2" xfId="6133" xr:uid="{1C7EE14C-BD15-436B-8F19-6216DE54292D}"/>
    <cellStyle name="Output 3 2 2" xfId="6134" xr:uid="{2C42A392-1DB4-4B65-87E1-ECE4B04AD425}"/>
    <cellStyle name="Output 3 2 3" xfId="6135" xr:uid="{DCCBEE17-5E61-4B43-8044-DF4A57DD0D43}"/>
    <cellStyle name="Output 3 2_1 KeyFig" xfId="6136" xr:uid="{F4CCA8FC-808F-41AE-AC9B-F83E65BA306A}"/>
    <cellStyle name="Output 3 3" xfId="6137" xr:uid="{3F46DE5F-DDF0-4080-8135-1247CF163FD9}"/>
    <cellStyle name="Output 3 3 2" xfId="6138" xr:uid="{C6A7B2D0-3817-4495-B4F2-8C6904A557EF}"/>
    <cellStyle name="Output 3 3_Bridge IR Q" xfId="6139" xr:uid="{A79D3D2F-3023-4FB6-B9DC-6EDE1D8D2CBF}"/>
    <cellStyle name="Output 3 4" xfId="6140" xr:uid="{DFCEA8DC-716A-4B55-A152-0990DABBA449}"/>
    <cellStyle name="Output 3 5" xfId="6141" xr:uid="{EBD442D8-E7A3-420D-8EF4-E76862B2197C}"/>
    <cellStyle name="Output 3 6" xfId="6142" xr:uid="{CE948F58-BBE9-4250-8B39-CB103D89ABEC}"/>
    <cellStyle name="Output 3 7" xfId="6143" xr:uid="{765B4F19-2DF5-4B52-BFDE-718286216FF5}"/>
    <cellStyle name="Output 3 8" xfId="6144" xr:uid="{53CC4CD4-BA6F-4154-8821-96EEF3CB261B}"/>
    <cellStyle name="Output 3 9" xfId="6145" xr:uid="{FE387E01-13B3-474D-99E9-55DBB6A7A9D7}"/>
    <cellStyle name="Output 3_1 KeyFig" xfId="6146" xr:uid="{0F71A118-64CD-4094-97E5-30D17132D057}"/>
    <cellStyle name="Output 4" xfId="6147" xr:uid="{D9F47FCB-3A18-4595-99B8-0DCCB177ABE9}"/>
    <cellStyle name="Output 4 2" xfId="6148" xr:uid="{FD45F0F1-1077-4483-A5F7-47CEC98F5E3F}"/>
    <cellStyle name="Output 4_1 KeyFig" xfId="6149" xr:uid="{8FDC35C5-41DB-4568-B9D9-D329ACF480B3}"/>
    <cellStyle name="Output 5" xfId="6150" xr:uid="{FA4A9410-DB97-4AA9-9F3D-3D1FA74C56E8}"/>
    <cellStyle name="Output 6" xfId="6151" xr:uid="{9558BCAC-1B72-4D33-AF4F-59E9799C33CC}"/>
    <cellStyle name="Output 7" xfId="6152" xr:uid="{9367B7F8-F817-4BDD-88F6-866B2211C58B}"/>
    <cellStyle name="Output 8" xfId="6153" xr:uid="{B212E5F7-6BD4-4FDF-B285-FF6A5A542E13}"/>
    <cellStyle name="Output 9" xfId="6154" xr:uid="{7DECD1A1-C3E8-435F-B4FC-5ED72629959F}"/>
    <cellStyle name="Percent [2]" xfId="6155" xr:uid="{05C4C565-E676-45B0-BDCD-D26727E15D3F}"/>
    <cellStyle name="Percent [2] 2" xfId="6156" xr:uid="{4073426C-D0CA-4FA2-A06D-D9D24C2B9D89}"/>
    <cellStyle name="Percent [2] 2 2" xfId="6157" xr:uid="{716D23DE-EBD4-49F0-94D7-F7BD866926F0}"/>
    <cellStyle name="Percent [2] 2 2 2" xfId="6158" xr:uid="{854D16AC-DAB5-454B-9439-3AF9FDBBA515}"/>
    <cellStyle name="Percent [2] 2 2_1 KeyFig" xfId="6159" xr:uid="{31D5100B-BE11-48CF-A723-4B1EACB2BD3D}"/>
    <cellStyle name="Percent [2] 2 3" xfId="6160" xr:uid="{5B2D804C-27FC-45BD-A83A-B8DE34C86196}"/>
    <cellStyle name="Percent [2] 2_1 KeyFig" xfId="6161" xr:uid="{61060C2C-B19D-46F2-BA09-2B44EAAA48D7}"/>
    <cellStyle name="Percent [2] 3" xfId="6162" xr:uid="{A00707E9-315C-4F5B-9063-5987855F76D1}"/>
    <cellStyle name="Percent [2] 3 2" xfId="6163" xr:uid="{615600B5-9F64-4290-BAC8-9A29AFA403D3}"/>
    <cellStyle name="Percent [2] 3 2 2" xfId="6164" xr:uid="{566350EA-7A2B-4F1A-A73B-43D9F5613EBB}"/>
    <cellStyle name="Percent [2] 3 2_1 KeyFig" xfId="6165" xr:uid="{03568C75-3AF7-4EC6-8DF5-959049594140}"/>
    <cellStyle name="Percent [2] 3 3" xfId="6166" xr:uid="{7F259396-DCF0-4909-AD1C-FC289E95EE84}"/>
    <cellStyle name="Percent [2] 3_1 KeyFig" xfId="6167" xr:uid="{60DE1DE6-100E-46B0-9BC3-632D3C1584AE}"/>
    <cellStyle name="Percent [2] 4" xfId="6168" xr:uid="{493E07B0-0CC7-4710-BA17-B6B53A83AC24}"/>
    <cellStyle name="Percent [2] 4 2" xfId="6169" xr:uid="{7678F65F-C5C4-4AA2-8D92-24008ED69BAD}"/>
    <cellStyle name="Percent [2] 4_1 KeyFig" xfId="6170" xr:uid="{6FE4C905-3BF5-4E96-A593-14C7862882E1}"/>
    <cellStyle name="Percent [2] 5" xfId="6171" xr:uid="{588444C3-7513-42A1-9EE0-AC614A511431}"/>
    <cellStyle name="Percent [2]_1 KeyFig" xfId="6172" xr:uid="{B52EA741-03C6-40A6-A2C5-B950772AFE6C}"/>
    <cellStyle name="Percent 10" xfId="6173" xr:uid="{D4304CA0-9B41-47A0-8BFE-8FB38B2A5B73}"/>
    <cellStyle name="Percent 10 2" xfId="6174" xr:uid="{AB7A373D-412B-434D-B1B0-3678B3707E9E}"/>
    <cellStyle name="Percent 10_1 KeyFig" xfId="6175" xr:uid="{388DAE13-51A1-4BF8-A924-9E65320FB76F}"/>
    <cellStyle name="Percent 11" xfId="6176" xr:uid="{C30E3EFF-3C03-4742-AF26-FA9197BA7C86}"/>
    <cellStyle name="Percent 11 2" xfId="6177" xr:uid="{BECAE046-25A8-4BB4-9F2D-9023701A6203}"/>
    <cellStyle name="Percent 11_1 KeyFig" xfId="6178" xr:uid="{E47DE44E-72DD-4BDF-B28A-36C7C9C9A28C}"/>
    <cellStyle name="Percent 12" xfId="6179" xr:uid="{07BF9BDC-B12A-48CF-B0B2-622CFE41954E}"/>
    <cellStyle name="Percent 12 2" xfId="6180" xr:uid="{BBEC6275-AEF5-4A9C-8EBE-E1AC8B159B91}"/>
    <cellStyle name="Percent 12_1 KeyFig" xfId="6181" xr:uid="{6F7B8B32-F0C0-4DB0-8B55-C0D8C4165341}"/>
    <cellStyle name="Percent 13" xfId="6182" xr:uid="{E2C16E2B-DF81-4336-A995-079FA22E63E3}"/>
    <cellStyle name="Percent 13 2" xfId="6183" xr:uid="{BB7726AB-D834-4533-9CC0-30540C22B3D2}"/>
    <cellStyle name="Percent 13_1 KeyFig" xfId="6184" xr:uid="{C6CB49B2-2353-4CD5-A9F2-3B90D0DD3973}"/>
    <cellStyle name="Percent 14" xfId="6185" xr:uid="{CDC473C9-0224-405C-821C-5CF9474CAB1D}"/>
    <cellStyle name="Percent 14 2" xfId="6186" xr:uid="{2B81AABA-6A51-404E-8DBE-1EB066F1B230}"/>
    <cellStyle name="Percent 14_1 KeyFig" xfId="6187" xr:uid="{A54EECF0-E3BC-4E6C-86BF-77DFCE793CF0}"/>
    <cellStyle name="Percent 15" xfId="6188" xr:uid="{9FE5A00E-E2B6-4683-AD29-532B2E17ADE5}"/>
    <cellStyle name="Percent 15 2" xfId="6189" xr:uid="{A1C55CFA-30C2-4F2C-A8FB-1765752F9FA1}"/>
    <cellStyle name="Percent 15_1 KeyFig" xfId="6190" xr:uid="{17130A3F-4BA9-4BC0-9761-9DF053834827}"/>
    <cellStyle name="Percent 16" xfId="6191" xr:uid="{54C9E85D-DCB0-4E6E-8510-76982345B3AC}"/>
    <cellStyle name="Percent 16 2" xfId="6192" xr:uid="{39E1CA23-026D-4F3A-A80B-CAACC7953DD9}"/>
    <cellStyle name="Percent 16_1 KeyFig" xfId="6193" xr:uid="{5DB62662-A2DA-4C96-B22A-4A501AE308BD}"/>
    <cellStyle name="Percent 17" xfId="6194" xr:uid="{2E3230FC-8A78-4D84-99B2-5218E78F5865}"/>
    <cellStyle name="Percent 17 2" xfId="6195" xr:uid="{669D6BF2-2A23-4898-9489-C89D1D735AB4}"/>
    <cellStyle name="Percent 17_1 KeyFig" xfId="6196" xr:uid="{57ED1810-12BA-46A8-9094-45E59E6D7CC7}"/>
    <cellStyle name="Percent 18" xfId="6197" xr:uid="{900008B9-BDD1-4171-B6FD-98B8F9B8799F}"/>
    <cellStyle name="Percent 18 2" xfId="6198" xr:uid="{D430346C-482B-4101-89DB-70B2FF505487}"/>
    <cellStyle name="Percent 18_1 KeyFig" xfId="6199" xr:uid="{B72AAF66-8C64-401F-AB80-9EF95353E0E5}"/>
    <cellStyle name="Percent 19" xfId="6200" xr:uid="{A1E1B759-4429-4F58-925A-5FECBF7A5E0B}"/>
    <cellStyle name="Percent 19 2" xfId="6201" xr:uid="{83025A80-86E7-4C23-B2A1-D4EEE126DE57}"/>
    <cellStyle name="Percent 19_1 KeyFig" xfId="6202" xr:uid="{2ACE1C59-F51A-4161-8F13-DD28EC14C0BB}"/>
    <cellStyle name="Percent 2" xfId="6203" xr:uid="{574BC3DF-0989-458C-9033-00213C1FC2D8}"/>
    <cellStyle name="Percent 2 10" xfId="6204" xr:uid="{C3AE6DF9-37E0-49FF-99C9-15E1DFC1EA9C}"/>
    <cellStyle name="Percent 2 2" xfId="6205" xr:uid="{A35209B8-89C3-48E6-8694-E4306E604994}"/>
    <cellStyle name="Percent 2 2 2" xfId="6206" xr:uid="{EF965E85-96CD-492D-9B79-F4FCA46F5907}"/>
    <cellStyle name="Percent 2 2 2 2" xfId="6207" xr:uid="{3A05DD34-C469-444B-82A9-BA635612E7AD}"/>
    <cellStyle name="Percent 2 2 2 2 2" xfId="6208" xr:uid="{46CB8254-E571-4FFD-8E43-1D3E96F5D95F}"/>
    <cellStyle name="Percent 2 2 2 2 3" xfId="6209" xr:uid="{208BFF54-F048-48C0-AFE9-CAA916D4D5D4}"/>
    <cellStyle name="Percent 2 2 2 2_Bridge IR Q" xfId="6210" xr:uid="{C52B69F7-2C09-464C-BBA9-022631327D99}"/>
    <cellStyle name="Percent 2 2 2 3" xfId="6211" xr:uid="{4CB2C5EC-5F0C-4BFC-B3FB-973938EFCF8D}"/>
    <cellStyle name="Percent 2 2 2 3 2" xfId="6212" xr:uid="{7E7C9D88-F020-4FDC-8944-308C7848C19D}"/>
    <cellStyle name="Percent 2 2 2 3 3" xfId="6213" xr:uid="{BF4A1D8E-6204-4971-96A2-6BE3C7A8DCB0}"/>
    <cellStyle name="Percent 2 2 2 3_Bridge IR Q" xfId="6214" xr:uid="{976C5A01-5EED-4320-BDB4-B568DDC8C788}"/>
    <cellStyle name="Percent 2 2 2 4" xfId="6215" xr:uid="{0584FCC8-D05B-4F66-BC98-94538DCF991C}"/>
    <cellStyle name="Percent 2 2 2 5" xfId="6216" xr:uid="{9B5ED7CE-E8C2-41BA-88C8-0A9154CA14E8}"/>
    <cellStyle name="Percent 2 2 2 6" xfId="6217" xr:uid="{C6AC6FA1-67A5-4DCB-ABF6-B516420CD1E3}"/>
    <cellStyle name="Percent 2 2 2_1 KeyFig" xfId="6218" xr:uid="{55B140D7-45D8-41F2-B386-5F494F86AAE7}"/>
    <cellStyle name="Percent 2 2 3" xfId="6219" xr:uid="{017C49CF-22D9-458D-9744-9B10632EA325}"/>
    <cellStyle name="Percent 2 2 3 2" xfId="6220" xr:uid="{79B10677-2FF8-4C1D-8F1A-C36882063C83}"/>
    <cellStyle name="Percent 2 2 3 3" xfId="6221" xr:uid="{628379A9-B3FA-435D-A693-AC248385CB6F}"/>
    <cellStyle name="Percent 2 2 3 4" xfId="6222" xr:uid="{43ABC9CC-9962-4831-A1DE-1BF83F769603}"/>
    <cellStyle name="Percent 2 2 3_1 KeyFig" xfId="6223" xr:uid="{6AA7B07D-FBE5-49AE-9395-0F6CBA62AAE6}"/>
    <cellStyle name="Percent 2 2 4" xfId="6224" xr:uid="{8CB9EFFD-6433-42F8-8C5E-4AEAB86400B4}"/>
    <cellStyle name="Percent 2 2 4 2" xfId="6225" xr:uid="{57238B16-FF51-4D36-A949-CFC41868D1F2}"/>
    <cellStyle name="Percent 2 2 4 3" xfId="6226" xr:uid="{A7D002AE-FCC9-42D1-A349-09E39DE8CF16}"/>
    <cellStyle name="Percent 2 2 4 4" xfId="6227" xr:uid="{E9CBBABC-20B3-437B-9D55-F19CAB036831}"/>
    <cellStyle name="Percent 2 2 4_1 KeyFig" xfId="6228" xr:uid="{68ADC452-CEF0-4143-9E15-05D7E8AE37A4}"/>
    <cellStyle name="Percent 2 2 5" xfId="6229" xr:uid="{614CBB35-9608-4F95-9893-FA4F7140D079}"/>
    <cellStyle name="Percent 2 2 5 2" xfId="6230" xr:uid="{BD140CD5-FB56-4205-ABCF-750873CBBE9A}"/>
    <cellStyle name="Percent 2 2 5_1 KeyFig" xfId="6231" xr:uid="{111CD38A-64C5-40AC-89EF-C898EC03D5D1}"/>
    <cellStyle name="Percent 2 2 6" xfId="6232" xr:uid="{B967BCEB-7265-4405-8030-79D8153584CD}"/>
    <cellStyle name="Percent 2 2 7" xfId="6233" xr:uid="{0A41B637-E6DE-4957-90C9-D8A38644E22F}"/>
    <cellStyle name="Percent 2 2 8" xfId="6234" xr:uid="{43FEF47E-590E-40AA-BFAA-6A72A7058673}"/>
    <cellStyle name="Percent 2 2_1 KeyFig" xfId="6235" xr:uid="{F67E7C31-F612-40CC-8A17-F76E256EE1C4}"/>
    <cellStyle name="Percent 2 3" xfId="6236" xr:uid="{29351652-FE28-4B5E-A71D-21570E44AE53}"/>
    <cellStyle name="Percent 2 3 2" xfId="6237" xr:uid="{11668BDC-0D2E-4489-B672-5ED3F5D1112F}"/>
    <cellStyle name="Percent 2 3 2 2" xfId="6238" xr:uid="{433E4D43-E93F-4906-B587-81A3787840F6}"/>
    <cellStyle name="Percent 2 3 2 3" xfId="6239" xr:uid="{865E0AB0-87AA-4936-85DF-3D49AC2F5C7A}"/>
    <cellStyle name="Percent 2 3 2_1 KeyFig" xfId="6240" xr:uid="{230BC0DF-3207-45FA-995E-ED4B27FC0B72}"/>
    <cellStyle name="Percent 2 3 3" xfId="6241" xr:uid="{3999F747-DA0E-4A74-B635-038E73A7CF8E}"/>
    <cellStyle name="Percent 2 3 3 2" xfId="6242" xr:uid="{51C9AADD-6052-4093-A127-A2FC7603DFFE}"/>
    <cellStyle name="Percent 2 3 3 3" xfId="6243" xr:uid="{E2923E54-4F99-4C3E-9061-1D98DA959E92}"/>
    <cellStyle name="Percent 2 3 3_Bridge IR Q" xfId="6244" xr:uid="{BD6194FA-AA16-4099-9DDA-2F88BE3499DD}"/>
    <cellStyle name="Percent 2 3 4" xfId="6245" xr:uid="{7493A42B-9058-4C83-8040-1BA3DDCDFFEC}"/>
    <cellStyle name="Percent 2 3 5" xfId="6246" xr:uid="{3E937A9B-39E1-4297-B3E7-9C18CF8487F1}"/>
    <cellStyle name="Percent 2 3 6" xfId="6247" xr:uid="{9F782AF3-8FE4-40CA-828B-2F1BED6DE02B}"/>
    <cellStyle name="Percent 2 3 7" xfId="6248" xr:uid="{F0B54BE6-3519-4872-8DEE-9BB82211154F}"/>
    <cellStyle name="Percent 2 3 8" xfId="6249" xr:uid="{35F81C85-9F9D-4B07-99EB-BF5CD2FC2821}"/>
    <cellStyle name="Percent 2 3_1 KeyFig" xfId="6250" xr:uid="{7C3ACEA9-AC65-4C19-B38D-362F6BAC0C9D}"/>
    <cellStyle name="Percent 2 4" xfId="6251" xr:uid="{57E9B49C-AD2D-4B86-9FBE-D5C0A120FB79}"/>
    <cellStyle name="Percent 2 4 2" xfId="6252" xr:uid="{C470C992-B562-475F-B7A6-3849C89B23EE}"/>
    <cellStyle name="Percent 2 4 3" xfId="6253" xr:uid="{BDF561FB-5C2E-42B8-AD1A-A8AAD33282F4}"/>
    <cellStyle name="Percent 2 4 4" xfId="6254" xr:uid="{2AA8C009-36E8-49E3-9BC9-08A074E36BA6}"/>
    <cellStyle name="Percent 2 4 5" xfId="6255" xr:uid="{B764A7C5-F284-4442-8BC3-0E7C0DFB2557}"/>
    <cellStyle name="Percent 2 4_1 KeyFig" xfId="6256" xr:uid="{AFE72D31-FB98-4A49-AB6B-A88A2318978A}"/>
    <cellStyle name="Percent 2 5" xfId="6257" xr:uid="{48EFF3EF-605F-41A3-9C86-7845440EF683}"/>
    <cellStyle name="Percent 2 5 2" xfId="6258" xr:uid="{8D818E94-390C-4E65-B114-BCC593BFBB00}"/>
    <cellStyle name="Percent 2 5 3" xfId="6259" xr:uid="{F25BDC3A-0D2E-4D4D-9636-4764F4B26A27}"/>
    <cellStyle name="Percent 2 5_1 KeyFig" xfId="6260" xr:uid="{D4C54BD7-6751-45AF-A260-BD355A57BBE4}"/>
    <cellStyle name="Percent 2 6" xfId="6261" xr:uid="{E3599076-4C4D-47DD-9CC7-E3B73698729B}"/>
    <cellStyle name="Percent 2 7" xfId="6262" xr:uid="{54AA0E33-D47E-4A3E-A9CB-A662DC296F2B}"/>
    <cellStyle name="Percent 2 8" xfId="6263" xr:uid="{B5B304FC-B3AC-4384-A673-9ED933B6EC15}"/>
    <cellStyle name="Percent 2 9" xfId="6264" xr:uid="{476538F4-34E6-4AB7-A3CD-1619833A0E12}"/>
    <cellStyle name="Percent 2_1 KeyFig" xfId="6265" xr:uid="{50FE942A-CBB7-4CFD-B9B6-B044B074B838}"/>
    <cellStyle name="Percent 20" xfId="6266" xr:uid="{CBF47421-C84E-4626-8F11-6D6405A0B5CD}"/>
    <cellStyle name="Percent 21" xfId="6267" xr:uid="{195C8ACE-11F2-4A65-949B-C3E9BD0C6E61}"/>
    <cellStyle name="Percent 22" xfId="6268" xr:uid="{BFDF4416-1441-43F9-A3F5-B0C2B452AA86}"/>
    <cellStyle name="Percent 23" xfId="6269" xr:uid="{227AAA11-1428-4080-81E7-299B583B21AC}"/>
    <cellStyle name="Percent 24" xfId="6270" xr:uid="{EE7122D2-AD24-4A01-ABFE-2F67DF90B645}"/>
    <cellStyle name="Percent 25" xfId="6271" xr:uid="{93D8AEF6-A16A-47FD-92DA-82866FCF0A07}"/>
    <cellStyle name="Percent 26" xfId="6272" xr:uid="{578AAE47-D5BC-4761-AD04-8CCA26878894}"/>
    <cellStyle name="Percent 27" xfId="6273" xr:uid="{A0E0E5CC-CC8F-4E9F-BCB8-0D5086311F20}"/>
    <cellStyle name="Percent 28" xfId="6274" xr:uid="{312CA39F-8229-4287-AF88-DD8DC761945C}"/>
    <cellStyle name="Percent 29" xfId="6275" xr:uid="{956B0EDD-09E7-4EB6-B24C-941F6D986BDD}"/>
    <cellStyle name="Percent 3" xfId="6276" xr:uid="{64E6A9C5-A7A1-4163-AEE9-35158252455D}"/>
    <cellStyle name="Percent 3 2" xfId="6277" xr:uid="{6BD111B3-413E-41C3-8EF9-D3842053B6A6}"/>
    <cellStyle name="Percent 3 2 2" xfId="6278" xr:uid="{3E7E959E-98B9-4DC4-B3A4-979F310345BA}"/>
    <cellStyle name="Percent 3 2 3" xfId="6279" xr:uid="{FB7D63D9-3B1A-4901-9587-23F930FA5F0E}"/>
    <cellStyle name="Percent 3 2 4" xfId="6280" xr:uid="{E2F55877-8C93-41B9-8AF1-95A456230AE5}"/>
    <cellStyle name="Percent 3 2_1 KeyFig" xfId="6281" xr:uid="{940BDB59-9956-45F3-8655-D471FB7223D6}"/>
    <cellStyle name="Percent 3 3" xfId="6282" xr:uid="{4C177BB6-281D-4A86-A2C6-5929B16DF464}"/>
    <cellStyle name="Percent 3 3 2" xfId="6283" xr:uid="{C9C3F334-64F1-4802-B98A-4712F3E5DB53}"/>
    <cellStyle name="Percent 3 3 3" xfId="6284" xr:uid="{3AF5AA80-6D98-4279-8B8B-93720DFB70FC}"/>
    <cellStyle name="Percent 3 3_1 KeyFig" xfId="6285" xr:uid="{F1BA2F7D-9F52-495C-BB77-B178D4757D4B}"/>
    <cellStyle name="Percent 3 4" xfId="6286" xr:uid="{5EDE15FA-C48C-4702-B6A2-E317C9D4FDE3}"/>
    <cellStyle name="Percent 3 5" xfId="6287" xr:uid="{0D46A535-BE1E-4615-9677-E0028091ABB5}"/>
    <cellStyle name="Percent 3 6" xfId="6288" xr:uid="{D3B29849-37BC-412A-A1B5-B0B1ACD07E02}"/>
    <cellStyle name="Percent 3_1 KeyFig" xfId="6289" xr:uid="{DEBA9545-FC2B-4D0A-AB31-CDBED95A63D2}"/>
    <cellStyle name="Percent 30" xfId="6290" xr:uid="{01FFC93C-0824-4987-9D93-BF3AF09E159C}"/>
    <cellStyle name="Percent 31" xfId="6291" xr:uid="{8CCC5AFD-81EC-4BDF-B8FF-7C66B42D5182}"/>
    <cellStyle name="Percent 32" xfId="6292" xr:uid="{BFC44A1A-7FF7-441B-8200-B45A0C4A8104}"/>
    <cellStyle name="Percent 33" xfId="6293" xr:uid="{908BB7F2-BC3F-4DF1-B05D-AB776CC2712C}"/>
    <cellStyle name="Percent 34" xfId="6294" xr:uid="{A9F9DEB8-4A8F-438F-972F-3ED013BFA152}"/>
    <cellStyle name="Percent 35" xfId="6295" xr:uid="{CDA602CF-844A-4ED2-907E-D1EE22FDE16D}"/>
    <cellStyle name="Percent 36" xfId="6296" xr:uid="{23109DE8-7265-4881-8139-E1EC0525A1D1}"/>
    <cellStyle name="Percent 37" xfId="6297" xr:uid="{922EECAA-FABB-43F3-ADE3-E71D23BA2A66}"/>
    <cellStyle name="Percent 38" xfId="6298" xr:uid="{FCCD7559-AB4B-46B1-84D4-41347A5E522D}"/>
    <cellStyle name="Percent 39" xfId="6299" xr:uid="{089EFF99-7B01-4C8E-A1B1-90A1A75F7E27}"/>
    <cellStyle name="Percent 4" xfId="6300" xr:uid="{1B27D580-AD4A-43A7-90FE-FFE6997E0AC2}"/>
    <cellStyle name="Percent 4 2" xfId="6301" xr:uid="{96DB39B9-20AB-4EC0-B2D8-05588C1AC021}"/>
    <cellStyle name="Percent 4 3" xfId="6302" xr:uid="{8AC64045-E5F0-4EFC-B1C7-D8A2850C0F66}"/>
    <cellStyle name="Percent 4 4" xfId="6303" xr:uid="{ED3EAF32-B093-459D-BA93-C8689062548D}"/>
    <cellStyle name="Percent 4_1 KeyFig" xfId="6304" xr:uid="{C7F97408-98A4-4B1C-BF21-78BEED34B8A4}"/>
    <cellStyle name="Percent 40" xfId="6305" xr:uid="{DC7EDA6D-F3C9-41BF-8B44-DC6A70946012}"/>
    <cellStyle name="Percent 41" xfId="6306" xr:uid="{F064A16F-36A7-4EEE-9759-595744B34F11}"/>
    <cellStyle name="Percent 42" xfId="6307" xr:uid="{332B3EBE-39C1-4BD4-8F0B-D7962C05DB46}"/>
    <cellStyle name="Percent 43" xfId="6308" xr:uid="{32EA4518-6505-41A2-A005-549DA55B91C6}"/>
    <cellStyle name="Percent 44" xfId="6309" xr:uid="{D2F9E591-74B6-46F0-8FCB-C12330263AC7}"/>
    <cellStyle name="Percent 45" xfId="6310" xr:uid="{E15280D5-2F8B-4250-9951-E3C0C20C3EB6}"/>
    <cellStyle name="Percent 46" xfId="6311" xr:uid="{FCA69B64-DCA8-4DC6-AABF-A18F7AD7F357}"/>
    <cellStyle name="Percent 47" xfId="6312" xr:uid="{2CFFB29F-8385-4B4B-AC44-417EE7660781}"/>
    <cellStyle name="Percent 48" xfId="6313" xr:uid="{B8690DA2-9E96-4860-BE3C-980D22209CD7}"/>
    <cellStyle name="Percent 49" xfId="6314" xr:uid="{5083B8D7-C90C-483A-949D-E5FA5320EDC8}"/>
    <cellStyle name="Percent 5" xfId="6315" xr:uid="{97CA90F1-4272-479D-B68D-A6D6121012A4}"/>
    <cellStyle name="Percent 5 2" xfId="6316" xr:uid="{4F09ABAD-0292-41ED-AEB5-9F1D0CE4AC25}"/>
    <cellStyle name="Percent 5 3" xfId="6317" xr:uid="{D2AA77F9-AF79-4B3B-8B86-1E5D49A9C7DF}"/>
    <cellStyle name="Percent 5_1 KeyFig" xfId="6318" xr:uid="{E5E2067E-4107-4784-8000-80D67D9A05D0}"/>
    <cellStyle name="Percent 50" xfId="6319" xr:uid="{2060200A-C34D-4B47-90D3-E4C891A091A3}"/>
    <cellStyle name="Percent 51" xfId="6795" xr:uid="{9DBEF5C0-3BE1-466D-8C45-8F43391915AC}"/>
    <cellStyle name="Percent 6" xfId="6320" xr:uid="{513BD13B-CBA2-4150-B7C4-1045E428DA7A}"/>
    <cellStyle name="Percent 6 10" xfId="6321" xr:uid="{1E1FAE16-78F3-42F5-B234-1BDCAB76FBCE}"/>
    <cellStyle name="Percent 6 11" xfId="6322" xr:uid="{EFF6DE04-41F9-4A55-A427-A5D2A5E7A1B9}"/>
    <cellStyle name="Percent 6 12" xfId="6323" xr:uid="{3D465ADD-3E1B-4355-9E24-E332CA9BD4C3}"/>
    <cellStyle name="Percent 6 2" xfId="6324" xr:uid="{2C8488B8-1907-497A-947A-2A5A3D5D2B82}"/>
    <cellStyle name="Percent 6 3" xfId="6325" xr:uid="{8F31FC7E-323F-4C28-AF15-79005449FD94}"/>
    <cellStyle name="Percent 6 4" xfId="6326" xr:uid="{22A49132-E24D-46D9-B17A-8181CF9B6BDF}"/>
    <cellStyle name="Percent 6 5" xfId="6327" xr:uid="{D7729E96-B428-4E51-9966-2703B889A9D8}"/>
    <cellStyle name="Percent 6 6" xfId="6328" xr:uid="{2D7BCC72-6DB7-4833-8FF9-A7A154E1C7C5}"/>
    <cellStyle name="Percent 6 7" xfId="6329" xr:uid="{0BEA158F-AB36-4776-A653-612B1CC7AF31}"/>
    <cellStyle name="Percent 6 8" xfId="6330" xr:uid="{75196817-4E38-4852-8217-CE5B5F7E0C43}"/>
    <cellStyle name="Percent 6 9" xfId="6331" xr:uid="{233FA70A-54F7-4BE2-A8E4-E00A588B41A2}"/>
    <cellStyle name="Percent 6_1 KeyFig" xfId="6332" xr:uid="{2E1DD8E7-4F00-4956-976A-CBAF8129D6A6}"/>
    <cellStyle name="Percent 7" xfId="6333" xr:uid="{8F3DF5E5-4ED0-4CD1-944D-EC8604113E2E}"/>
    <cellStyle name="Percent 7 2" xfId="6334" xr:uid="{4B6F868F-E8D9-4F64-ABA7-AEEFC805319A}"/>
    <cellStyle name="Percent 7_1 KeyFig" xfId="6335" xr:uid="{6B4D7345-E462-4C59-8950-4089452F897D}"/>
    <cellStyle name="Percent 8" xfId="6336" xr:uid="{04165A8B-77A6-4C69-99C2-775C63A18DF1}"/>
    <cellStyle name="Percent 8 2" xfId="6337" xr:uid="{FCBB0C2D-0E47-4F0C-B67F-21B3D2B55F62}"/>
    <cellStyle name="Percent 8_1 KeyFig" xfId="6338" xr:uid="{A83E0B8B-CEE3-4F87-9376-960B77604869}"/>
    <cellStyle name="Percent 9" xfId="6339" xr:uid="{75B78BB5-EBED-47CA-9615-CF35DA9903FF}"/>
    <cellStyle name="Percent 9 2" xfId="6340" xr:uid="{29704196-ACFF-4F2F-BB25-13D6429D016A}"/>
    <cellStyle name="Percent 9_1 KeyFig" xfId="6341" xr:uid="{AFCCFD04-0423-4A58-9876-FA6CF2F0A839}"/>
    <cellStyle name="PSChar" xfId="6342" xr:uid="{0C447754-F330-4038-BA22-768DFCADD9E2}"/>
    <cellStyle name="Radrubrik" xfId="6343" xr:uid="{8BAF6DFB-2EE5-40E3-8924-418E0E3C6EFA}"/>
    <cellStyle name="Radtext" xfId="6344" xr:uid="{975995B0-08A2-4A6C-BB4A-EA990E7EC05D}"/>
    <cellStyle name="Randig" xfId="6345" xr:uid="{F0E25D32-1050-47F7-BA1F-41560C0FE45A}"/>
    <cellStyle name="Randig 2" xfId="6346" xr:uid="{515A304B-0A5A-4097-98D3-DFB14B1D9ECC}"/>
    <cellStyle name="Randig 3" xfId="6347" xr:uid="{DECEB732-45AB-4123-8D06-663B3133EE89}"/>
    <cellStyle name="Randig 3 2" xfId="6348" xr:uid="{FEB0F85A-8FEF-4A91-AC15-F586BB546ADC}"/>
    <cellStyle name="Randig 3_1 KeyFig" xfId="6349" xr:uid="{1FCCE5D0-6628-4C77-86FB-BB0E94D1A5BA}"/>
    <cellStyle name="Randig_1 KeyFig" xfId="6350" xr:uid="{CA2870E0-5602-46E6-ACEB-1BFC4BD88169}"/>
    <cellStyle name="Resultat" xfId="6351" xr:uid="{026DF2A0-3CAD-47E9-AA0C-ECE0C5AD6897}"/>
    <cellStyle name="Resultat 2" xfId="6352" xr:uid="{97B26108-EC1E-4C77-8438-6A848E05433E}"/>
    <cellStyle name="Resultat 3" xfId="6353" xr:uid="{D29809E3-3AE7-43A1-97AB-3BA5BEDA9024}"/>
    <cellStyle name="Resultat_1 KeyFig" xfId="6354" xr:uid="{B3CEE901-B94A-4D18-A01D-415D77D3729A}"/>
    <cellStyle name="RevList" xfId="6355" xr:uid="{0601C1BE-EE85-4D0D-8872-E60C07A501F9}"/>
    <cellStyle name="Rubrik_Linje" xfId="6356" xr:uid="{395377B6-8E05-486C-B553-663224E16C4F}"/>
    <cellStyle name="Rubrik1" xfId="6357" xr:uid="{A3AD312B-5FC3-4EB5-8BFD-819039DD4EA0}"/>
    <cellStyle name="Rubrik1 2" xfId="6358" xr:uid="{E25771A6-B3E0-4087-8949-B2005D3D88B2}"/>
    <cellStyle name="Rubrik1 3" xfId="6359" xr:uid="{6C0F7949-7173-456C-99CB-4E57A1A34F46}"/>
    <cellStyle name="Rubrik1 4" xfId="6360" xr:uid="{E82FCC67-B331-4DF3-8525-3E053C4283F7}"/>
    <cellStyle name="Rubrik1 5" xfId="6361" xr:uid="{381EEB06-9301-4A77-BCE4-C13247DA52B5}"/>
    <cellStyle name="Rubrik1_1 KeyFig" xfId="6362" xr:uid="{672D5077-35C9-4BD5-88C4-CF0979DC464D}"/>
    <cellStyle name="Rubrik2" xfId="6363" xr:uid="{07CFD3AC-669E-4182-953C-D448F03F28CF}"/>
    <cellStyle name="Rubrik3" xfId="6364" xr:uid="{63B8F4A7-EF85-47A2-8288-F2C7DA7CF459}"/>
    <cellStyle name="SAPBEXaggData" xfId="6365" xr:uid="{DAB94E3D-B724-4483-8B9E-4ECEB8D98D15}"/>
    <cellStyle name="SAPBEXaggDataEmph" xfId="6366" xr:uid="{0D56FAC6-A6FD-439F-B155-0749343B7EBC}"/>
    <cellStyle name="SAPBEXaggDataEmph 2" xfId="6367" xr:uid="{5B13EAD5-9A1A-48DF-9597-C55A75FC9309}"/>
    <cellStyle name="SAPBEXaggDataEmph 3" xfId="6368" xr:uid="{161F76EB-7243-4C0D-8009-D8042298BCE5}"/>
    <cellStyle name="SAPBEXaggDataEmph_1 KeyFig" xfId="6369" xr:uid="{F1EC1C4F-B396-4EBF-8907-3686320AAD9E}"/>
    <cellStyle name="SAPBEXaggItem" xfId="6370" xr:uid="{BDACA0D3-EBBB-4007-B1E5-6D6DE3AC4AEE}"/>
    <cellStyle name="SAPBEXaggItem 2" xfId="6371" xr:uid="{6468AE15-D96F-451C-9F00-51468BAA0CF3}"/>
    <cellStyle name="SAPBEXaggItem 3" xfId="6372" xr:uid="{6CC7DE5A-33B1-4675-B58C-F4926564AC5B}"/>
    <cellStyle name="SAPBEXaggItem_1 KeyFig" xfId="6373" xr:uid="{E31714BC-D3BE-4B55-A8DF-A2D2CDFFDEDF}"/>
    <cellStyle name="SAPBEXaggItemX" xfId="6374" xr:uid="{53ABC1D0-E6F2-4A3F-96F9-79696EE13329}"/>
    <cellStyle name="SAPBEXaggItemX 2" xfId="6375" xr:uid="{EECD2F1A-53ED-4EA4-95E0-953B6BCE66B7}"/>
    <cellStyle name="SAPBEXaggItemX 3" xfId="6376" xr:uid="{1D05D1DC-7521-40F4-B04B-7E508517B1D9}"/>
    <cellStyle name="SAPBEXaggItemX_1 KeyFig" xfId="6377" xr:uid="{0A751F01-4C87-424B-8825-C1BC4578750C}"/>
    <cellStyle name="SAPBEXchaText" xfId="6378" xr:uid="{63BF0F8B-4010-4002-AF13-17CC67172D98}"/>
    <cellStyle name="SAPBEXchaText 2" xfId="6379" xr:uid="{39C21810-F708-44B7-9E78-5D2336C8E890}"/>
    <cellStyle name="SAPBEXchaText 3" xfId="6380" xr:uid="{0068AAAD-5AA8-409B-981D-DB754C25DA5D}"/>
    <cellStyle name="SAPBEXchaText_1 KeyFig" xfId="6381" xr:uid="{3A9705CA-2236-4E01-AEEF-552A7329750D}"/>
    <cellStyle name="SAPBEXexcBad7" xfId="6382" xr:uid="{4A3D7C0F-0324-46B0-AA42-2CF62FB4AC88}"/>
    <cellStyle name="SAPBEXexcBad8" xfId="6383" xr:uid="{392867EA-914E-4579-9EE2-A4413DB0E524}"/>
    <cellStyle name="SAPBEXexcBad9" xfId="6384" xr:uid="{5115FE8C-2D0E-4F7B-B9C1-73DB4DE93610}"/>
    <cellStyle name="SAPBEXexcCritical4" xfId="6385" xr:uid="{E58CEFD3-D68C-4539-9B81-E4AC7E0E4191}"/>
    <cellStyle name="SAPBEXexcCritical5" xfId="6386" xr:uid="{CD59AFC2-D44A-40B0-8630-BD8725A15011}"/>
    <cellStyle name="SAPBEXexcCritical6" xfId="6387" xr:uid="{8273AA27-2A01-4960-9005-F2A0F29360ED}"/>
    <cellStyle name="SAPBEXexcGood1" xfId="6388" xr:uid="{5FDE79EC-EA67-41A6-B7FA-987768005BB8}"/>
    <cellStyle name="SAPBEXexcGood2" xfId="6389" xr:uid="{CAD4988F-8DAC-4146-96CC-2E640A9C7C56}"/>
    <cellStyle name="SAPBEXexcGood3" xfId="6390" xr:uid="{80B90F08-170C-4C01-ADC6-94F3BCF4D5F0}"/>
    <cellStyle name="SAPBEXfilterDrill" xfId="6391" xr:uid="{125C2192-C965-48EE-AA64-486751981596}"/>
    <cellStyle name="SAPBEXfilterItem" xfId="6392" xr:uid="{95860FF3-CEB0-4E2C-93DF-6B4E78963E6D}"/>
    <cellStyle name="SAPBEXfilterText" xfId="6393" xr:uid="{F20B601F-ACFD-4725-8C59-0E38021851D9}"/>
    <cellStyle name="SAPBEXfilterText 2" xfId="6394" xr:uid="{F3936000-EEDA-4FFB-A78D-3953A15AE61F}"/>
    <cellStyle name="SAPBEXfilterText 3" xfId="6395" xr:uid="{C6C98330-AB7B-47E6-872F-DFA2687A69D0}"/>
    <cellStyle name="SAPBEXfilterText_1 KeyFig" xfId="6396" xr:uid="{012ADB6D-48A2-4346-9EB2-B04FFF54C33F}"/>
    <cellStyle name="SAPBEXformats" xfId="6397" xr:uid="{55FB9E98-00AF-4D0D-A8A2-637A38D5CC2D}"/>
    <cellStyle name="SAPBEXheaderItem" xfId="6398" xr:uid="{F788B55F-1942-48D5-ADB8-CCA32D7A5AB4}"/>
    <cellStyle name="SAPBEXheaderText" xfId="6399" xr:uid="{6156960B-47ED-4974-8906-1EBC60FFBF94}"/>
    <cellStyle name="SAPBEXheaderText 2" xfId="6400" xr:uid="{8672AF7D-904E-49B7-9B4B-218F092FAE4F}"/>
    <cellStyle name="SAPBEXheaderText 3" xfId="6401" xr:uid="{AB641E91-37D9-4DD6-93C4-B07C0A0DD4A0}"/>
    <cellStyle name="SAPBEXheaderText_1 KeyFig" xfId="6402" xr:uid="{FDC77CE4-FC83-4487-B2D2-B6309E87F1C3}"/>
    <cellStyle name="SAPBEXHLevel0" xfId="6403" xr:uid="{D892619D-E589-4537-AE4F-416620053C2E}"/>
    <cellStyle name="SAPBEXHLevel0 2" xfId="6404" xr:uid="{25267DE6-E38C-4ACA-AA32-C44986CF679A}"/>
    <cellStyle name="SAPBEXHLevel0 2 2" xfId="6405" xr:uid="{A9BFE168-C446-4B19-AB6F-59D06D486DC5}"/>
    <cellStyle name="SAPBEXHLevel0 2_1 KeyFig" xfId="6406" xr:uid="{AEBA06E9-9893-45B4-9F9E-694CB3CC7BB8}"/>
    <cellStyle name="SAPBEXHLevel0 3" xfId="6407" xr:uid="{01072A11-CFAA-40FE-B6B9-1AE9D551FFEA}"/>
    <cellStyle name="SAPBEXHLevel0_1 KeyFig" xfId="6408" xr:uid="{5680D0D9-2BF5-41C4-BED6-D30C43508785}"/>
    <cellStyle name="SAPBEXHLevel0X" xfId="6409" xr:uid="{99327D1A-CE4C-4432-92CC-AFE9CC1BE6E3}"/>
    <cellStyle name="SAPBEXHLevel0X 2" xfId="6410" xr:uid="{705B41A6-506C-41CF-B46B-41AF68DAC14A}"/>
    <cellStyle name="SAPBEXHLevel0X 2 2" xfId="6411" xr:uid="{9BFF8BBE-E81E-4747-9CBC-BD35453A1AF2}"/>
    <cellStyle name="SAPBEXHLevel0X 2_1 KeyFig" xfId="6412" xr:uid="{912E7AC6-69CA-4F02-8B30-4C9021914182}"/>
    <cellStyle name="SAPBEXHLevel0X 3" xfId="6413" xr:uid="{C6C6AF26-38F1-4215-B385-45D2F4B476EF}"/>
    <cellStyle name="SAPBEXHLevel0X_1 KeyFig" xfId="6414" xr:uid="{AD4C94E0-7644-4411-9EC7-0A3BB9E6CE19}"/>
    <cellStyle name="SAPBEXHLevel1" xfId="6415" xr:uid="{E7C908D0-D39A-46F4-9936-67A876757514}"/>
    <cellStyle name="SAPBEXHLevel1 2" xfId="6416" xr:uid="{3CADDEEB-42EE-443C-9B29-173CC3D23A8E}"/>
    <cellStyle name="SAPBEXHLevel1 2 2" xfId="6417" xr:uid="{52B97148-CDB3-4B34-8FD5-A43C91764407}"/>
    <cellStyle name="SAPBEXHLevel1 2_1 KeyFig" xfId="6418" xr:uid="{E4EA5477-E9D4-4B2A-A132-26EC86E4F606}"/>
    <cellStyle name="SAPBEXHLevel1 3" xfId="6419" xr:uid="{2AD4D78F-3988-4DC2-BD63-023D7929841E}"/>
    <cellStyle name="SAPBEXHLevel1_1 KeyFig" xfId="6420" xr:uid="{E2A357B2-D983-49E7-98E6-E7B8779A2A65}"/>
    <cellStyle name="SAPBEXHLevel1X" xfId="6421" xr:uid="{525FF9A9-768A-4D33-851C-304383AFCEF4}"/>
    <cellStyle name="SAPBEXHLevel1X 2" xfId="6422" xr:uid="{B4B2E31B-9257-4082-83BC-68F53B770B6A}"/>
    <cellStyle name="SAPBEXHLevel1X 2 2" xfId="6423" xr:uid="{5EC5A82C-E062-4D10-8719-CBB018653E58}"/>
    <cellStyle name="SAPBEXHLevel1X 2_1 KeyFig" xfId="6424" xr:uid="{DF5D48C3-C247-4EF1-A2E6-E41051D959E9}"/>
    <cellStyle name="SAPBEXHLevel1X 3" xfId="6425" xr:uid="{27403D19-B233-4C1B-96D2-C278187F8DCA}"/>
    <cellStyle name="SAPBEXHLevel1X_1 KeyFig" xfId="6426" xr:uid="{DE72CB4C-C546-4AE4-A8BE-9F7B4B5EE01F}"/>
    <cellStyle name="SAPBEXHLevel2" xfId="6427" xr:uid="{F5D01CA9-C72F-4107-A120-8004C82DFB6F}"/>
    <cellStyle name="SAPBEXHLevel2 2" xfId="6428" xr:uid="{6E22BC68-116B-4063-AB72-18D93C0B0370}"/>
    <cellStyle name="SAPBEXHLevel2 2 2" xfId="6429" xr:uid="{09C275DF-99E2-4183-BD64-0EFF65D222CB}"/>
    <cellStyle name="SAPBEXHLevel2 2_1 KeyFig" xfId="6430" xr:uid="{9AA14973-20B3-4CE9-A00E-8BCD7EFFE427}"/>
    <cellStyle name="SAPBEXHLevel2 3" xfId="6431" xr:uid="{7724CB86-BBEE-4B8A-867E-74094DAD3CAB}"/>
    <cellStyle name="SAPBEXHLevel2_1 KeyFig" xfId="6432" xr:uid="{BCA65DCB-6CC4-4CBF-8FA3-E8F9C933D7D0}"/>
    <cellStyle name="SAPBEXHLevel2X" xfId="6433" xr:uid="{5D8A1D9F-6E66-46AB-89AB-6B243F90B1FF}"/>
    <cellStyle name="SAPBEXHLevel2X 2" xfId="6434" xr:uid="{2A608211-EACD-4305-A626-1D310F921D0D}"/>
    <cellStyle name="SAPBEXHLevel2X 2 2" xfId="6435" xr:uid="{08DAE5A6-27AD-4C20-8F51-6ED69EA4A8CE}"/>
    <cellStyle name="SAPBEXHLevel2X 2_1 KeyFig" xfId="6436" xr:uid="{F6A79210-9CB7-4F10-B14C-FAEDE8B2F378}"/>
    <cellStyle name="SAPBEXHLevel2X 3" xfId="6437" xr:uid="{C8E1B77D-D357-489B-9140-87AA1436C1CB}"/>
    <cellStyle name="SAPBEXHLevel2X_1 KeyFig" xfId="6438" xr:uid="{1A486D42-D12B-4730-A4D8-08A12B17527D}"/>
    <cellStyle name="SAPBEXHLevel3" xfId="6439" xr:uid="{E8CDFF73-592D-4943-891C-BEFCBF6C0C8E}"/>
    <cellStyle name="SAPBEXHLevel3 2" xfId="6440" xr:uid="{CCA11B65-C4B9-4666-8186-676A82DC257E}"/>
    <cellStyle name="SAPBEXHLevel3 2 2" xfId="6441" xr:uid="{7D25EBC1-4113-45F4-BB0E-182306FE7807}"/>
    <cellStyle name="SAPBEXHLevel3 2_1 KeyFig" xfId="6442" xr:uid="{FD884011-8FB9-4069-BD3F-9A0167B79A03}"/>
    <cellStyle name="SAPBEXHLevel3 3" xfId="6443" xr:uid="{868168AC-05D8-4167-BAC2-A6C8781387D6}"/>
    <cellStyle name="SAPBEXHLevel3_1 KeyFig" xfId="6444" xr:uid="{156C54B9-7443-46F8-B311-570B2DB218FE}"/>
    <cellStyle name="SAPBEXHLevel3X" xfId="6445" xr:uid="{7206C462-69E8-471E-BFE5-75164FEFE075}"/>
    <cellStyle name="SAPBEXHLevel3X 2" xfId="6446" xr:uid="{BC3B35CD-7595-4B20-8C2F-1B79A2FCA7D0}"/>
    <cellStyle name="SAPBEXHLevel3X 2 2" xfId="6447" xr:uid="{8C5B8A3E-1D48-4CA3-886E-611F0E68F6B2}"/>
    <cellStyle name="SAPBEXHLevel3X 2_1 KeyFig" xfId="6448" xr:uid="{D2DC2900-590D-477A-8E24-F8D54A6A8ECB}"/>
    <cellStyle name="SAPBEXHLevel3X 3" xfId="6449" xr:uid="{175E0DF9-8084-496D-BC8E-8DD6E848B313}"/>
    <cellStyle name="SAPBEXHLevel3X_1 KeyFig" xfId="6450" xr:uid="{6E9FB0F7-E8B5-40ED-8B2C-15DAC2267775}"/>
    <cellStyle name="SAPBEXinputData" xfId="6451" xr:uid="{29493D1D-FAFB-4F9D-85FA-1F1DA53DF507}"/>
    <cellStyle name="SAPBEXinputData 2" xfId="6452" xr:uid="{F3ABDCE1-5262-4565-BDBD-7EA27AA848FB}"/>
    <cellStyle name="SAPBEXinputData 2 2" xfId="6453" xr:uid="{11FB7731-D150-4E7C-BE93-6C87ABC795D1}"/>
    <cellStyle name="SAPBEXinputData 2_1 KeyFig" xfId="6454" xr:uid="{4D52FFE4-CED0-403A-98B9-C6EEB3EBF78D}"/>
    <cellStyle name="SAPBEXinputData 3" xfId="6455" xr:uid="{9C6FFFFB-961E-42CA-8B6E-A498F07480BB}"/>
    <cellStyle name="SAPBEXinputData 4" xfId="6456" xr:uid="{F78148ED-7AFB-439A-A419-36C08F911081}"/>
    <cellStyle name="SAPBEXinputData 5" xfId="6457" xr:uid="{F6D15ABC-683D-4172-A7C1-6B1C51DB672A}"/>
    <cellStyle name="SAPBEXinputData_1 KeyFig" xfId="6458" xr:uid="{C5619639-6813-4EB4-A238-9ABA111EF37F}"/>
    <cellStyle name="SAPBEXresData" xfId="6459" xr:uid="{64A86EB0-7873-4131-9F85-18B867267584}"/>
    <cellStyle name="SAPBEXresData 2" xfId="6460" xr:uid="{748FDA6D-C772-4BB2-BF76-32D42DE82BFE}"/>
    <cellStyle name="SAPBEXresData 3" xfId="6461" xr:uid="{D174BCF4-27A5-4F9E-A599-A0C378837474}"/>
    <cellStyle name="SAPBEXresData_1 KeyFig" xfId="6462" xr:uid="{710EB0C7-FF5C-4BB4-A32C-9E23D16416C4}"/>
    <cellStyle name="SAPBEXresDataEmph" xfId="6463" xr:uid="{F7154A0A-A924-401C-A6F8-20554489D6D3}"/>
    <cellStyle name="SAPBEXresDataEmph 2" xfId="6464" xr:uid="{CFF4EBA3-9679-4976-A7A1-F4861C9ECEFB}"/>
    <cellStyle name="SAPBEXresDataEmph 3" xfId="6465" xr:uid="{A1140C72-7272-4C47-B470-968353535C75}"/>
    <cellStyle name="SAPBEXresDataEmph_1 KeyFig" xfId="6466" xr:uid="{D9C9442B-AC40-4859-A858-6967FC0CA7BB}"/>
    <cellStyle name="SAPBEXresItem" xfId="6467" xr:uid="{43D2A022-8348-4AF8-8E24-5054BBDB94D8}"/>
    <cellStyle name="SAPBEXresItem 2" xfId="6468" xr:uid="{FE38C503-C9D6-47DA-8311-11C756D08779}"/>
    <cellStyle name="SAPBEXresItem 3" xfId="6469" xr:uid="{516614FA-F4E4-40C6-A4B0-1749ECA60FBD}"/>
    <cellStyle name="SAPBEXresItem_1 KeyFig" xfId="6470" xr:uid="{F2F34E46-82BC-4F49-A778-C6534A8E4589}"/>
    <cellStyle name="SAPBEXresItemX" xfId="6471" xr:uid="{5873024D-A03E-4B92-BE21-C21DCE8C6E6E}"/>
    <cellStyle name="SAPBEXresItemX 2" xfId="6472" xr:uid="{47403875-F71A-46CE-93C2-7BD5D95EFE98}"/>
    <cellStyle name="SAPBEXresItemX 3" xfId="6473" xr:uid="{5CBD2BB7-B903-4188-81E7-75471BFCB740}"/>
    <cellStyle name="SAPBEXresItemX_1 KeyFig" xfId="6474" xr:uid="{534A4B8C-4DEE-4AE7-A1EB-459147393E4F}"/>
    <cellStyle name="SAPBEXstdData" xfId="6475" xr:uid="{06F12AB4-2891-4EB4-843A-57CBD87C2B6E}"/>
    <cellStyle name="SAPBEXstdDataEmph" xfId="6476" xr:uid="{9D436B4F-6523-4ADF-8C97-7E637F8B5A43}"/>
    <cellStyle name="SAPBEXstdItem" xfId="6477" xr:uid="{8411365F-7204-447A-AD2B-DB08B4E91713}"/>
    <cellStyle name="SAPBEXstdItemX" xfId="6478" xr:uid="{04F245FE-5F38-462C-A2A2-FF6AED6880C4}"/>
    <cellStyle name="SAPBEXstdItemX 2" xfId="6479" xr:uid="{ABFEA7EB-AE95-4BBD-8275-BC0879B065D8}"/>
    <cellStyle name="SAPBEXstdItemX 3" xfId="6480" xr:uid="{97555922-C5F2-4766-8C94-69D816B9D2B7}"/>
    <cellStyle name="SAPBEXstdItemX_1 KeyFig" xfId="6481" xr:uid="{DADC8F9A-94A5-465B-B544-A7AB4974EEDB}"/>
    <cellStyle name="SAPBEXtitle" xfId="6482" xr:uid="{1FB03AC9-4DFB-43C2-A3B6-5F6311E355FE}"/>
    <cellStyle name="SAPBEXundefined" xfId="6483" xr:uid="{30A48AE4-D0F6-44A1-94D7-A544895CC3C0}"/>
    <cellStyle name="SAPBorder" xfId="6484" xr:uid="{934500D0-4E8C-4836-992B-EFAEAD06E25C}"/>
    <cellStyle name="SAPDataCell" xfId="6485" xr:uid="{204B1B0F-420E-41FB-897E-D8A33B6BD32B}"/>
    <cellStyle name="SAPDataTotalCell" xfId="6486" xr:uid="{B714BFFC-C0B7-43F6-946A-2C016E328A46}"/>
    <cellStyle name="SAPDimensionCell" xfId="6487" xr:uid="{19D45C0E-AF8A-44A6-BD63-EB41D3227467}"/>
    <cellStyle name="SAPEditableDataCell" xfId="6488" xr:uid="{F2BBFAC0-F704-43FC-A0EA-AD115CF54703}"/>
    <cellStyle name="SAPEditableDataTotalCell" xfId="6489" xr:uid="{179ECE29-6874-4231-B372-824B83F827EE}"/>
    <cellStyle name="SAPEmphasized" xfId="6490" xr:uid="{2A0ADF5F-90E9-468C-9CE4-EC07B4C49B09}"/>
    <cellStyle name="SAPEmphasizedEditableDataCell" xfId="6491" xr:uid="{BAFA84BA-7438-43D8-A5BE-A10D83A29422}"/>
    <cellStyle name="SAPEmphasizedEditableDataTotalCell" xfId="6492" xr:uid="{6444FD1C-E537-45A6-9FAB-5ED273863834}"/>
    <cellStyle name="SAPEmphasizedLockedDataCell" xfId="6493" xr:uid="{F82F78D5-AD68-4BC7-B627-AA370BB79DBF}"/>
    <cellStyle name="SAPEmphasizedLockedDataTotalCell" xfId="6494" xr:uid="{5588C977-3028-4BBB-9D29-D7C95D89EB75}"/>
    <cellStyle name="SAPEmphasizedReadonlyDataCell" xfId="6495" xr:uid="{A6878DE9-0BF3-4472-98C9-DF81410A64FC}"/>
    <cellStyle name="SAPEmphasizedReadonlyDataTotalCell" xfId="6496" xr:uid="{F34C809B-88C1-4B79-AC61-28ECA2BB3407}"/>
    <cellStyle name="SAPEmphasizedTotal" xfId="6497" xr:uid="{F95E59F4-F059-41D2-BA85-8D38A94F1606}"/>
    <cellStyle name="SAPExceptionLevel1" xfId="6498" xr:uid="{5FA82860-E0FC-4930-91F9-0CCAFF0CEBA8}"/>
    <cellStyle name="SAPExceptionLevel2" xfId="6499" xr:uid="{C508AEFE-AF52-496A-BD43-8D5CB8FD8EA7}"/>
    <cellStyle name="SAPExceptionLevel3" xfId="6500" xr:uid="{18303294-0711-4011-82A5-66F9E55C23ED}"/>
    <cellStyle name="SAPExceptionLevel4" xfId="6501" xr:uid="{83295C72-A0D8-4A8C-8C3D-B68700863AEB}"/>
    <cellStyle name="SAPExceptionLevel5" xfId="6502" xr:uid="{468F0AB3-7278-46C2-912B-1C7BCFD63F97}"/>
    <cellStyle name="SAPExceptionLevel6" xfId="6503" xr:uid="{D373BB06-B53A-4E26-A7A5-B6DCA5B0EE8E}"/>
    <cellStyle name="SAPExceptionLevel7" xfId="6504" xr:uid="{BA2B7BA6-56DC-44E8-A369-B1D281D0B023}"/>
    <cellStyle name="SAPExceptionLevel8" xfId="6505" xr:uid="{9A0864C6-2805-4321-A589-45AE0868385E}"/>
    <cellStyle name="SAPExceptionLevel9" xfId="6506" xr:uid="{E89C70A2-3E7E-4D51-B348-B409311BDB56}"/>
    <cellStyle name="SAPHierarchyCell0" xfId="6507" xr:uid="{7BBDD294-90D5-485F-903A-0CB1D0BBB7B3}"/>
    <cellStyle name="SAPHierarchyCell1" xfId="6508" xr:uid="{E397162A-C2BE-48B5-87E1-97FE7F1F76A7}"/>
    <cellStyle name="SAPHierarchyCell2" xfId="6509" xr:uid="{85000FDB-A654-4AB2-BF58-7AD14530E95D}"/>
    <cellStyle name="SAPHierarchyCell3" xfId="6510" xr:uid="{E75F0227-EA4B-4E6D-B152-8F8B511BE638}"/>
    <cellStyle name="SAPHierarchyCell4" xfId="6511" xr:uid="{21091856-0658-4E27-91F2-BD53691514B9}"/>
    <cellStyle name="SAPLockedDataCell" xfId="6512" xr:uid="{10966077-B268-4D1B-971A-B6D6BAB5E828}"/>
    <cellStyle name="SAPLockedDataTotalCell" xfId="6513" xr:uid="{BBF49C47-9A17-46D1-B52A-81ACE94E8427}"/>
    <cellStyle name="SAPMemberCell" xfId="6514" xr:uid="{08DE3627-9B9A-4A37-88D8-2E81E637ACB1}"/>
    <cellStyle name="SAPMemberTotalCell" xfId="6515" xr:uid="{40A694DF-CFAB-413B-8C93-8D92068F606A}"/>
    <cellStyle name="SAPReadonlyDataCell" xfId="6516" xr:uid="{8B835371-72C7-4CDC-9A9F-4F5A2505FAD0}"/>
    <cellStyle name="SAPReadonlyDataTotalCell" xfId="6517" xr:uid="{213F5FAC-0248-4A68-89DA-16E9DD45C3F7}"/>
    <cellStyle name="Satisfaisant" xfId="6518" xr:uid="{8E856DF0-E629-4D99-822F-22A67FE408A4}"/>
    <cellStyle name="Sheet Title" xfId="6519" xr:uid="{9A511466-08A0-4696-AD36-46C5B2D12DD9}"/>
    <cellStyle name="Sheet Title 2" xfId="6520" xr:uid="{66AA5B31-9179-436A-9816-652325C6CAF8}"/>
    <cellStyle name="Sheet Title 3" xfId="6521" xr:uid="{1A22F241-D58E-4C9C-8CBE-E8ACDC9CA373}"/>
    <cellStyle name="Sheet Title_1 KeyFig" xfId="6522" xr:uid="{3A627E55-E3B2-4C29-B5F2-BE79CD0A397D}"/>
    <cellStyle name="small" xfId="6523" xr:uid="{73E2547B-C91C-4084-ABC8-7027A0C1B3EC}"/>
    <cellStyle name="Sortie" xfId="6524" xr:uid="{F7BB3A2B-B0AE-467E-8B13-57F99DB00470}"/>
    <cellStyle name="Standard_2_2sei" xfId="6525" xr:uid="{E84DE9EC-CF50-4966-92F9-2E857D81DD3F}"/>
    <cellStyle name="Style 1" xfId="6526" xr:uid="{BF0B542E-E06B-48E9-BB7A-195E46B8E238}"/>
    <cellStyle name="Style 1 2" xfId="6527" xr:uid="{03661CE8-5F22-4544-9ACC-3DC08DD73C3C}"/>
    <cellStyle name="Style 1 2 2" xfId="6528" xr:uid="{4B0873EC-7325-4D49-81FD-B295CADAD1DA}"/>
    <cellStyle name="Style 1 2 2 2" xfId="6529" xr:uid="{78238958-C25F-4F59-B975-FB3061CF3195}"/>
    <cellStyle name="Style 1 2 2_1 KeyFig" xfId="6530" xr:uid="{A6CE0817-8159-4B0C-A83A-825135AF4F09}"/>
    <cellStyle name="Style 1 2 3" xfId="6531" xr:uid="{C456B087-1A4C-4181-96B6-915473B32252}"/>
    <cellStyle name="Style 1 2_1 KeyFig" xfId="6532" xr:uid="{D1F59493-8E24-4B34-8102-2D474B8820EE}"/>
    <cellStyle name="Style 1 3" xfId="6533" xr:uid="{9725049D-15E3-4F3B-93E9-A9EC8AE610CB}"/>
    <cellStyle name="Style 1 3 2" xfId="6534" xr:uid="{E32474F8-D6A3-46A4-8B0D-C804A71BC479}"/>
    <cellStyle name="Style 1 3 2 2" xfId="6535" xr:uid="{60B6A446-B014-46B9-A189-55574F98B2BD}"/>
    <cellStyle name="Style 1 3 2_1 KeyFig" xfId="6536" xr:uid="{060E4C5D-D9C7-4673-9543-027597CAE8BC}"/>
    <cellStyle name="Style 1 3 3" xfId="6537" xr:uid="{7FADBBED-7725-46E2-88EB-855C109B771E}"/>
    <cellStyle name="Style 1 3_1 KeyFig" xfId="6538" xr:uid="{75A3C935-FA95-4FCC-83B0-A105A12C941E}"/>
    <cellStyle name="Style 1 4" xfId="6539" xr:uid="{67126E74-7FAC-4E49-8FB4-9241BA0DA5AF}"/>
    <cellStyle name="Style 1 4 2" xfId="6540" xr:uid="{073CAC82-1FEA-47D7-8838-22F92A36951F}"/>
    <cellStyle name="Style 1 4_1 KeyFig" xfId="6541" xr:uid="{7C075EF6-D4B5-43CF-81F2-C58B7406CA45}"/>
    <cellStyle name="Style 1_1 KeyFig" xfId="6542" xr:uid="{6A82EC6A-1BE4-4BDB-B4C0-A1BF5040FEDA}"/>
    <cellStyle name="Subtotal" xfId="6543" xr:uid="{6C9D8C98-99C1-42A6-AFDE-C5426912E79D}"/>
    <cellStyle name="Summa" xfId="6544" xr:uid="{A64D0A1F-D3E3-4FA2-B7E2-8E99353C019F}"/>
    <cellStyle name="Summa 1 låst" xfId="6545" xr:uid="{6A8B7B35-6581-4268-8CBE-7F4132C7E3EC}"/>
    <cellStyle name="Summa 2" xfId="6546" xr:uid="{EAC312EA-AFB7-4DA5-9389-E48DFEC24D4E}"/>
    <cellStyle name="Summa 3" xfId="6547" xr:uid="{E3DB0A57-5644-490D-A532-E8920F64A7A1}"/>
    <cellStyle name="Summa_1 KeyFig" xfId="6548" xr:uid="{F7231F93-0486-4F44-A5E1-5A7B003ED806}"/>
    <cellStyle name="Summa1 låst" xfId="6549" xr:uid="{D7917CC2-1F4F-4887-97C9-382960A05FEB}"/>
    <cellStyle name="Summa1 låst 2" xfId="6550" xr:uid="{B156EC02-E626-44C2-99DB-ED49574DF418}"/>
    <cellStyle name="Summa1 låst_Balance Sheet" xfId="6551" xr:uid="{593847DC-0B50-4C25-B205-0126B24018B0}"/>
    <cellStyle name="SumRow" xfId="6552" xr:uid="{7BBDA305-412D-4868-A530-965CB2691709}"/>
    <cellStyle name="Tal" xfId="6553" xr:uid="{B9816F3E-74EB-4CD3-8AB9-E1D3FC6D642C}"/>
    <cellStyle name="Tal 2" xfId="6554" xr:uid="{AF494755-F4F6-481E-9C61-80329D47B32C}"/>
    <cellStyle name="Tal 3" xfId="6555" xr:uid="{A600A834-B428-4D24-8EBC-8137B8EE9701}"/>
    <cellStyle name="Tal_1 KeyFig" xfId="6556" xr:uid="{A4ABDE0B-1862-4AAC-B69A-052EEDBFEF9E}"/>
    <cellStyle name="Text" xfId="6557" xr:uid="{DBC6BF98-A193-45D9-A664-AD8089A8941E}"/>
    <cellStyle name="Text 10" xfId="6558" xr:uid="{4825F59F-2B4F-4304-80ED-C9BFB4C13D74}"/>
    <cellStyle name="Text 12" xfId="6559" xr:uid="{CB8D5168-2482-48F7-95D7-1AE28B191A1C}"/>
    <cellStyle name="Text 2" xfId="6560" xr:uid="{BF4975E1-E4B6-453A-AE7A-89918869E3EE}"/>
    <cellStyle name="Text 2 2" xfId="6561" xr:uid="{473356D1-4E7B-484E-A397-9502D623C074}"/>
    <cellStyle name="Text 2_1 KeyFig" xfId="6562" xr:uid="{8F7D6ADE-8E43-49A1-A4A6-CD9221E616CE}"/>
    <cellStyle name="Text 3" xfId="6563" xr:uid="{E721E7B6-A0FE-41B0-9EC2-9E7B1895435F}"/>
    <cellStyle name="Text 3 2" xfId="6564" xr:uid="{F8DDAD4F-7325-4FE3-843B-5B8080C7E041}"/>
    <cellStyle name="Text 3_1 KeyFig" xfId="6565" xr:uid="{C94BC6D5-E8D8-41D5-91B3-F0BA298769FD}"/>
    <cellStyle name="Text 4" xfId="6566" xr:uid="{BCDD0084-D476-47A6-A73F-2F80FA9D3B3E}"/>
    <cellStyle name="Text 5" xfId="6567" xr:uid="{6F6DCC33-8804-4ADE-9E34-86D40C87731C}"/>
    <cellStyle name="Text 6" xfId="6568" xr:uid="{15970948-B70B-4473-A164-B558AFD279B5}"/>
    <cellStyle name="Text 7" xfId="6569" xr:uid="{14E366BB-C554-4F94-BE3D-BC5DBC9A72AA}"/>
    <cellStyle name="Text 7 2" xfId="6570" xr:uid="{D2FE8A96-4BAD-46E4-9C01-5F48C6F96CA1}"/>
    <cellStyle name="Text 7 2 2" xfId="6571" xr:uid="{6BD7F101-0DC9-41D9-A5F5-CB5BE0C69AA9}"/>
    <cellStyle name="Text 7 2_1 KeyFig" xfId="6572" xr:uid="{C2425C88-5782-4DEC-AEF9-540A92E86E44}"/>
    <cellStyle name="Text 7_1 KeyFig" xfId="6573" xr:uid="{C94C2D8F-B2B0-4DEC-A7BB-372C5B293C86}"/>
    <cellStyle name="Text 8" xfId="6574" xr:uid="{6FCF5A22-1EAD-4B31-8D3F-75FFC05BEAC7}"/>
    <cellStyle name="Text 9" xfId="6575" xr:uid="{E00212AE-C199-4EF4-8521-06AF4B887807}"/>
    <cellStyle name="Text_1 KeyFig" xfId="6576" xr:uid="{9931C701-D23C-436B-B76F-8B6E2CC883ED}"/>
    <cellStyle name="Texte explicatif" xfId="6577" xr:uid="{97D3E4B7-B5C3-4B1E-A72F-3A8ABCAD8F8E}"/>
    <cellStyle name="Textrubrik" xfId="6578" xr:uid="{42607B9A-E1FF-4E46-94DF-D987ACD41591}"/>
    <cellStyle name="Textrubrik 2" xfId="6579" xr:uid="{02F17923-36DC-4560-A8D9-4D7573477D10}"/>
    <cellStyle name="Textrubrik 3" xfId="6580" xr:uid="{4099B75C-28CC-476B-9988-43EB66C3D554}"/>
    <cellStyle name="Textrubrik_1 KeyFig" xfId="6581" xr:uid="{FC85468B-742F-48A4-8395-9206829B42BB}"/>
    <cellStyle name="Title 10" xfId="6582" xr:uid="{2C85DF61-0976-4BDC-B716-853A37AECDE6}"/>
    <cellStyle name="Title 11" xfId="6583" xr:uid="{D521EB16-432F-4B25-BBFE-81E8A5FAD601}"/>
    <cellStyle name="Title 12" xfId="6584" xr:uid="{7683C14D-EF69-4434-99B6-A88F46F15C58}"/>
    <cellStyle name="Title 13" xfId="6585" xr:uid="{AC35FBB8-484E-4FA5-9091-7A971AA69B72}"/>
    <cellStyle name="Title 2" xfId="6586" xr:uid="{F1CD176C-E37D-467C-9BCF-E886CD1A0256}"/>
    <cellStyle name="Title 2 10" xfId="6587" xr:uid="{A6BF19B3-C2BE-4AD2-B5E2-7A155A87D8D0}"/>
    <cellStyle name="Title 2 11" xfId="6588" xr:uid="{91773855-80C1-4122-B4B6-4199E9B0C77A}"/>
    <cellStyle name="Title 2 12" xfId="6589" xr:uid="{5259E704-E927-4357-8742-CEB697F3B2CB}"/>
    <cellStyle name="Title 2 13" xfId="6590" xr:uid="{D8B6BE14-E22C-4A8C-A1F7-F7A689A1F270}"/>
    <cellStyle name="Title 2 14" xfId="6591" xr:uid="{3A77DD10-B0BB-4D0B-AB73-60A1F5EFF6CC}"/>
    <cellStyle name="Title 2 15" xfId="6592" xr:uid="{BEBDD125-496A-43B0-88F2-6DDCF6DD72F2}"/>
    <cellStyle name="Title 2 2" xfId="6593" xr:uid="{6F7773DF-D270-4C1A-8027-58AF2FB89915}"/>
    <cellStyle name="Title 2 2 10" xfId="6594" xr:uid="{120300B9-730A-48F4-98B8-69D91BA65B65}"/>
    <cellStyle name="Title 2 2 11" xfId="6595" xr:uid="{3DE4A0AA-1C22-4C58-AEC6-D61234683948}"/>
    <cellStyle name="Title 2 2 12" xfId="6596" xr:uid="{9900C6D1-4D17-4110-B920-8E45BEAD7B29}"/>
    <cellStyle name="Title 2 2 2" xfId="6597" xr:uid="{09F13D3F-0D1F-4880-9A61-FB6572A35D77}"/>
    <cellStyle name="Title 2 2 3" xfId="6598" xr:uid="{6BAAB033-51E7-41CF-BE3A-F0EF5F660FDB}"/>
    <cellStyle name="Title 2 2 4" xfId="6599" xr:uid="{615D136D-5256-4337-BDA9-2D57AEC16491}"/>
    <cellStyle name="Title 2 2 5" xfId="6600" xr:uid="{C0BE1E0D-FF5C-4D64-8ACD-B3B02479EF30}"/>
    <cellStyle name="Title 2 2 6" xfId="6601" xr:uid="{81149088-F7EC-4F2D-B7E1-02879F8D5EA1}"/>
    <cellStyle name="Title 2 2 7" xfId="6602" xr:uid="{1BC1FE0B-EA1D-4C26-9167-4C96A4BD8985}"/>
    <cellStyle name="Title 2 2 8" xfId="6603" xr:uid="{387C3B22-53FE-4548-B0B1-A99210E65FBF}"/>
    <cellStyle name="Title 2 2 9" xfId="6604" xr:uid="{66200A74-199D-45B8-8BBA-3DC292BB5002}"/>
    <cellStyle name="Title 2 2_1 KeyFig" xfId="6605" xr:uid="{1ABA02CC-DAD8-4DEA-8094-BB1576A443C1}"/>
    <cellStyle name="Title 2 3" xfId="6606" xr:uid="{B186D67A-0771-46B2-9FE6-4B7C8290DD19}"/>
    <cellStyle name="Title 2 4" xfId="6607" xr:uid="{64D4015B-F38C-46F3-8B15-56774311C76C}"/>
    <cellStyle name="Title 2 5" xfId="6608" xr:uid="{B21FA726-E0BE-40D1-873B-C36178621655}"/>
    <cellStyle name="Title 2 6" xfId="6609" xr:uid="{7E8953DD-4629-414F-BC92-8B733EB445EF}"/>
    <cellStyle name="Title 2 7" xfId="6610" xr:uid="{9C75D9DE-6828-4707-A77F-56AE5DE71DA1}"/>
    <cellStyle name="Title 2 8" xfId="6611" xr:uid="{D187E35C-67EF-4331-B2ED-4276D366E0C6}"/>
    <cellStyle name="Title 2 9" xfId="6612" xr:uid="{A4555DD7-57A8-4613-B100-5D718E542E33}"/>
    <cellStyle name="Title 2_1 KeyFig" xfId="6613" xr:uid="{57B11F82-53CB-42B5-AC3E-EA3F24B5CAA4}"/>
    <cellStyle name="Title 3" xfId="6614" xr:uid="{CBA29BC6-13B6-4257-A2EF-F285148B52BE}"/>
    <cellStyle name="Title 3 2" xfId="6615" xr:uid="{D864D9F2-4FB0-4940-9ED0-65D20DEF3379}"/>
    <cellStyle name="Title 3 3" xfId="6616" xr:uid="{D7CFBB6A-0BC6-4926-851A-83ADD42A7914}"/>
    <cellStyle name="Title 3 4" xfId="6617" xr:uid="{FD547FD6-7261-4EF5-AB66-6AF3ABCE5B6E}"/>
    <cellStyle name="Title 3_1 KeyFig" xfId="6618" xr:uid="{CF3E4ACE-9D0F-4901-AA47-75A5EDFF4645}"/>
    <cellStyle name="Title 4" xfId="6619" xr:uid="{C6EC96DD-94B2-4111-9548-8E77B9F1F2E6}"/>
    <cellStyle name="Title 4 2" xfId="6620" xr:uid="{761F643B-2367-4D58-8919-2C56878AE42A}"/>
    <cellStyle name="Title 4_1 KeyFig" xfId="6621" xr:uid="{57F3158B-A8EC-4995-8A5D-2D43E5736E7B}"/>
    <cellStyle name="Title 5" xfId="6622" xr:uid="{138B2FAE-F9CD-4518-91AF-80ECEE929988}"/>
    <cellStyle name="Title 6" xfId="6623" xr:uid="{FD343D58-1F26-451E-9F5C-E7ADB0BC3CA8}"/>
    <cellStyle name="Title 7" xfId="6624" xr:uid="{0C4A97E1-836D-4754-9436-F3EA5F810129}"/>
    <cellStyle name="Title 8" xfId="6625" xr:uid="{7B94D32C-09F7-4444-8149-D39E26FC47EA}"/>
    <cellStyle name="Title 9" xfId="6626" xr:uid="{B7C4E5A0-03CD-4459-A0FB-50150B617225}"/>
    <cellStyle name="Titre" xfId="6627" xr:uid="{1FB966F1-E56A-4612-8E49-16D72749BC8C}"/>
    <cellStyle name="Titre 1" xfId="6628" xr:uid="{9FA0DCB8-B612-4534-B087-FFA391F4F741}"/>
    <cellStyle name="Titre 2" xfId="6629" xr:uid="{03BA1332-07A1-47F2-B895-EB995DBD2E4C}"/>
    <cellStyle name="Titre 3" xfId="6630" xr:uid="{66C1AB12-4448-47F0-AC62-C027CCB8F6C7}"/>
    <cellStyle name="Titre 4" xfId="6631" xr:uid="{5041FC35-3F4C-43B7-A6D3-3233B96F64E8}"/>
    <cellStyle name="Titre_1 KeyFig" xfId="6632" xr:uid="{A3FA2972-9BF9-4067-9C31-58323733B5CD}"/>
    <cellStyle name="top" xfId="6633" xr:uid="{E6A2EC40-B718-402E-9B7D-0CD8BC44F683}"/>
    <cellStyle name="Total 10" xfId="6634" xr:uid="{73CB8696-6691-46D0-9E3A-3AED6595572B}"/>
    <cellStyle name="Total 11" xfId="6635" xr:uid="{C670B830-3C09-404B-AABE-4591D753BC13}"/>
    <cellStyle name="Total 12" xfId="6636" xr:uid="{309F1D9E-126D-4720-8B41-3550970DB673}"/>
    <cellStyle name="Total 13" xfId="6637" xr:uid="{9385F5EE-3701-4707-A99B-B67AB7A670D8}"/>
    <cellStyle name="Total 2" xfId="6638" xr:uid="{E4B2FF50-8BB5-4529-970A-DC7E3862B797}"/>
    <cellStyle name="Total 2 10" xfId="6639" xr:uid="{26B22DD2-05D9-4F34-8869-B915893C5894}"/>
    <cellStyle name="Total 2 11" xfId="6640" xr:uid="{3D408327-2DCA-4572-AA39-B2EDB370EA7B}"/>
    <cellStyle name="Total 2 12" xfId="6641" xr:uid="{519B36AA-96CD-4098-AC4A-1BC42914B572}"/>
    <cellStyle name="Total 2 13" xfId="6642" xr:uid="{7DCED424-59E7-4B0C-A9DD-1D720870F9D4}"/>
    <cellStyle name="Total 2 14" xfId="6643" xr:uid="{718A57FB-B5A0-4941-B5D6-480BA772E462}"/>
    <cellStyle name="Total 2 15" xfId="6644" xr:uid="{7247C9C7-D9D7-4DB4-9835-B6ADD08F1159}"/>
    <cellStyle name="Total 2 16" xfId="6645" xr:uid="{43DFD268-E84A-4643-931C-BA4A965C0AE1}"/>
    <cellStyle name="Total 2 2" xfId="6646" xr:uid="{23687296-3C36-47E5-8DE2-360935D2F5BC}"/>
    <cellStyle name="Total 2 2 10" xfId="6647" xr:uid="{979C7D49-C9CC-4A88-B808-857B91915538}"/>
    <cellStyle name="Total 2 2 11" xfId="6648" xr:uid="{0FA768A1-67A3-425E-B502-040A8B0A8F59}"/>
    <cellStyle name="Total 2 2 12" xfId="6649" xr:uid="{62AFF50F-0ABC-4AB7-90F6-0EDDB01C8376}"/>
    <cellStyle name="Total 2 2 13" xfId="6650" xr:uid="{B8437663-B556-4332-B775-B95E5DEA9019}"/>
    <cellStyle name="Total 2 2 14" xfId="6651" xr:uid="{AF0F59D1-87EA-4AAE-A62D-14C440288479}"/>
    <cellStyle name="Total 2 2 15" xfId="6652" xr:uid="{49A26DB0-849C-4034-94ED-E0661AAE474E}"/>
    <cellStyle name="Total 2 2 2" xfId="6653" xr:uid="{2D88F0A2-4578-4E8D-A680-8A4E83F8F00C}"/>
    <cellStyle name="Total 2 2 2 2" xfId="6654" xr:uid="{7AA28A80-01BB-49EA-A18A-2EAD87AAA8E3}"/>
    <cellStyle name="Total 2 2 2_1 KeyFig" xfId="6655" xr:uid="{B9455042-46F7-4BE5-8286-C46D5D5B3B02}"/>
    <cellStyle name="Total 2 2 3" xfId="6656" xr:uid="{0E7228D0-E6DD-4E91-B822-B8DF5C70E612}"/>
    <cellStyle name="Total 2 2 4" xfId="6657" xr:uid="{4D72B472-FEC6-454C-A108-18CB4524863A}"/>
    <cellStyle name="Total 2 2 5" xfId="6658" xr:uid="{E43B9E51-4A29-4929-B356-21169F521233}"/>
    <cellStyle name="Total 2 2 6" xfId="6659" xr:uid="{4482919B-DB88-47E4-BB63-EC0BFEB15C62}"/>
    <cellStyle name="Total 2 2 7" xfId="6660" xr:uid="{86D8414B-27D2-4F12-B6CE-F524ACBF51CD}"/>
    <cellStyle name="Total 2 2 8" xfId="6661" xr:uid="{3D74E85D-1B69-4B3C-9948-C9496F836E8F}"/>
    <cellStyle name="Total 2 2 9" xfId="6662" xr:uid="{11B11D06-6A40-4DFA-BAEB-56AC9B39A059}"/>
    <cellStyle name="Total 2 2_1 KeyFig" xfId="6663" xr:uid="{9FCEEF8A-9AC0-49FC-BC6C-A3F47B6EC5A1}"/>
    <cellStyle name="Total 2 3" xfId="6664" xr:uid="{E61CF0A6-8E4D-4FB1-8189-BCB2686098D3}"/>
    <cellStyle name="Total 2 3 2" xfId="6665" xr:uid="{1F070A36-6841-4C1C-B336-A68FC0C1316E}"/>
    <cellStyle name="Total 2 3_1 KeyFig" xfId="6666" xr:uid="{AB43699C-6CA0-49A6-9022-066EA80E4590}"/>
    <cellStyle name="Total 2 4" xfId="6667" xr:uid="{E931B3E0-8770-4C51-A6A9-5552B640EFF0}"/>
    <cellStyle name="Total 2 4 2" xfId="6668" xr:uid="{729019ED-C0FF-434F-8AD3-AC3AF839E9C0}"/>
    <cellStyle name="Total 2 4_1 KeyFig" xfId="6669" xr:uid="{E4147A67-3D9C-41FD-8671-70DBF04B1639}"/>
    <cellStyle name="Total 2 5" xfId="6670" xr:uid="{E5565927-4A8A-4CF6-B141-9509D63D5043}"/>
    <cellStyle name="Total 2 6" xfId="6671" xr:uid="{AA64120E-2B76-48CB-B498-192C2B881D66}"/>
    <cellStyle name="Total 2 7" xfId="6672" xr:uid="{821A92CC-5734-49C2-B03E-B5D897FC3398}"/>
    <cellStyle name="Total 2 8" xfId="6673" xr:uid="{87AC79C5-F38D-4942-B58F-39733F8D0E0A}"/>
    <cellStyle name="Total 2 8 2" xfId="6674" xr:uid="{C7ACBA73-2423-4834-9BB4-3AAE035C302B}"/>
    <cellStyle name="Total 2 8_1 KeyFig" xfId="6675" xr:uid="{F925355A-8C1D-4488-B8C9-9F7E6EA71586}"/>
    <cellStyle name="Total 2 9" xfId="6676" xr:uid="{8700462C-C8DF-4967-ACFD-B70CDDD6C5F3}"/>
    <cellStyle name="Total 2_1 KeyFig" xfId="6677" xr:uid="{CC69A803-310F-4821-A6B0-58A1E9544587}"/>
    <cellStyle name="Total 3" xfId="6678" xr:uid="{26E2C7FD-9E71-4830-99D1-2457798FFB3C}"/>
    <cellStyle name="Total 3 10" xfId="6679" xr:uid="{452677F3-5FEE-4987-B543-D03720AD0AC0}"/>
    <cellStyle name="Total 3 2" xfId="6680" xr:uid="{F5434586-51FB-483A-B86F-DF5DF5B7F53D}"/>
    <cellStyle name="Total 3 2 2" xfId="6681" xr:uid="{465B6B6F-7C98-410A-A63E-532E6FF6C9D6}"/>
    <cellStyle name="Total 3 2 3" xfId="6682" xr:uid="{62D0841B-A0CA-4CCD-9751-8D2DFE824A30}"/>
    <cellStyle name="Total 3 2_1 KeyFig" xfId="6683" xr:uid="{07076BDF-0E83-434A-95DD-8799386CD4FB}"/>
    <cellStyle name="Total 3 3" xfId="6684" xr:uid="{747D8A72-A9AD-4BF1-BD07-E1E8791A9C8B}"/>
    <cellStyle name="Total 3 3 2" xfId="6685" xr:uid="{8A2FF70D-0A63-4AB2-B5D6-80DFE9787392}"/>
    <cellStyle name="Total 3 3_1 KeyFig" xfId="6686" xr:uid="{1C385E00-7917-4329-805F-70DFF8C513B9}"/>
    <cellStyle name="Total 3 4" xfId="6687" xr:uid="{5F03673C-8261-4F7D-8CC7-451AD50FC85C}"/>
    <cellStyle name="Total 3 5" xfId="6688" xr:uid="{C303D14E-5173-4EB1-A594-4A7511FFCE99}"/>
    <cellStyle name="Total 3 6" xfId="6689" xr:uid="{8F1BDC9E-FCF3-492A-BF70-52FB1050C486}"/>
    <cellStyle name="Total 3 7" xfId="6690" xr:uid="{1FECD408-D8CA-4934-B48F-6E2A863DA29B}"/>
    <cellStyle name="Total 3 8" xfId="6691" xr:uid="{D926D2CA-FE83-4277-8AA7-D40297EE6793}"/>
    <cellStyle name="Total 3 9" xfId="6692" xr:uid="{AEE6996D-9171-4195-82E9-C5697B6529C2}"/>
    <cellStyle name="Total 3_1 KeyFig" xfId="6693" xr:uid="{5DE50D27-8463-49FB-B2D1-A9AEE10B3A60}"/>
    <cellStyle name="Total 4" xfId="6694" xr:uid="{72376FFD-00D3-4B8F-B09F-D34B9B5D73D3}"/>
    <cellStyle name="Total 4 2" xfId="6695" xr:uid="{56D9B262-335C-487B-B502-B46260FA9C5D}"/>
    <cellStyle name="Total 4_1 KeyFig" xfId="6696" xr:uid="{B569C570-1476-4874-9663-AA9D9766F08E}"/>
    <cellStyle name="Total 5" xfId="6697" xr:uid="{AC1B4436-797F-4765-9A21-756A21E5A97C}"/>
    <cellStyle name="Total 6" xfId="6698" xr:uid="{5E18DD52-06A1-462C-AABE-5BC76AE04605}"/>
    <cellStyle name="Total 7" xfId="6699" xr:uid="{594D37F3-607F-4EE8-865B-E0E8FF7E112A}"/>
    <cellStyle name="Total 8" xfId="6700" xr:uid="{B7028518-EC97-411E-A0F6-ED47F50EAC85}"/>
    <cellStyle name="Total 9" xfId="6701" xr:uid="{5B56C4B3-0B4F-4389-BE07-62387B83F6DF}"/>
    <cellStyle name="Tusent - Formatmall1" xfId="6702" xr:uid="{2AE70715-28E6-4524-A0C1-FDF62B579AC0}"/>
    <cellStyle name="Tusental (0)_1FIX, page 2" xfId="6703" xr:uid="{E3318C23-14B6-4BF4-AE2F-A2D1DE1B5EAB}"/>
    <cellStyle name="Tusental_1FIX, page 2" xfId="6704" xr:uid="{2D626A75-BFFC-4E12-984B-AF2CB8F52A39}"/>
    <cellStyle name="Valuta (0)_1FIX, page 2" xfId="6705" xr:uid="{96AB7EDA-F57A-4CED-87A2-21360E732096}"/>
    <cellStyle name="Valuta_1FIX, page 2" xfId="6706" xr:uid="{D17D16EA-8525-4CF4-95D5-284919CA56C3}"/>
    <cellStyle name="Vérification" xfId="6707" xr:uid="{CB3C9019-E0AE-4591-9249-C13BF84E6118}"/>
    <cellStyle name="Währung [0]_2ADJ" xfId="6770" xr:uid="{864F4E65-2FD6-4716-888D-72D943C1B21C}"/>
    <cellStyle name="Währung_2ADJ" xfId="6771" xr:uid="{06F02F2D-0288-48A4-BF01-D9BD97353CA3}"/>
    <cellStyle name="Warning Text 10" xfId="6708" xr:uid="{4957A8C3-3528-4CE6-8374-2E311FA2E8DC}"/>
    <cellStyle name="Warning Text 10 2" xfId="6709" xr:uid="{8E455F2F-78B4-451F-9949-819A19C72B05}"/>
    <cellStyle name="Warning Text 10_1 KeyFig" xfId="6710" xr:uid="{5103DE41-015D-4D8E-815F-CE08CB19C1CA}"/>
    <cellStyle name="Warning Text 11" xfId="6711" xr:uid="{BAC148BB-2F64-4372-8157-BCC1CB1A09D2}"/>
    <cellStyle name="Warning Text 12" xfId="6712" xr:uid="{235CC2C4-FB5C-47E9-B9C3-A0C671BF206C}"/>
    <cellStyle name="Warning Text 13" xfId="6713" xr:uid="{5B817984-583A-4127-ADC3-631089EA6233}"/>
    <cellStyle name="Warning Text 2" xfId="6714" xr:uid="{3E2575D8-F9E1-48AC-ABF7-90753BD59140}"/>
    <cellStyle name="Warning Text 2 10" xfId="6715" xr:uid="{78223556-BA85-4B18-8A4E-E6B58B9F9C38}"/>
    <cellStyle name="Warning Text 2 11" xfId="6716" xr:uid="{47699E2F-62CB-4E87-8521-85891C3F6B19}"/>
    <cellStyle name="Warning Text 2 12" xfId="6717" xr:uid="{163C323A-2BFD-429E-9888-21660156D26D}"/>
    <cellStyle name="Warning Text 2 13" xfId="6718" xr:uid="{8C24A5C2-211D-46D7-8087-5D26C1878A1E}"/>
    <cellStyle name="Warning Text 2 14" xfId="6719" xr:uid="{30C65EB1-16A2-4F34-A57E-CA1FE66BA172}"/>
    <cellStyle name="Warning Text 2 15" xfId="6720" xr:uid="{11A3AA3A-0C4A-4B29-BB34-E51EEF1F5EFC}"/>
    <cellStyle name="Warning Text 2 2" xfId="6721" xr:uid="{F046C8C2-5C49-4C8D-A002-E597740D7643}"/>
    <cellStyle name="Warning Text 2 2 10" xfId="6722" xr:uid="{FFEB42D3-E2A8-4200-BFA0-A4AD866F6857}"/>
    <cellStyle name="Warning Text 2 2 11" xfId="6723" xr:uid="{948B11ED-F713-487A-B84D-FD6BF7C1288F}"/>
    <cellStyle name="Warning Text 2 2 12" xfId="6724" xr:uid="{67A86650-3407-40AC-8DEB-D039EA9D8F07}"/>
    <cellStyle name="Warning Text 2 2 2" xfId="6725" xr:uid="{0C055471-8E49-4544-82EC-D4464359FEE3}"/>
    <cellStyle name="Warning Text 2 2 3" xfId="6726" xr:uid="{E75FB31F-D794-4C3E-A84A-156AB20DC4DA}"/>
    <cellStyle name="Warning Text 2 2 4" xfId="6727" xr:uid="{ADFB0DDD-67C9-4A6C-A56F-524483DDD669}"/>
    <cellStyle name="Warning Text 2 2 5" xfId="6728" xr:uid="{2F54FDFB-D2C2-49D0-BAED-1425685BAFE7}"/>
    <cellStyle name="Warning Text 2 2 6" xfId="6729" xr:uid="{37590345-594A-40A6-89D4-020BDDC022AA}"/>
    <cellStyle name="Warning Text 2 2 7" xfId="6730" xr:uid="{AB5C6597-C589-47A5-A03D-6D391A154C2D}"/>
    <cellStyle name="Warning Text 2 2 8" xfId="6731" xr:uid="{05E74999-04BA-4A41-ACCF-419AC6C82802}"/>
    <cellStyle name="Warning Text 2 2 9" xfId="6732" xr:uid="{346651D1-486C-4240-8043-5BE92207A31F}"/>
    <cellStyle name="Warning Text 2 2_1 KeyFig" xfId="6733" xr:uid="{7A04BA3D-3778-4AB1-9229-9235E060D9B2}"/>
    <cellStyle name="Warning Text 2 3" xfId="6734" xr:uid="{63EB37C1-33D6-47CB-BF2D-6CE53B733D89}"/>
    <cellStyle name="Warning Text 2 4" xfId="6735" xr:uid="{A04EB66D-CCC7-49FB-BD1B-8D1E38CAA7ED}"/>
    <cellStyle name="Warning Text 2 5" xfId="6736" xr:uid="{0CE5F06B-208C-47A1-8E41-EBE44FD3168D}"/>
    <cellStyle name="Warning Text 2 6" xfId="6737" xr:uid="{4102A793-9E67-47A6-A9A0-2DA8C6B9CC3E}"/>
    <cellStyle name="Warning Text 2 7" xfId="6738" xr:uid="{3E3BBBB8-2F61-4A2C-A8B7-89B770BC11DE}"/>
    <cellStyle name="Warning Text 2 8" xfId="6739" xr:uid="{DE5D9122-929F-4173-81B7-09E3AC476F3B}"/>
    <cellStyle name="Warning Text 2 9" xfId="6740" xr:uid="{02AC9D37-96BA-450B-93BE-EF42A54A3931}"/>
    <cellStyle name="Warning Text 2_1 KeyFig" xfId="6741" xr:uid="{E58535F1-999A-4A50-8E06-80F0185FE234}"/>
    <cellStyle name="Warning Text 3" xfId="6742" xr:uid="{D687BFB1-E451-497D-B159-68112A7959BF}"/>
    <cellStyle name="Warning Text 3 2" xfId="6743" xr:uid="{91F2FF4D-5D35-4427-89CE-76DDAC6FAE02}"/>
    <cellStyle name="Warning Text 3 3" xfId="6744" xr:uid="{BA249FB6-BE07-4B01-A387-F1EB75D7D398}"/>
    <cellStyle name="Warning Text 3 4" xfId="6745" xr:uid="{89CAF308-2FEB-4479-B8D4-62246DDA7FA9}"/>
    <cellStyle name="Warning Text 3 5" xfId="6746" xr:uid="{68478DCF-A971-4460-8A34-899FB9A73242}"/>
    <cellStyle name="Warning Text 3 6" xfId="6747" xr:uid="{D56E0D49-524E-4F4D-B9D2-609D0798BD97}"/>
    <cellStyle name="Warning Text 3 7" xfId="6748" xr:uid="{70CB54BE-871B-4582-BC0A-DADF02F6635E}"/>
    <cellStyle name="Warning Text 3 8" xfId="6749" xr:uid="{37AAD84A-914F-44DD-8A89-949A1E455A37}"/>
    <cellStyle name="Warning Text 3_1 KeyFig" xfId="6750" xr:uid="{58AEBBDC-D3A6-438C-9BD6-737F8562323A}"/>
    <cellStyle name="Warning Text 4" xfId="6751" xr:uid="{A9937CF0-9459-4C8D-B8C4-1AEB94B6DB91}"/>
    <cellStyle name="Warning Text 4 2" xfId="6752" xr:uid="{1E310622-3DE6-477E-96F6-1E31F6887467}"/>
    <cellStyle name="Warning Text 4 3" xfId="6753" xr:uid="{ADD6BC32-D677-4A64-84B3-75B544454081}"/>
    <cellStyle name="Warning Text 4_1 KeyFig" xfId="6754" xr:uid="{4C901B3F-AFCC-4D97-A7F5-EEF97CD311A3}"/>
    <cellStyle name="Warning Text 5" xfId="6755" xr:uid="{A7302411-B251-4D64-A143-F1C44FE2A85E}"/>
    <cellStyle name="Warning Text 5 2" xfId="6756" xr:uid="{211432CB-9753-4B33-AE62-F1DEBCEA9A16}"/>
    <cellStyle name="Warning Text 5_1 KeyFig" xfId="6757" xr:uid="{DF92170D-C429-4FE1-BDB6-6DE27487A06D}"/>
    <cellStyle name="Warning Text 6" xfId="6758" xr:uid="{8C0BF690-9E8A-4536-BB35-A48EFBA49081}"/>
    <cellStyle name="Warning Text 6 2" xfId="6759" xr:uid="{D767F8AE-9EA1-41A4-B1A6-B1D53BE09070}"/>
    <cellStyle name="Warning Text 6_1 KeyFig" xfId="6760" xr:uid="{F877BCA1-49A9-4674-A2F7-883C96E91EC4}"/>
    <cellStyle name="Warning Text 7" xfId="6761" xr:uid="{89E0E682-602F-4DA8-9AC8-4D8E890E2F31}"/>
    <cellStyle name="Warning Text 7 2" xfId="6762" xr:uid="{45ABAF44-5419-4039-BF49-B622C299072E}"/>
    <cellStyle name="Warning Text 7_1 KeyFig" xfId="6763" xr:uid="{A25D35D5-B4C2-4087-B640-2EAFF63B3D2D}"/>
    <cellStyle name="Warning Text 8" xfId="6764" xr:uid="{BCCAEAA3-24C6-4E2D-9456-4B121FCAF605}"/>
    <cellStyle name="Warning Text 8 2" xfId="6765" xr:uid="{C7156805-1F0E-4CF1-8204-66ED5A79B0DB}"/>
    <cellStyle name="Warning Text 8_1 KeyFig" xfId="6766" xr:uid="{5ED4A8CB-6214-461C-86E1-6FD1946E8258}"/>
    <cellStyle name="Warning Text 9" xfId="6767" xr:uid="{0E227770-8FF3-4B2E-B5FC-0268A57B8C63}"/>
    <cellStyle name="Warning Text 9 2" xfId="6768" xr:uid="{396C997F-ECC9-445C-B6ED-24E84CAB4D20}"/>
    <cellStyle name="Warning Text 9_1 KeyFig" xfId="6769" xr:uid="{B4082C20-5B6C-4E14-977C-7F0895BCEFE0}"/>
    <cellStyle name="X-ERTDisc" xfId="6772" xr:uid="{4DA7161D-2FD2-4C0A-82C4-78A4C2E6D4A3}"/>
    <cellStyle name="X-ERTDisc 2" xfId="6773" xr:uid="{BC58C3B4-F04B-41E7-AA89-482D06A71627}"/>
    <cellStyle name="X-ERTDisc_1 KeyFig" xfId="6774" xr:uid="{0AB0EF83-BDA9-47A4-A066-E8B7E8129C2C}"/>
    <cellStyle name="X-ERTDisc1" xfId="6775" xr:uid="{D4E8267C-2354-4220-B83B-4040134DA3C3}"/>
    <cellStyle name="X-ERTDisc3" xfId="6776" xr:uid="{EE7A7723-F7DD-4E7B-ADD4-48D6B52CD3ED}"/>
    <cellStyle name="X-ERTDisc3 2" xfId="6777" xr:uid="{607520E0-4F5A-4B58-B205-C064DA654E20}"/>
    <cellStyle name="X-ERTDisc3_1 KeyFig" xfId="6778" xr:uid="{933C4EBF-D3DD-4116-BE3D-836AB936ADA1}"/>
    <cellStyle name="X-ERTDisc6" xfId="6779" xr:uid="{7CB0519B-0347-4521-93D5-EE72B1900B38}"/>
    <cellStyle name="X-ERTDisc6 2" xfId="6780" xr:uid="{F6356FD9-C4FB-49AD-A57E-31B5B40F6506}"/>
    <cellStyle name="X-ERTDisc6_1 KeyFig" xfId="6781" xr:uid="{B8C989C7-864C-41FA-A94E-CAA919808BC2}"/>
    <cellStyle name="Обычный_1BAS" xfId="6783" xr:uid="{7871901C-E593-453A-BC6A-38D00FB780FD}"/>
    <cellStyle name="ปกติ_1. Jan 2004" xfId="6784" xr:uid="{E230194B-2A0A-4E8C-8123-66004CFE0AC5}"/>
    <cellStyle name="一般_Overdue" xfId="6785" xr:uid="{D490B314-EF6B-4A5E-96DC-7A83C503B9BB}"/>
    <cellStyle name="千位分隔_0061 DSO DPO-0512-0110" xfId="6786" xr:uid="{63BB72FF-CE2A-4BE4-ADEE-AC3A726A430D}"/>
    <cellStyle name="常规_0061 DSO DPO-0512-0110" xfId="6787" xr:uid="{EF375E6C-EDF8-45CC-BF0C-B3FAAA09E202}"/>
    <cellStyle name="未定義" xfId="6788" xr:uid="{5C8FF7F3-4022-43EB-B51D-65C1088F782E}"/>
    <cellStyle name="样式 1" xfId="6789" xr:uid="{DF99C572-9529-47A7-A1BE-8CF5326A991D}"/>
    <cellStyle name="標準_材料在庫" xfId="6790" xr:uid="{B09EBA58-141D-44C4-96E0-D413915512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r>
              <a:rPr lang="en-US">
                <a:solidFill>
                  <a:srgbClr val="000000"/>
                </a:solidFill>
              </a:rPr>
              <a:t>Large orders</a:t>
            </a:r>
          </a:p>
        </c:rich>
      </c:tx>
      <c:overlay val="0"/>
      <c:spPr>
        <a:noFill/>
        <a:ln>
          <a:noFill/>
        </a:ln>
        <a:effectLst/>
      </c:spPr>
      <c:txPr>
        <a:bodyPr rot="0" spcFirstLastPara="1" vertOverflow="ellipsis" vert="horz" wrap="square" anchor="ctr" anchorCtr="1"/>
        <a:lstStyle/>
        <a:p>
          <a:pPr>
            <a:defRPr sz="1080" b="0"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'Large orders'!$E$3</c:f>
              <c:strCache>
                <c:ptCount val="1"/>
                <c:pt idx="0">
                  <c:v>Sum announced as press release in quarter</c:v>
                </c:pt>
              </c:strCache>
            </c:strRef>
          </c:tx>
          <c:spPr>
            <a:solidFill>
              <a:srgbClr val="FFCD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orders'!$D$4:$D$54</c15:sqref>
                  </c15:fullRef>
                </c:ext>
              </c:extLst>
              <c:f>('Large orders'!$D$4:$D$5,'Large orders'!$D$8:$D$10,'Large orders'!$D$12,'Large orders'!$D$14,'Large orders'!$D$17,'Large orders'!$D$20:$D$22,'Large orders'!$D$25,'Large orders'!$D$27:$D$28,'Large orders'!$D$31:$D$32,'Large orders'!$D$35,'Large orders'!$D$40,'Large orders'!$D$44:$D$45,'Large orders'!$D$49,'Large orders'!$D$51:$D$54)</c:f>
              <c:strCache>
                <c:ptCount val="25"/>
                <c:pt idx="0">
                  <c:v>Q226</c:v>
                </c:pt>
                <c:pt idx="1">
                  <c:v>Q126</c:v>
                </c:pt>
                <c:pt idx="2">
                  <c:v>Q425</c:v>
                </c:pt>
                <c:pt idx="3">
                  <c:v>Q325</c:v>
                </c:pt>
                <c:pt idx="4">
                  <c:v>Q225</c:v>
                </c:pt>
                <c:pt idx="5">
                  <c:v>Q125</c:v>
                </c:pt>
                <c:pt idx="6">
                  <c:v>Q424</c:v>
                </c:pt>
                <c:pt idx="7">
                  <c:v>Q324</c:v>
                </c:pt>
                <c:pt idx="8">
                  <c:v>Q224</c:v>
                </c:pt>
                <c:pt idx="9">
                  <c:v>Q124</c:v>
                </c:pt>
                <c:pt idx="10">
                  <c:v>Q423</c:v>
                </c:pt>
                <c:pt idx="11">
                  <c:v>Q323</c:v>
                </c:pt>
                <c:pt idx="12">
                  <c:v>Q223</c:v>
                </c:pt>
                <c:pt idx="13">
                  <c:v>Q123</c:v>
                </c:pt>
                <c:pt idx="14">
                  <c:v>Q422</c:v>
                </c:pt>
                <c:pt idx="15">
                  <c:v>Q322</c:v>
                </c:pt>
                <c:pt idx="16">
                  <c:v>Q222</c:v>
                </c:pt>
                <c:pt idx="17">
                  <c:v>Q122</c:v>
                </c:pt>
                <c:pt idx="18">
                  <c:v>Q421</c:v>
                </c:pt>
                <c:pt idx="19">
                  <c:v>Q321</c:v>
                </c:pt>
                <c:pt idx="20">
                  <c:v>Q221</c:v>
                </c:pt>
                <c:pt idx="21">
                  <c:v>Q121</c:v>
                </c:pt>
                <c:pt idx="22">
                  <c:v>Q420</c:v>
                </c:pt>
                <c:pt idx="23">
                  <c:v>Q320</c:v>
                </c:pt>
                <c:pt idx="24">
                  <c:v>Q220</c:v>
                </c:pt>
              </c:strCache>
            </c:strRef>
          </c:cat>
          <c:val>
            <c:numRef>
              <c:extLst>
                <c:ext xmlns:c15="http://schemas.microsoft.com/office/drawing/2012/chart" uri="{02D57815-91ED-43cb-92C2-25804820EDAC}">
                  <c15:fullRef>
                    <c15:sqref>'Large orders'!$E$4:$E$54</c15:sqref>
                  </c15:fullRef>
                </c:ext>
              </c:extLst>
              <c:f>('Large orders'!$E$4:$E$5,'Large orders'!$E$8:$E$10,'Large orders'!$E$12,'Large orders'!$E$14,'Large orders'!$E$17,'Large orders'!$E$20:$E$22,'Large orders'!$E$25,'Large orders'!$E$27:$E$28,'Large orders'!$E$31:$E$32,'Large orders'!$E$35,'Large orders'!$E$40,'Large orders'!$E$44:$E$45,'Large orders'!$E$49,'Large orders'!$E$51:$E$54)</c:f>
              <c:numCache>
                <c:formatCode>General</c:formatCode>
                <c:ptCount val="25"/>
                <c:pt idx="0">
                  <c:v>210</c:v>
                </c:pt>
                <c:pt idx="1">
                  <c:v>560</c:v>
                </c:pt>
                <c:pt idx="2">
                  <c:v>0</c:v>
                </c:pt>
                <c:pt idx="3">
                  <c:v>115</c:v>
                </c:pt>
                <c:pt idx="4">
                  <c:v>335</c:v>
                </c:pt>
                <c:pt idx="5">
                  <c:v>380</c:v>
                </c:pt>
                <c:pt idx="6">
                  <c:v>450</c:v>
                </c:pt>
                <c:pt idx="7">
                  <c:v>885</c:v>
                </c:pt>
                <c:pt idx="8">
                  <c:v>215</c:v>
                </c:pt>
                <c:pt idx="9">
                  <c:v>200</c:v>
                </c:pt>
                <c:pt idx="10">
                  <c:v>680</c:v>
                </c:pt>
                <c:pt idx="11">
                  <c:v>830</c:v>
                </c:pt>
                <c:pt idx="12">
                  <c:v>130</c:v>
                </c:pt>
                <c:pt idx="13">
                  <c:v>800</c:v>
                </c:pt>
                <c:pt idx="14">
                  <c:v>0</c:v>
                </c:pt>
                <c:pt idx="15">
                  <c:v>730</c:v>
                </c:pt>
                <c:pt idx="16">
                  <c:v>640</c:v>
                </c:pt>
                <c:pt idx="17">
                  <c:v>410</c:v>
                </c:pt>
                <c:pt idx="18">
                  <c:v>0</c:v>
                </c:pt>
                <c:pt idx="19">
                  <c:v>575</c:v>
                </c:pt>
                <c:pt idx="20">
                  <c:v>465</c:v>
                </c:pt>
                <c:pt idx="21">
                  <c:v>130</c:v>
                </c:pt>
                <c:pt idx="22">
                  <c:v>0</c:v>
                </c:pt>
                <c:pt idx="23">
                  <c:v>100</c:v>
                </c:pt>
                <c:pt idx="24">
                  <c:v>190</c:v>
                </c:pt>
              </c:numCache>
            </c:numRef>
          </c:val>
          <c:extLst>
            <c:ext xmlns:c16="http://schemas.microsoft.com/office/drawing/2014/chart" uri="{C3380CC4-5D6E-409C-BE32-E72D297353CC}">
              <c16:uniqueId val="{00000000-1412-4861-A548-5FF35B586654}"/>
            </c:ext>
          </c:extLst>
        </c:ser>
        <c:ser>
          <c:idx val="1"/>
          <c:order val="1"/>
          <c:tx>
            <c:strRef>
              <c:f>'Large orders'!$B$3</c:f>
              <c:strCache>
                <c:ptCount val="1"/>
                <c:pt idx="0">
                  <c:v>Total mentioned in call </c:v>
                </c:pt>
              </c:strCache>
            </c:strRef>
          </c:tx>
          <c:spPr>
            <a:solidFill>
              <a:schemeClr val="bg1">
                <a:lumMod val="5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'Large orders'!$D$4:$D$54</c15:sqref>
                  </c15:fullRef>
                </c:ext>
              </c:extLst>
              <c:f>('Large orders'!$D$4:$D$5,'Large orders'!$D$8:$D$10,'Large orders'!$D$12,'Large orders'!$D$14,'Large orders'!$D$17,'Large orders'!$D$20:$D$22,'Large orders'!$D$25,'Large orders'!$D$27:$D$28,'Large orders'!$D$31:$D$32,'Large orders'!$D$35,'Large orders'!$D$40,'Large orders'!$D$44:$D$45,'Large orders'!$D$49,'Large orders'!$D$51:$D$54)</c:f>
              <c:strCache>
                <c:ptCount val="25"/>
                <c:pt idx="0">
                  <c:v>Q226</c:v>
                </c:pt>
                <c:pt idx="1">
                  <c:v>Q126</c:v>
                </c:pt>
                <c:pt idx="2">
                  <c:v>Q425</c:v>
                </c:pt>
                <c:pt idx="3">
                  <c:v>Q325</c:v>
                </c:pt>
                <c:pt idx="4">
                  <c:v>Q225</c:v>
                </c:pt>
                <c:pt idx="5">
                  <c:v>Q125</c:v>
                </c:pt>
                <c:pt idx="6">
                  <c:v>Q424</c:v>
                </c:pt>
                <c:pt idx="7">
                  <c:v>Q324</c:v>
                </c:pt>
                <c:pt idx="8">
                  <c:v>Q224</c:v>
                </c:pt>
                <c:pt idx="9">
                  <c:v>Q124</c:v>
                </c:pt>
                <c:pt idx="10">
                  <c:v>Q423</c:v>
                </c:pt>
                <c:pt idx="11">
                  <c:v>Q323</c:v>
                </c:pt>
                <c:pt idx="12">
                  <c:v>Q223</c:v>
                </c:pt>
                <c:pt idx="13">
                  <c:v>Q123</c:v>
                </c:pt>
                <c:pt idx="14">
                  <c:v>Q422</c:v>
                </c:pt>
                <c:pt idx="15">
                  <c:v>Q322</c:v>
                </c:pt>
                <c:pt idx="16">
                  <c:v>Q222</c:v>
                </c:pt>
                <c:pt idx="17">
                  <c:v>Q122</c:v>
                </c:pt>
                <c:pt idx="18">
                  <c:v>Q421</c:v>
                </c:pt>
                <c:pt idx="19">
                  <c:v>Q321</c:v>
                </c:pt>
                <c:pt idx="20">
                  <c:v>Q221</c:v>
                </c:pt>
                <c:pt idx="21">
                  <c:v>Q121</c:v>
                </c:pt>
                <c:pt idx="22">
                  <c:v>Q420</c:v>
                </c:pt>
                <c:pt idx="23">
                  <c:v>Q320</c:v>
                </c:pt>
                <c:pt idx="24">
                  <c:v>Q220</c:v>
                </c:pt>
              </c:strCache>
            </c:strRef>
          </c:cat>
          <c:val>
            <c:numRef>
              <c:extLst>
                <c:ext xmlns:c15="http://schemas.microsoft.com/office/drawing/2012/chart" uri="{02D57815-91ED-43cb-92C2-25804820EDAC}">
                  <c15:fullRef>
                    <c15:sqref>'Large orders'!$C$4:$C$51</c15:sqref>
                  </c15:fullRef>
                </c:ext>
              </c:extLst>
              <c:f>('Large orders'!$C$4:$C$5,'Large orders'!$C$8:$C$10,'Large orders'!$C$12,'Large orders'!$C$14,'Large orders'!$C$17,'Large orders'!$C$20:$C$22,'Large orders'!$C$25,'Large orders'!$C$27:$C$28,'Large orders'!$C$31:$C$32,'Large orders'!$C$35,'Large orders'!$C$40,'Large orders'!$C$44:$C$45,'Large orders'!$C$49,'Large orders'!$C$51)</c:f>
              <c:numCache>
                <c:formatCode>#,##0</c:formatCode>
                <c:ptCount val="22"/>
                <c:pt idx="0" formatCode="General">
                  <c:v>720</c:v>
                </c:pt>
                <c:pt idx="1">
                  <c:v>1280</c:v>
                </c:pt>
                <c:pt idx="2" formatCode="General">
                  <c:v>670</c:v>
                </c:pt>
                <c:pt idx="3" formatCode="General">
                  <c:v>600</c:v>
                </c:pt>
                <c:pt idx="4" formatCode="General">
                  <c:v>500</c:v>
                </c:pt>
                <c:pt idx="5" formatCode="General">
                  <c:v>600</c:v>
                </c:pt>
                <c:pt idx="6" formatCode="General">
                  <c:v>820</c:v>
                </c:pt>
                <c:pt idx="7" formatCode="General">
                  <c:v>1400</c:v>
                </c:pt>
                <c:pt idx="8" formatCode="General">
                  <c:v>950</c:v>
                </c:pt>
                <c:pt idx="9" formatCode="General">
                  <c:v>400</c:v>
                </c:pt>
                <c:pt idx="10" formatCode="General">
                  <c:v>1200</c:v>
                </c:pt>
                <c:pt idx="11" formatCode="General">
                  <c:v>1000</c:v>
                </c:pt>
                <c:pt idx="12" formatCode="General">
                  <c:v>550</c:v>
                </c:pt>
                <c:pt idx="13" formatCode="General">
                  <c:v>900</c:v>
                </c:pt>
                <c:pt idx="14" formatCode="General">
                  <c:v>400</c:v>
                </c:pt>
                <c:pt idx="15" formatCode="General">
                  <c:v>1000</c:v>
                </c:pt>
                <c:pt idx="16" formatCode="General">
                  <c:v>800</c:v>
                </c:pt>
                <c:pt idx="17" formatCode="General">
                  <c:v>800</c:v>
                </c:pt>
                <c:pt idx="18" formatCode="General">
                  <c:v>300</c:v>
                </c:pt>
                <c:pt idx="19" formatCode="General">
                  <c:v>600</c:v>
                </c:pt>
                <c:pt idx="20" formatCode="General">
                  <c:v>500</c:v>
                </c:pt>
                <c:pt idx="21" formatCode="General">
                  <c:v>500</c:v>
                </c:pt>
              </c:numCache>
            </c:numRef>
          </c:val>
          <c:extLst>
            <c:ext xmlns:c16="http://schemas.microsoft.com/office/drawing/2014/chart" uri="{C3380CC4-5D6E-409C-BE32-E72D297353CC}">
              <c16:uniqueId val="{00000001-1412-4861-A548-5FF35B586654}"/>
            </c:ext>
          </c:extLst>
        </c:ser>
        <c:dLbls>
          <c:showLegendKey val="0"/>
          <c:showVal val="0"/>
          <c:showCatName val="0"/>
          <c:showSerName val="0"/>
          <c:showPercent val="0"/>
          <c:showBubbleSize val="0"/>
        </c:dLbls>
        <c:gapWidth val="150"/>
        <c:axId val="621920808"/>
        <c:axId val="621921136"/>
      </c:barChart>
      <c:catAx>
        <c:axId val="621920808"/>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1136"/>
        <c:crosses val="autoZero"/>
        <c:auto val="1"/>
        <c:lblAlgn val="ctr"/>
        <c:lblOffset val="100"/>
        <c:noMultiLvlLbl val="0"/>
      </c:catAx>
      <c:valAx>
        <c:axId val="62192113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crossAx val="62192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595959"/>
              </a:solidFill>
              <a:latin typeface="Arial Narrow" panose="020B0606020202030204" pitchFamily="34" charset="0"/>
              <a:ea typeface="+mn-ea"/>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rgbClr val="595959"/>
          </a:solidFill>
          <a:latin typeface="Arial Narrow" panose="020B060602020203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147108</xdr:colOff>
      <xdr:row>0</xdr:row>
      <xdr:rowOff>183797</xdr:rowOff>
    </xdr:from>
    <xdr:ext cx="854781" cy="286850"/>
    <xdr:pic>
      <xdr:nvPicPr>
        <xdr:cNvPr id="2" name="Picture 1">
          <a:extLst>
            <a:ext uri="{FF2B5EF4-FFF2-40B4-BE49-F238E27FC236}">
              <a16:creationId xmlns:a16="http://schemas.microsoft.com/office/drawing/2014/main" id="{E659689F-6C1A-43C2-8A23-4FB6BDC720F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47108" y="183797"/>
          <a:ext cx="854781" cy="286850"/>
        </a:xfrm>
        <a:prstGeom prst="rect">
          <a:avLst/>
        </a:prstGeom>
      </xdr:spPr>
    </xdr:pic>
    <xdr:clientData/>
  </xdr:oneCellAnchor>
  <xdr:oneCellAnchor>
    <xdr:from>
      <xdr:col>10</xdr:col>
      <xdr:colOff>0</xdr:colOff>
      <xdr:row>24</xdr:row>
      <xdr:rowOff>0</xdr:rowOff>
    </xdr:from>
    <xdr:ext cx="184731" cy="254557"/>
    <xdr:sp macro="" textlink="">
      <xdr:nvSpPr>
        <xdr:cNvPr id="3" name="TextBox 2">
          <a:extLst>
            <a:ext uri="{FF2B5EF4-FFF2-40B4-BE49-F238E27FC236}">
              <a16:creationId xmlns:a16="http://schemas.microsoft.com/office/drawing/2014/main" id="{E288D659-B7A5-4E61-A117-CACBB8FFF915}"/>
            </a:ext>
          </a:extLst>
        </xdr:cNvPr>
        <xdr:cNvSpPr txBox="1"/>
      </xdr:nvSpPr>
      <xdr:spPr>
        <a:xfrm>
          <a:off x="9782175" y="4562475"/>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132097"/>
            </a:ext>
            <a:ext uri="{FF2B5EF4-FFF2-40B4-BE49-F238E27FC236}">
              <a16:creationId xmlns:a16="http://schemas.microsoft.com/office/drawing/2014/main" id="{6F3D8CFB-A95D-429F-906F-FC3F92FD97A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B300A820-08D9-47A8-BD99-7583462552E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2264641</xdr:colOff>
      <xdr:row>55</xdr:row>
      <xdr:rowOff>69850</xdr:rowOff>
    </xdr:from>
    <xdr:to>
      <xdr:col>8</xdr:col>
      <xdr:colOff>565150</xdr:colOff>
      <xdr:row>75</xdr:row>
      <xdr:rowOff>95250</xdr:rowOff>
    </xdr:to>
    <xdr:graphicFrame macro="">
      <xdr:nvGraphicFramePr>
        <xdr:cNvPr id="2" name="Chart 1">
          <a:extLst>
            <a:ext uri="{FF2B5EF4-FFF2-40B4-BE49-F238E27FC236}">
              <a16:creationId xmlns:a16="http://schemas.microsoft.com/office/drawing/2014/main" id="{AFA7C03E-5C32-457A-BCBE-76319CECD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piroc/GFC_Conso/Interim%20Report/2024/2024_Q2%20Interim%20report/Epiroc%20Master%202024_Q2.xlsm" TargetMode="External"/><Relationship Id="rId2" Type="http://schemas.openxmlformats.org/officeDocument/2006/relationships/externalLinkPath" Target="/Epiroc/dfs/ACE_SFO/GFC_Conso/Interim%20Report/2024/2024_Q2%20Interim%20report/Epiroc%20Master%202024_Q2.xlsm" TargetMode="External"/><Relationship Id="rId1" Type="http://schemas.openxmlformats.org/officeDocument/2006/relationships/externalLinkPath" Target="/Epiroc/GFC_Conso/Interim%20Report/2024/2024_Q2%20Interim%20report/Epiroc%20Master%202024_Q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22/2022_Q2%20Interim%20report/Epiroc%20Master%202022_Q2.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Epiroc/Users/aceol/Desktop/Local%20EPIROC%20ESRS%20-%20Gap%20Analysis%20Tool%20v6%20April%202024-SFDLSEC5PQJX3.xlsx" TargetMode="External"/><Relationship Id="rId2" Type="http://schemas.openxmlformats.org/officeDocument/2006/relationships/externalLinkPath" Target="file:///C:/Users/aceol/Desktop/Local%20EPIROC%20ESRS%20-%20Gap%20Analysis%20Tool%20v6%20April%202024-SFDLSEC5PQJX3.xlsx" TargetMode="External"/><Relationship Id="rId1" Type="http://schemas.openxmlformats.org/officeDocument/2006/relationships/externalLinkPath" Target="/Epiroc/Users/aceol/Desktop/Local%20EPIROC%20ESRS%20-%20Gap%20Analysis%20Tool%20v6%20April%202024-SFDLSEC5PQJX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Epiroc/ACE_Epiroc_Group/Investor%20Relations/Bra%20att%20ha/Atlas%20Copco%20Key%20figures.xlsx" TargetMode="External"/><Relationship Id="rId2" Type="http://schemas.openxmlformats.org/officeDocument/2006/relationships/externalLinkPath" Target="/Epiroc/dfs/ACE_Epiroc_Group/Investor%20Relations/Bra%20att%20ha/Atlas%20Copco%20Key%20figures.xlsx" TargetMode="External"/><Relationship Id="rId1" Type="http://schemas.openxmlformats.org/officeDocument/2006/relationships/externalLinkPath" Target="/Epiroc/ACE_Epiroc_Group/Investor%20Relations/Bra%20att%20ha/Atlas%20Copco%20Key%20fig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10">
          <cell r="J10" t="str">
            <v>Q2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y"/>
      <sheetName val="Period Admin"/>
      <sheetName val="Tbl_(I)_(M)"/>
      <sheetName val="Tbl_IDXQ_(I)_(M)"/>
      <sheetName val="Tbl_IDXD_(I)_(M)"/>
      <sheetName val="Tbl_(P)_(M)"/>
      <sheetName val="SysAdmin"/>
      <sheetName val="TblAdmin"/>
      <sheetName val="Validations"/>
      <sheetName val="FIN_CONSO"/>
      <sheetName val="SALES_GP"/>
      <sheetName val="AR Bridges"/>
      <sheetName val="Q Bridges"/>
      <sheetName val="OpCF-PPT"/>
      <sheetName val="Consensus"/>
      <sheetName val="Txt"/>
      <sheetName val="Graphs_(D)"/>
      <sheetName val="TillWebPub"/>
      <sheetName val="FinOv_(I)"/>
      <sheetName val="FinOv_(P)"/>
      <sheetName val="Table1_(I)"/>
      <sheetName val="Table1_(P)"/>
      <sheetName val="Q_SB_(I)"/>
      <sheetName val="Q_SB_(P)"/>
      <sheetName val="YTD_SB_(I)"/>
      <sheetName val="YTD_SB_(P)"/>
      <sheetName val="Q_PB_(I)"/>
      <sheetName val="Q_PB_(P)"/>
      <sheetName val="YTD_PB_(I)"/>
      <sheetName val="YTD_PB_(P)"/>
      <sheetName val="IS_(I)"/>
      <sheetName val="IS_(P)"/>
      <sheetName val="BS_(I)"/>
      <sheetName val="BS_(P)"/>
      <sheetName val="Eq_(I)"/>
      <sheetName val="Eq_(P)"/>
      <sheetName val="CF_(I)"/>
      <sheetName val="CF_(P)"/>
      <sheetName val="AB_IS_(I)"/>
      <sheetName val="AB_IS_(P)"/>
      <sheetName val="AB_BS_(I)"/>
      <sheetName val="AB_BS_(P)"/>
      <sheetName val="Segm_(I)"/>
      <sheetName val="Segm_(P)"/>
      <sheetName val="Geo_(I)"/>
      <sheetName val="Geo_(P)"/>
      <sheetName val="Acq_(I)"/>
      <sheetName val="Acq_(P)"/>
      <sheetName val="Deriv_(I)"/>
      <sheetName val="Deriv_(P)"/>
      <sheetName val="SBB_(I)"/>
      <sheetName val="SBB_(P)"/>
      <sheetName val="KeyFig_(I)"/>
      <sheetName val="KeyFig_(P)"/>
      <sheetName val="Sign"/>
      <sheetName val="APMs_(I)"/>
      <sheetName val="APMs_(P)"/>
      <sheetName val="WebKeyFig"/>
      <sheetName val="ESG_(I)"/>
      <sheetName val="ESG_(P)"/>
      <sheetName val="ESG data"/>
      <sheetName val="INPUT_OCI"/>
      <sheetName val="INPUT_CF"/>
      <sheetName val="INPUT_MANUAL"/>
      <sheetName val="KeyFig_Calc_(I)"/>
      <sheetName val="KeyFig_Calc_(P)"/>
    </sheetNames>
    <sheetDataSet>
      <sheetData sheetId="0"/>
      <sheetData sheetId="1">
        <row r="8">
          <cell r="D8">
            <v>2022</v>
          </cell>
        </row>
        <row r="9">
          <cell r="J9">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Contents"/>
      <sheetName val="Data Validation Lists"/>
      <sheetName val="Disclosure Type Counts"/>
      <sheetName val="TOTAL_GAP_FILL_PROGRESS"/>
      <sheetName val="TOTAL_GAP_FILL_DATA"/>
      <sheetName val="Disclosure Dash"/>
      <sheetName val="DISCLOSURE_DASH_DATA_COUNTS"/>
      <sheetName val="DISCLOSURE_DASH_COMPLETE_COUNT"/>
      <sheetName val="DISCLOSURE_DASH_DATA_TABLE"/>
      <sheetName val="AVAILABLE_VALUES"/>
      <sheetName val="DISCLOSURE_VALUES"/>
      <sheetName val="DISCLOSURE_DASH_MAIN_PLOT"/>
      <sheetName val="DISCLOSURE_DASH_GUAGES"/>
      <sheetName val="DISCLOSURE_DASH_DATA_CONF_CHART"/>
      <sheetName val="Undisclosed Data Category Dash"/>
      <sheetName val="DATA_TYPE_AVAILABLE"/>
      <sheetName val="DATA_TYPE_UNAVAILABLE"/>
      <sheetName val="DATA_TYPE_DASH_DATA"/>
      <sheetName val="DATA_TYPE_DASH_MAIN_PLOT"/>
      <sheetName val="DATA_TYPE_PIECHARTS"/>
      <sheetName val="Undisclosed Sensitivity Dash"/>
      <sheetName val="SENSITIVITY_AVAILABLE"/>
      <sheetName val="SENSITIVITY_UNAVAILABLE"/>
      <sheetName val="SENSITIVITY_DASH_DATA"/>
      <sheetName val="SENSITIVITY_DASH_MAIN_PLOT"/>
      <sheetName val="SENSITIVITY_DASH_PIECHARTS"/>
      <sheetName val="Undisclosed Complexity Dash"/>
      <sheetName val="COMPLEXITY_UNAVAILABLE"/>
      <sheetName val="COMPLEXITY_AVAILABLE"/>
      <sheetName val="COMPLEXITY_DASH_DATA"/>
      <sheetName val="COMPLEXITY_DASH_MAIN_PLOT"/>
      <sheetName val="COMPLEXITY_DASH_PIECHARTS"/>
      <sheetName val="Detailed Summary"/>
      <sheetName val="ESRS 2 Appendix B"/>
      <sheetName val="ESRS 2"/>
      <sheetName val="ESRS E1"/>
      <sheetName val="ESRS E2 "/>
      <sheetName val="ESRS E3"/>
      <sheetName val="ESRS E4"/>
      <sheetName val="ESRS E5"/>
      <sheetName val="ESRS S1"/>
      <sheetName val="ESRS S2"/>
      <sheetName val="ESRS S3"/>
      <sheetName val="ESRS S4"/>
      <sheetName val="ESRS G1"/>
      <sheetName val="ALL_DISCLOSURES"/>
      <sheetName val="ALL_ESRS"/>
      <sheetName val="Custom Sheet"/>
      <sheetName val="Disclaimer"/>
      <sheetName val="Local EPIROC ESRS - Gap Analy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RT PAGE"/>
      <sheetName val=" Q IS SEK"/>
      <sheetName val="Q BS SEK"/>
      <sheetName val="Q CF SEK"/>
      <sheetName val="Q SB SEK"/>
      <sheetName val="Y IS SEK"/>
      <sheetName val="Y BS SEK"/>
      <sheetName val="Y CF SEK"/>
      <sheetName val="Y SB SEK"/>
      <sheetName val="Key Ratios - SEK"/>
      <sheetName val="Sustainability"/>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Karin Larsson" id="{ACD2095B-F759-4F0E-9834-D018638BBBD7}" userId="S::karin.larsson@epiroc.com::9e0cde62-af6c-495c-bb17-e7aa5e3e6c79" providerId="AD"/>
  <person displayName="Alexander Apell" id="{1EC3CFF5-EEA0-469F-9B1A-F2D0B5814AFA}" userId="S::alexander.apell@epiroc.com::9a9ed020-c5ed-45e4-84d6-ff19661531aa" providerId="AD"/>
</personList>
</file>

<file path=xl/theme/theme1.xml><?xml version="1.0" encoding="utf-8"?>
<a:theme xmlns:a="http://schemas.openxmlformats.org/drawingml/2006/main" name="EpirocOrg">
  <a:themeElements>
    <a:clrScheme name="Epiroc_Revised">
      <a:dk1>
        <a:srgbClr val="425563"/>
      </a:dk1>
      <a:lt1>
        <a:sysClr val="window" lastClr="FFFFFF"/>
      </a:lt1>
      <a:dk2>
        <a:srgbClr val="FFC72C"/>
      </a:dk2>
      <a:lt2>
        <a:srgbClr val="ECEBE4"/>
      </a:lt2>
      <a:accent1>
        <a:srgbClr val="425563"/>
      </a:accent1>
      <a:accent2>
        <a:srgbClr val="FFC72C"/>
      </a:accent2>
      <a:accent3>
        <a:srgbClr val="B4B4AA"/>
      </a:accent3>
      <a:accent4>
        <a:srgbClr val="612C51"/>
      </a:accent4>
      <a:accent5>
        <a:srgbClr val="B7312C"/>
      </a:accent5>
      <a:accent6>
        <a:srgbClr val="D86018"/>
      </a:accent6>
      <a:hlink>
        <a:srgbClr val="77746E"/>
      </a:hlink>
      <a:folHlink>
        <a:srgbClr val="001E32"/>
      </a:folHlink>
    </a:clrScheme>
    <a:fontScheme name="Atlascopc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lnSpc>
            <a:spcPct val="95000"/>
          </a:lnSpc>
          <a:spcBef>
            <a:spcPts val="400"/>
          </a:spcBef>
          <a:defRPr sz="16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bwMode="gray">
        <a:noFill/>
      </a:spPr>
      <a:bodyPr wrap="none" rtlCol="0">
        <a:spAutoFit/>
      </a:bodyPr>
      <a:lstStyle>
        <a:defPPr>
          <a:lnSpc>
            <a:spcPct val="95000"/>
          </a:lnSpc>
          <a:spcBef>
            <a:spcPts val="400"/>
          </a:spcBef>
          <a:defRPr sz="1600" dirty="0" err="1" smtClean="0"/>
        </a:defPPr>
      </a:lstStyle>
    </a:txDef>
  </a:objectDefaults>
  <a:extraClrSchemeLst/>
  <a:custClrLst>
    <a:custClr name="Epiroc Dark Grey">
      <a:srgbClr val="796E65"/>
    </a:custClr>
    <a:custClr name="Epiroc Light Grey">
      <a:srgbClr val="EBE8E5"/>
    </a:custClr>
    <a:custClr name="Epiroc Dark Blue">
      <a:srgbClr val="001E32"/>
    </a:custClr>
    <a:custClr name="Epiroc Electric Green">
      <a:srgbClr val="86C8BC"/>
    </a:custClr>
    <a:custClr name="Epiroc Violet">
      <a:srgbClr val="612C51"/>
    </a:custClr>
    <a:custClr name="Epiroc Red">
      <a:srgbClr val="B7312C"/>
    </a:custClr>
    <a:custClr name="Epiroc Green">
      <a:srgbClr val="4C8C2B"/>
    </a:custClr>
    <a:custClr name="Epiroc Light Blue">
      <a:srgbClr val="48A9C5"/>
    </a:custClr>
    <a:custClr name="Epiroc Orange">
      <a:srgbClr val="D86018"/>
    </a:custClr>
  </a:custClrLst>
  <a:extLst>
    <a:ext uri="{05A4C25C-085E-4340-85A3-A5531E510DB2}">
      <thm15:themeFamily xmlns:thm15="http://schemas.microsoft.com/office/thememl/2012/main" name="TEST" id="{D39E6A6C-71C9-48A1-802D-8BB639968857}" vid="{649AAE3E-5C99-481F-AA1D-EFA34387656E}"/>
    </a:ext>
  </a:extLst>
</a:theme>
</file>

<file path=xl/threadedComments/threadedComment1.xml><?xml version="1.0" encoding="utf-8"?>
<ThreadedComments xmlns="http://schemas.microsoft.com/office/spreadsheetml/2018/threadedcomments" xmlns:x="http://schemas.openxmlformats.org/spreadsheetml/2006/main">
  <threadedComment ref="AR10" dT="2024-10-24T11:18:58.82" personId="{ACD2095B-F759-4F0E-9834-D018638BBBD7}" id="{53E9F295-3477-4665-AA0D-87C0F5C0B1E7}">
    <text>Includes impairment of acquisition-related intangible assets of MSEK 302.</text>
  </threadedComment>
</ThreadedComments>
</file>

<file path=xl/threadedComments/threadedComment2.xml><?xml version="1.0" encoding="utf-8"?>
<ThreadedComments xmlns="http://schemas.microsoft.com/office/spreadsheetml/2018/threadedcomments" xmlns:x="http://schemas.openxmlformats.org/spreadsheetml/2006/main">
  <threadedComment ref="G3" dT="2023-03-30T13:05:17.89" personId="{ACD2095B-F759-4F0E-9834-D018638BBBD7}" id="{C5A81C1A-D797-457A-A63B-C2EE44C8B811}">
    <text xml:space="preserve">The IT-function moved from group function to E&amp;S in Q2 2020. Figures for 2018 to Q1 2020 have been restated. </text>
  </threadedComment>
  <threadedComment ref="I3" dT="2023-03-30T13:07:02.69" personId="{ACD2095B-F759-4F0E-9834-D018638BBBD7}" id="{F2AD107A-56DA-4955-A5E4-4DCDBF9B1CBA}">
    <text xml:space="preserve">Exploration moved from T&amp;A to E&amp;S (Equipment) in Q1 2023. Figures for 2022 have been restated. 
</text>
  </threadedComment>
  <threadedComment ref="AH3" dT="2023-03-30T13:07:38.56" personId="{ACD2095B-F759-4F0E-9834-D018638BBBD7}" id="{F188C676-466B-4F67-B75F-7CB75B199170}">
    <text xml:space="preserve">Exploration moved from T&amp;A to E&amp;S (Equipment) in Q1 2023. Figures for 2022 have been restated. </text>
  </threadedComment>
  <threadedComment ref="AK8" dT="2023-03-30T10:41:40.43" personId="{ACD2095B-F759-4F0E-9834-D018638BBBD7}" id="{7ECB876B-86FA-4464-8D6D-CA850D694DD3}">
    <text xml:space="preserve">Some equipment orders in North America were booked as operational lease, i.e has to be adjusted for. 
</text>
  </threadedComment>
  <threadedComment ref="AN8" dT="2023-10-27T08:52:21.17" personId="{ACD2095B-F759-4F0E-9834-D018638BBBD7}" id="{6FAF2AD0-6A38-4A91-B5DE-316E548670DA}">
    <text xml:space="preserve">A meaningful portion of MSEK 125 relates to late customer finance equipment orders in the quarter. These shall be allocated to North America. </text>
  </threadedComment>
  <threadedComment ref="A12" dT="2024-03-18T12:24:06.47" personId="{ACD2095B-F759-4F0E-9834-D018638BBBD7}" id="{58CED058-5C96-40C1-BB22-BAC67EBB07DE}">
    <text xml:space="preserve">Until Q4 2023, Epiroc added order books from acquired businesses in Orders received. It was called “Orders on hand”. Since Q1 2024, only orders that was awarded in the actual quarter is included in Orders received. Any orderbook will be mentioned separately. 
</text>
  </threadedComment>
  <threadedComment ref="AF13" dT="2024-03-18T12:32:08.66" personId="{ACD2095B-F759-4F0E-9834-D018638BBBD7}" id="{EB5D7B6A-A7A3-4C28-87C3-6FCF7219D8CB}">
    <text xml:space="preserve">Acquisitions (structure) contributed with 6%, whereof nearly half relates to booked orders-onhand of acquired companies (Meglab and Mining Tag). </text>
  </threadedComment>
  <threadedComment ref="AI13" dT="2024-03-18T12:35:17.07" personId="{ACD2095B-F759-4F0E-9834-D018638BBBD7}" id="{29AA403D-019F-4377-A168-14768BF990C1}">
    <text xml:space="preserve">Acquisitions contributed 5%, whereof approximately 3 percentage points relates to orders-on-hand of the acquired company JTMEC. </text>
  </threadedComment>
  <threadedComment ref="AK13" dT="2024-03-18T12:38:46.08" personId="{ACD2095B-F759-4F0E-9834-D018638BBBD7}" id="{6AC91073-585A-4224-9768-906A82F112A0}">
    <text xml:space="preserve">The orders received also included orders on hand from acquired companies. These had a positive impact of approximately 11% (RCT). </text>
  </threadedComment>
  <threadedComment ref="AF14" dT="2024-03-18T12:32:47.31" personId="{ACD2095B-F759-4F0E-9834-D018638BBBD7}" id="{98CBE7D3-EA0A-4CC8-9EB0-1D367A2D5285}">
    <text xml:space="preserve">Acquisitions (structure) contributed with 11%, whereof approximately two thirds relates to booked orders-on-hand of acquired companies (DandA Heavy Industries). </text>
  </threadedComment>
  <threadedComment ref="AK14" dT="2024-03-18T12:39:19.63" personId="{ACD2095B-F759-4F0E-9834-D018638BBBD7}" id="{658BA16F-7F71-4EA6-BD23-B06087DE3344}">
    <text xml:space="preserve">The orders received also included orders on hand from acquired companies. These have a positive impact of approximately 1% (Wain Roy). </text>
  </threadedComment>
  <threadedComment ref="AL14" dT="2024-03-18T12:40:10.21" personId="{ACD2095B-F759-4F0E-9834-D018638BBBD7}" id="{91C36C07-87DB-4119-9E8F-ABD209E95B37}">
    <text xml:space="preserve">Figures in this table have been restated.
In the published report, acquisitions contributed with 24% (whereof orders on hand from CR of approximately 13 percentage points) </text>
  </threadedComment>
  <threadedComment ref="AF15" dT="2024-03-18T12:33:16.90" personId="{ACD2095B-F759-4F0E-9834-D018638BBBD7}" id="{BCFB7B3F-C620-4B3E-A49A-257AE7ECAE41}">
    <text xml:space="preserve">Acquisitions (structure) contributed with 7%, whereof approximately half relates to booked orders-on-hand of acquired companies. </text>
  </threadedComment>
  <threadedComment ref="AI15" dT="2024-03-18T12:34:55.23" personId="{ACD2095B-F759-4F0E-9834-D018638BBBD7}" id="{1D88CA78-6310-40F6-83D7-A0260020AE4F}">
    <text xml:space="preserve">Acquisitions contributed with 5%, whereof close to half relates to orders-on-hand of the acquired company JTMEC. </text>
  </threadedComment>
  <threadedComment ref="AK15" dT="2024-03-18T12:36:39.99" personId="{ACD2095B-F759-4F0E-9834-D018638BBBD7}" id="{3A060105-DACD-4E09-A108-02A4E42F280B}">
    <text xml:space="preserve">The orders received also included orders on hand from acquired companies. These had a positive impact of approximately 9%. </text>
  </threadedComment>
  <threadedComment ref="AL15" dT="2024-03-18T12:39:46.59" personId="{ACD2095B-F759-4F0E-9834-D018638BBBD7}" id="{CD41C45A-B91F-40DC-890B-C56C42679109}">
    <text xml:space="preserve">Figures in this table have been restated.
In the published report, structure (acquisitions) contributed with 10% (whereof orders on hand of approximately 3 percentage points) </text>
  </threadedComment>
  <threadedComment ref="AQ46" dT="2026-01-22T13:36:00.13" personId="{ACD2095B-F759-4F0E-9834-D018638BBBD7}" id="{BDFE83A8-146C-4B72-B4D5-ED86B79A1A5B}">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R46" dT="2026-01-22T13:35:54.91" personId="{ACD2095B-F759-4F0E-9834-D018638BBBD7}" id="{3A165D34-CA7A-4D0A-995E-C57A88726B05}">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S46" dT="2026-01-22T13:35:40.80" personId="{ACD2095B-F759-4F0E-9834-D018638BBBD7}" id="{A01883A4-BB3B-4305-8A95-940A7642F991}">
    <text xml:space="preserve">Between Q2-Q4 2024, Epiroc had roughly MSEK 20 in Stanely inventory step up value per quarter in this number. I.e. reduced EBIT. 
In a call, CFO Hakan Folin explained that the inventory step-up value was "less than half" of the quarterly PPA amortization (which was slightly more than SEK 40 million per quarter). He confirmed that the step-up value was the same across all three quarters, and the impact concluded after Q4 2024. </text>
  </threadedComment>
  <threadedComment ref="A59" dT="2023-07-13T14:52:30.35" personId="{ACD2095B-F759-4F0E-9834-D018638BBBD7}" id="{3CF5F6F0-1DD7-49B6-AEB1-3ABC3E98579C}">
    <text xml:space="preserve">Generally, when the share price increases, it is a cost. When the share price decreases, it is a gain. </text>
  </threadedComment>
  <threadedComment ref="AG62" dT="2023-01-30T12:47:05.57" personId="{ACD2095B-F759-4F0E-9834-D018638BBBD7}" id="{2CBC109A-D7F0-46E4-8E6B-4E4EAE8562D5}">
    <text>Q4 2021 includes a positive revaluation effect of the shares held prior to the acquisition of the remaining shares of Mobilaris of MSEK 167.</text>
  </threadedComment>
  <threadedComment ref="AI62" dT="2023-01-30T12:48:51.18" personId="{ACD2095B-F759-4F0E-9834-D018638BBBD7}" id="{0693F319-C7E7-43F5-A757-A1C7A75A96DA}">
    <text xml:space="preserve">Provisions related to Russia of MSEK -327 and restructuring costs related to the
relocation of manufacturing from Japan to China of MSEK -95. </text>
  </threadedComment>
  <threadedComment ref="AJ62" dT="2023-01-30T12:47:54.42" personId="{ACD2095B-F759-4F0E-9834-D018638BBBD7}" id="{F2AA2B4B-4DF7-436E-8E44-750B07A5D490}">
    <text>Provisions
related to Russia of MSEK -138</text>
  </threadedComment>
  <threadedComment ref="AN62" dT="2023-10-20T09:40:51.44" personId="{ACD2095B-F759-4F0E-9834-D018638BBBD7}" id="{CC4BED75-DE88-42B6-8889-C661E9B893B5}">
    <text xml:space="preserve">Remeasurement related to a prior year acquisition of MSEK 7 </text>
  </threadedComment>
  <threadedComment ref="AO62" dT="2024-01-23T16:25:00.65" personId="{ACD2095B-F759-4F0E-9834-D018638BBBD7}" id="{197EAB45-939C-4B52-9851-E1794C8B5645}">
    <text>Equipment &amp; Service included items affecting comparability of MSEK 280. This is mainly explained by a capital gain from the sale of the property in Japan of MSEK 436, earn-out payments for acquisitions of MSEK -58 and other costs of MSEK -98.</text>
  </threadedComment>
  <threadedComment ref="AQ62" dT="2024-07-12T12:41:45.85" personId="{ACD2095B-F759-4F0E-9834-D018638BBBD7}" id="{DB2C607E-3583-490F-B565-F45F28EDC80B}">
    <text xml:space="preserve">Items affecting comparability amounted to MSEK -142 (0), including earn-out for RCT of MSEK -73 as well as restructuring costs of MSEK -69. </text>
  </threadedComment>
  <threadedComment ref="AR62" dT="2024-10-24T11:18:00.99" personId="{ACD2095B-F759-4F0E-9834-D018638BBBD7}" id="{C48E882B-02D6-477F-974D-1167E33F7A95}">
    <text xml:space="preserve">In Q3, Equipment &amp; Service included items affecting comparability of net MSEK 208 (positive revaluation effect of the shares held prior to the acquisition of ASI Mining MSEK +554 and impairments of intangible assets related to acquisitions of MSEK -346). </text>
  </threadedComment>
  <threadedComment ref="AS62" dT="2025-07-17T11:25:00.03" personId="{ACD2095B-F759-4F0E-9834-D018638BBBD7}" id="{CD925D97-14B3-462E-B21B-30A8D68518B9}">
    <text>Earn out for the acquisition of RCT.</text>
  </threadedComment>
  <threadedComment ref="AU62" dT="2025-07-17T11:22:02.35" personId="{ACD2095B-F759-4F0E-9834-D018638BBBD7}" id="{DDAC054E-5E19-4F94-8E2D-9465F853EE28}">
    <text xml:space="preserve">Cost taken to increase efficiency onwards. </text>
  </threadedComment>
  <threadedComment ref="AV62" dT="2025-10-28T12:53:04.46" personId="{ACD2095B-F759-4F0E-9834-D018638BBBD7}" id="{4A5809C7-E551-4179-8DD9-E54144765942}">
    <text>Efficiency measures</text>
  </threadedComment>
  <threadedComment ref="AW62" dT="2026-01-22T13:29:16.02" personId="{ACD2095B-F759-4F0E-9834-D018638BBBD7}" id="{7554100A-2D17-4AF9-A723-6BF88EA46761}">
    <text xml:space="preserve">Efficiency measures </text>
  </threadedComment>
  <threadedComment ref="AI63" dT="2023-01-30T12:49:33.95" personId="{ACD2095B-F759-4F0E-9834-D018638BBBD7}" id="{A829C189-B6B2-49C3-BAB7-B62D6DF15D72}">
    <text>Provisions of MSEK -73 related to Russia</text>
  </threadedComment>
  <threadedComment ref="AJ63" dT="2023-01-30T12:49:14.01" personId="{ACD2095B-F759-4F0E-9834-D018638BBBD7}" id="{22E5553A-B126-41C2-A61F-82CB29EF54F2}">
    <text xml:space="preserve">Provisions related to Russia of
MSEK -12. </text>
  </threadedComment>
  <threadedComment ref="AO63" dT="2024-01-23T16:25:17.38" personId="{ACD2095B-F759-4F0E-9834-D018638BBBD7}" id="{30EF5795-2A19-420B-AEE0-90F0DE61E784}">
    <text>Tools &amp; Attachments included items affecting comparability of MSEK -158, which is related to the planned closure of the manufacturing plant in Essen, Germany.</text>
  </threadedComment>
  <threadedComment ref="AP63" dT="2024-07-12T12:41:03.66" personId="{ACD2095B-F759-4F0E-9834-D018638BBBD7}" id="{94695940-4242-4E2A-85DC-BA1DC9AF0430}">
    <text xml:space="preserve">Transaction and integration costs for M&amp;A. (Stanley Infrastructure) </text>
  </threadedComment>
  <threadedComment ref="AQ63" dT="2024-07-12T12:41:23.97" personId="{ACD2095B-F759-4F0E-9834-D018638BBBD7}" id="{B13A72C7-F638-459E-BE8A-2AE7599B797A}">
    <text xml:space="preserve">Items affecting comparability amounted to MSEK -165 (0), including transaction and integration costs for acquisitions of MSEK -130 and restructuring costs of MSEK -35. </text>
  </threadedComment>
  <threadedComment ref="AU63" dT="2025-07-17T11:21:24.70" personId="{ACD2095B-F759-4F0E-9834-D018638BBBD7}" id="{E98CA007-0D85-4F6F-948E-430D0519A9ED}">
    <text xml:space="preserve">MSEK 70 relates to closure of tools manufacturing in Canada, which is moved to Mexico. The rest is cost taken to improve efficiency onwards. </text>
  </threadedComment>
  <threadedComment ref="AV63" dT="2025-10-28T12:53:38.77" personId="{ACD2095B-F759-4F0E-9834-D018638BBBD7}" id="{5E99A81E-9382-4E8D-A2E9-07A43114C277}">
    <text xml:space="preserve">Reversed costs for previous restructuring measures </text>
  </threadedComment>
  <threadedComment ref="AW63" dT="2026-01-22T13:29:02.60" personId="{ACD2095B-F759-4F0E-9834-D018638BBBD7}" id="{6DA178A5-C6C5-44C6-B66D-2CF36E7FB382}">
    <text xml:space="preserve">Insurance settlement claim for Stanley </text>
  </threadedComment>
</ThreadedComments>
</file>

<file path=xl/threadedComments/threadedComment3.xml><?xml version="1.0" encoding="utf-8"?>
<ThreadedComments xmlns="http://schemas.microsoft.com/office/spreadsheetml/2018/threadedcomments" xmlns:x="http://schemas.openxmlformats.org/spreadsheetml/2006/main">
  <threadedComment ref="I3" dT="2023-03-30T13:08:09.63" personId="{ACD2095B-F759-4F0E-9834-D018638BBBD7}" id="{86BE7DA4-AC2F-4ABF-BE24-26CDCE012015}">
    <text xml:space="preserve">Exploration moved from T&amp;A to E&amp;S (Equipment) in Q1 2023. Figures for 2022 have been restated. 
</text>
  </threadedComment>
  <threadedComment ref="AH3" dT="2023-03-30T13:07:38.56" personId="{ACD2095B-F759-4F0E-9834-D018638BBBD7}" id="{C15A2B7F-3613-4393-91CE-75CA527CD64E}">
    <text xml:space="preserve">Exploration moved from T&amp;A to E&amp;S (Equipment) in Q1 2023. Figures for 2022 have been restated. </text>
  </threadedComment>
  <threadedComment ref="K74" dT="2026-01-22T13:42:13.26" personId="{ACD2095B-F759-4F0E-9834-D018638BBBD7}" id="{4ACF0717-4B30-4DDE-8A26-212A517D8074}">
    <text xml:space="preserve">Acquisition of Stanley Infrastructure, with large US exposure. 
</text>
  </threadedComment>
  <threadedComment ref="J83" dT="2026-01-22T13:41:59.05" personId="{ACD2095B-F759-4F0E-9834-D018638BBBD7}" id="{5DEB5944-D27D-4478-BB8F-FF02CC838201}">
    <text xml:space="preserve">Cobre Panamá, a $10 billion copper mine producing 1–2% of global supply, was shut down after Panama’s Supreme Court ruled its concession unconstitutional in 2023 due to environmental concerns and mass protests.
</text>
  </threadedComment>
  <threadedComment ref="L100" dT="2026-01-22T13:42:34.43" personId="{ACD2095B-F759-4F0E-9834-D018638BBBD7}" id="{22B3AFD3-0B4F-4DE3-96BD-D17FBBB27371}">
    <text xml:space="preserve">Q1 - Military actions reducing activity in Camoa. 
Q2-Q4 - Due to seismic activity, Camoa was either closed or run with reduced capacity 
</text>
  </threadedComment>
  <threadedComment ref="K120" dT="2026-01-22T13:39:00.22" personId="{ACD2095B-F759-4F0E-9834-D018638BBBD7}" id="{F1EDB0FA-C084-413B-AEF8-A9CA418C0D40}">
    <text xml:space="preserve">Acquisition of Stanley Infrastructure, with large US exposure. </text>
  </threadedComment>
  <threadedComment ref="J129" dT="2026-01-22T13:41:36.92" personId="{ACD2095B-F759-4F0E-9834-D018638BBBD7}" id="{496DC08F-9C06-428E-AA57-F5EFBED6871E}">
    <text>Cobre Panamá, a $10 billion copper mine producing 1–2% of global supply, was shut down after Panama’s Supreme Court ruled its concession unconstitutional in 2023 due to environmental concerns and mass protests.</text>
  </threadedComment>
  <threadedComment ref="I141" dT="2026-01-22T13:37:23.20" personId="{ACD2095B-F759-4F0E-9834-D018638BBBD7}" id="{1551534F-4A1A-4215-A5F7-7FE435AA208F}">
    <text xml:space="preserve">March 1, 2022, Epiroc said that it would no longer supply Russia. </text>
  </threadedComment>
  <threadedComment ref="L146" dT="2026-01-22T13:38:20.37" personId="{ACD2095B-F759-4F0E-9834-D018638BBBD7}" id="{EC0A8764-B864-42F4-97A8-8FD9DE8F4E67}">
    <text xml:space="preserve">Q1 - Military actions reducing activity in Camoa. 
Q2-Q4 - Due to seismic activity, Camoa was either closed or run with reduced capacity </text>
  </threadedComment>
  <threadedComment ref="AH165" dT="2023-03-30T13:07:38.56" personId="{ACD2095B-F759-4F0E-9834-D018638BBBD7}" id="{F4D9540C-7F44-4FF5-AE86-7314116B8026}">
    <text xml:space="preserve">Epiroc stopped deliveries to Russia 2022-03-01. 
Exploration moved from T&amp;A to E&amp;S (Equipment) in Q1 2023. Figures for 2022 have been restated. </text>
  </threadedComment>
  <threadedComment ref="AI165" dT="2023-03-30T13:34:29.85" personId="{ACD2095B-F759-4F0E-9834-D018638BBBD7}" id="{E28AA2E6-E573-4ECD-B700-B9212EB08E3D}">
    <text xml:space="preserve">Customer cancellations in Russia of MSEK 400
</text>
  </threadedComment>
  <threadedComment ref="AJ165" dT="2023-03-30T13:35:01.96" personId="{ACD2095B-F759-4F0E-9834-D018638BBBD7}" id="{449C8ED9-6F56-4650-83E0-984EEC6D3CED}">
    <text xml:space="preserve">Russian orderbook removed. Will not be delivered. </text>
  </threadedComment>
</ThreadedComments>
</file>

<file path=xl/threadedComments/threadedComment4.xml><?xml version="1.0" encoding="utf-8"?>
<ThreadedComments xmlns="http://schemas.microsoft.com/office/spreadsheetml/2018/threadedcomments" xmlns:x="http://schemas.openxmlformats.org/spreadsheetml/2006/main">
  <threadedComment ref="AO24" dT="2024-01-23T16:48:26.65" personId="{ACD2095B-F759-4F0E-9834-D018638BBBD7}" id="{25ECC453-367A-4218-825F-F229F14A2459}">
    <text>This is mainly explained by a capital gain from a sale of a property in Japan of MSEK 436.</text>
  </threadedComment>
  <threadedComment ref="AJ31" dT="2023-01-30T12:50:39.38" personId="{ACD2095B-F759-4F0E-9834-D018638BBBD7}" id="{57EED712-052A-4499-8C76-ECF5A2EBFC64}">
    <text>In the third quarter 2022, Epiroc acquired the full remaining non-controlling interest of Epiroc Mining India Ltd for MSEK -173.</text>
  </threadedComment>
  <threadedComment ref="AO31" dT="2024-01-23T16:29:58.79" personId="{ACD2095B-F759-4F0E-9834-D018638BBBD7}" id="{F2125FC0-DE04-452D-B4DD-62279712EF49}">
    <text xml:space="preserve">Increased ownership in Radlink. Prev. Ownership was 53%. </text>
  </threadedComment>
  <threadedComment ref="AU31" dT="2025-07-17T11:23:28.66" personId="{ACD2095B-F759-4F0E-9834-D018638BBBD7}" id="{8044ADDF-390A-41A4-B8C2-5F2A9872023C}">
    <text xml:space="preserve">The transaction related to the acquisition of the minority share of Radlink led to MSEK -355 in cash flow from financing activities. </text>
  </threadedComment>
</ThreadedComments>
</file>

<file path=xl/threadedComments/threadedComment5.xml><?xml version="1.0" encoding="utf-8"?>
<ThreadedComments xmlns="http://schemas.microsoft.com/office/spreadsheetml/2018/threadedcomments" xmlns:x="http://schemas.openxmlformats.org/spreadsheetml/2006/main">
  <threadedComment ref="AH7" dT="2024-04-22T15:04:23.48" personId="{ACD2095B-F759-4F0E-9834-D018638BBBD7}" id="{ED14E2F9-2B4D-4A1D-8049-8012557163BA}">
    <text xml:space="preserve">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
</text>
  </threadedComment>
  <threadedComment ref="AH9" dT="2024-04-22T15:04:31.21" personId="{ACD2095B-F759-4F0E-9834-D018638BBBD7}" id="{DBA57F3A-256D-48E8-96E8-4380B560839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10" dT="2023-01-30T21:33:07.18" personId="{ACD2095B-F759-4F0E-9834-D018638BBBD7}" id="{3BEB8819-8E35-4389-83F4-8AD9F3BD8DE0}">
    <text>Not adjusted for Russia</text>
  </threadedComment>
  <threadedComment ref="AF10" dT="2023-01-30T21:34:45.36" personId="{ACD2095B-F759-4F0E-9834-D018638BBBD7}" id="{5D6F72A8-61D6-43A6-9054-C762E9690DA0}">
    <text>Not adjusted for Russia</text>
  </threadedComment>
  <threadedComment ref="AG10" dT="2023-01-30T21:33:07.18" personId="{ACD2095B-F759-4F0E-9834-D018638BBBD7}" id="{0E216018-8540-4487-B304-6175FC7214F8}">
    <text>Not adjusted for Russia</text>
  </threadedComment>
  <threadedComment ref="AH10" dT="2023-01-30T21:33:07.18" personId="{ACD2095B-F759-4F0E-9834-D018638BBBD7}" id="{643C53E5-1B7D-4B8F-BD90-00320AB994F6}">
    <text>Not adjusted for Russia</text>
  </threadedComment>
  <threadedComment ref="AE15" dT="2024-04-22T17:29:38.03" personId="{ACD2095B-F759-4F0E-9834-D018638BBBD7}" id="{EB0F739F-7830-44FB-8B03-49326ACFA9FA}">
    <text xml:space="preserve">See ex. Russia below. </text>
  </threadedComment>
  <threadedComment ref="AF15" dT="2024-04-22T17:29:44.11" personId="{ACD2095B-F759-4F0E-9834-D018638BBBD7}" id="{57CD25DF-2EB0-47CF-B892-0CE49B5837FC}">
    <text xml:space="preserve">See ex. Russia below. </text>
  </threadedComment>
  <threadedComment ref="AG15" dT="2024-04-22T17:29:49.41" personId="{ACD2095B-F759-4F0E-9834-D018638BBBD7}" id="{5A6B47B2-7B7D-445B-8B7A-A967EBAE5719}">
    <text xml:space="preserve">See ex. Russia below. </text>
  </threadedComment>
  <threadedComment ref="AH15" dT="2024-04-22T17:29:54.18" personId="{ACD2095B-F759-4F0E-9834-D018638BBBD7}" id="{C2082D05-75E1-441D-8B1F-981ADBCDC92B}">
    <text xml:space="preserve">See ex. Russia below. </text>
  </threadedComment>
  <threadedComment ref="AI15" dT="2024-04-22T17:30:09.36" personId="{ACD2095B-F759-4F0E-9834-D018638BBBD7}" id="{71C7E256-149B-405F-AABD-49474B7E9CA7}">
    <text xml:space="preserve">See ex. Russia below. </text>
  </threadedComment>
  <threadedComment ref="AJ15" dT="2024-04-22T17:30:15.79" personId="{ACD2095B-F759-4F0E-9834-D018638BBBD7}" id="{5E712F9F-85EB-4374-B122-91B7E0A8ACF1}">
    <text xml:space="preserve">See ex. Russia below. </text>
  </threadedComment>
  <threadedComment ref="AH17" dT="2024-04-22T15:04:42.05" personId="{ACD2095B-F759-4F0E-9834-D018638BBBD7}" id="{4ED18DE9-C4F0-4FFF-A04A-96312F0DDA77}">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19" dT="2024-04-22T15:04:50.35" personId="{ACD2095B-F759-4F0E-9834-D018638BBBD7}" id="{D251996E-F98A-40F6-A8B2-EC8550118FD4}">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20" dT="2023-01-30T21:33:41.27" personId="{ACD2095B-F759-4F0E-9834-D018638BBBD7}" id="{4AF4A564-763D-47FB-BC25-C078B9E2439D}">
    <text>Not adjusted for Russia</text>
  </threadedComment>
  <threadedComment ref="AF20" dT="2023-01-30T21:33:41.27" personId="{ACD2095B-F759-4F0E-9834-D018638BBBD7}" id="{D31F566F-E5F7-4304-895F-A56C257F64B8}">
    <text>Not adjusted for Russia</text>
  </threadedComment>
  <threadedComment ref="AG20" dT="2023-01-30T21:33:41.27" personId="{ACD2095B-F759-4F0E-9834-D018638BBBD7}" id="{B9A146FC-B160-492C-A4AF-7A90C56FF065}">
    <text>Not adjusted for Russia</text>
  </threadedComment>
  <threadedComment ref="AH20" dT="2023-01-30T21:33:41.27" personId="{ACD2095B-F759-4F0E-9834-D018638BBBD7}" id="{B20C3914-1182-4A35-8FF6-EDED7EC64776}">
    <text>Not adjusted for Russia</text>
  </threadedComment>
  <threadedComment ref="AH35" dT="2024-04-22T15:04:59.15" personId="{ACD2095B-F759-4F0E-9834-D018638BBBD7}" id="{D13E094A-8BFA-4BAA-A9E5-14E40CC75CAB}">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36" dT="2024-04-22T15:05:03.62" personId="{ACD2095B-F759-4F0E-9834-D018638BBBD7}" id="{2DDB3955-89F4-4551-A285-1810484B3DD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3" dT="2024-04-22T15:05:14.92" personId="{ACD2095B-F759-4F0E-9834-D018638BBBD7}" id="{FAD6BD69-9D7A-44D1-94E2-C88644B9D913}">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H44" dT="2024-04-22T15:05:19.52" personId="{ACD2095B-F759-4F0E-9834-D018638BBBD7}" id="{1FCC5528-C8ED-4735-B77A-D6A273289551}">
    <text>As from January 1, 2024, Epiroc will not include orders on hand (order book) in orders received when acquiring companies. The previously reported orders received in the first quarter 2023 of MSEK 15 148 included orders on hand from acquired companies of MSEK 433. Figures in this column have not been restated.</text>
  </threadedComment>
  <threadedComment ref="AE46" dT="2023-01-30T21:33:41.27" personId="{ACD2095B-F759-4F0E-9834-D018638BBBD7}" id="{5DC6111C-3B10-46BA-8AA0-8578E05FE379}">
    <text>Not adjusted for Russia</text>
  </threadedComment>
  <threadedComment ref="AF46" dT="2023-01-30T21:33:41.27" personId="{ACD2095B-F759-4F0E-9834-D018638BBBD7}" id="{92122B31-B039-48E0-8513-EE8807FE4DE9}">
    <text>Not adjusted for Russia</text>
  </threadedComment>
  <threadedComment ref="AG46" dT="2023-01-30T21:33:41.27" personId="{ACD2095B-F759-4F0E-9834-D018638BBBD7}" id="{4803D71B-1F72-4FDC-A47B-1A8525939A7A}">
    <text>Not adjusted for Russia</text>
  </threadedComment>
  <threadedComment ref="AH46" dT="2023-01-30T21:33:41.27" personId="{ACD2095B-F759-4F0E-9834-D018638BBBD7}" id="{CD7240D0-1659-4B9D-A43B-5B512A67E8E7}">
    <text>Not adjusted for Russia</text>
  </threadedComment>
</ThreadedComments>
</file>

<file path=xl/threadedComments/threadedComment6.xml><?xml version="1.0" encoding="utf-8"?>
<ThreadedComments xmlns="http://schemas.microsoft.com/office/spreadsheetml/2018/threadedcomments" xmlns:x="http://schemas.openxmlformats.org/spreadsheetml/2006/main">
  <threadedComment ref="G123" dT="2025-03-11T13:45:24.27" personId="{ACD2095B-F759-4F0E-9834-D018638BBBD7}" id="{86204D0D-86E8-4EAD-B940-3CE22F565926}">
    <text>2023-06</text>
  </threadedComment>
  <threadedComment ref="G124" dT="2025-03-11T13:45:37.79" personId="{ACD2095B-F759-4F0E-9834-D018638BBBD7}" id="{2AB98E23-0BA1-4EF5-920D-E216BF3EB12C}">
    <text>2023-03</text>
  </threadedComment>
  <threadedComment ref="G125" dT="2025-03-11T13:45:51.19" personId="{ACD2095B-F759-4F0E-9834-D018638BBBD7}" id="{5254E828-97A1-4B2D-B1E1-1C9AC25BD58D}">
    <text>2023-06 (G)  2024-03 (E&amp;S)</text>
  </threadedComment>
  <threadedComment ref="G126" dT="2025-03-11T13:46:00.50" personId="{ACD2095B-F759-4F0E-9834-D018638BBBD7}" id="{DDFD0FB8-B043-4703-B036-C0625A8915A0}">
    <text>2023-12</text>
  </threadedComment>
  <threadedComment ref="G127" dT="2025-03-11T13:46:10.31" personId="{ACD2095B-F759-4F0E-9834-D018638BBBD7}" id="{5747108C-531B-440F-A0B3-FCE813106E61}">
    <text>2024-02</text>
  </threadedComment>
  <threadedComment ref="H127" dT="2025-03-19T12:03:39.98" personId="{ACD2095B-F759-4F0E-9834-D018638BBBD7}" id="{0A54958D-6666-4683-BC2F-B613CC0CCA13}">
    <text xml:space="preserve">New questionnaire. 
</text>
  </threadedComment>
</ThreadedComments>
</file>

<file path=xl/threadedComments/threadedComment7.xml><?xml version="1.0" encoding="utf-8"?>
<ThreadedComments xmlns="http://schemas.microsoft.com/office/spreadsheetml/2018/threadedcomments" xmlns:x="http://schemas.openxmlformats.org/spreadsheetml/2006/main">
  <threadedComment ref="F11" dT="2023-07-13T15:01:14.12" personId="{ACD2095B-F759-4F0E-9834-D018638BBBD7}" id="{60AE6F34-A108-4574-8543-87445B347050}">
    <text xml:space="preserve">The Schramm assets are not considered to be M&amp;A. Everything is reported organically. </text>
  </threadedComment>
  <threadedComment ref="H17" dT="2024-01-23T16:50:20.86" personId="{ACD2095B-F759-4F0E-9834-D018638BBBD7}" id="{C554FA82-9A3B-4262-95FA-670E59220CA7}">
    <text xml:space="preserve">In Q4, 2023, Epiroc increased its holding. New ownership percent not disclosed. </text>
  </threadedComment>
  <threadedComment ref="AP20" dT="2025-02-07T10:07:55.00" personId="{1EC3CFF5-EEA0-469F-9B1A-F2D0B5814AFA}" id="{C48FFF7D-E179-4EF9-BA59-FAE17AC53F30}">
    <text>Includes IAC</text>
  </threadedComment>
</ThreadedComments>
</file>

<file path=xl/threadedComments/threadedComment8.xml><?xml version="1.0" encoding="utf-8"?>
<ThreadedComments xmlns="http://schemas.microsoft.com/office/spreadsheetml/2018/threadedcomments" xmlns:x="http://schemas.openxmlformats.org/spreadsheetml/2006/main">
  <threadedComment ref="AD48" dT="2023-01-30T12:47:05.57" personId="{ACD2095B-F759-4F0E-9834-D018638BBBD7}" id="{F0ADF7B6-E784-4D81-AD5B-27259CA1A57E}">
    <text>Q4 2021 includes a positive revaluation effect of the shares held prior to the acquisition of the remaining shares of Mobilaris of MSEK 167.</text>
  </threadedComment>
  <threadedComment ref="AF48" dT="2023-01-30T12:48:51.18" personId="{ACD2095B-F759-4F0E-9834-D018638BBBD7}" id="{5A917518-A710-46EB-95FB-CB792F28EBE9}">
    <text xml:space="preserve">Provisions related to Russia of MSEK -327 and restructuring costs related to the
relocation of manufacturing from Japan to China of MSEK -95. </text>
  </threadedComment>
  <threadedComment ref="AG48" dT="2023-01-30T12:47:54.42" personId="{ACD2095B-F759-4F0E-9834-D018638BBBD7}" id="{162BFBDC-075B-4060-B682-84B347EC9C09}">
    <text>Provisions
related to Russia of MSEK -138</text>
  </threadedComment>
  <threadedComment ref="AF49" dT="2023-01-30T12:49:33.95" personId="{ACD2095B-F759-4F0E-9834-D018638BBBD7}" id="{AD5F8F5D-9AB4-4872-8E18-DA0560EEBBDE}">
    <text>Provisions of MSEK -73 related to Russia</text>
  </threadedComment>
  <threadedComment ref="AG49" dT="2023-01-30T12:49:14.01" personId="{ACD2095B-F759-4F0E-9834-D018638BBBD7}" id="{EB4870A7-2C5B-4934-B447-04DC9D75F13E}">
    <text xml:space="preserve">Provisions related to Russia of
MSEK -12. </text>
  </threadedComment>
</ThreadedComments>
</file>

<file path=xl/threadedComments/threadedComment9.xml><?xml version="1.0" encoding="utf-8"?>
<ThreadedComments xmlns="http://schemas.microsoft.com/office/spreadsheetml/2018/threadedcomments" xmlns:x="http://schemas.openxmlformats.org/spreadsheetml/2006/main">
  <threadedComment ref="A35" dT="2025-03-14T12:45:25.65" personId="{ACD2095B-F759-4F0E-9834-D018638BBBD7}" id="{91B63FE5-C058-4329-8D5F-8917AEA3E77D}">
    <text xml:space="preserve">It covers various offering such as construction tools, road construction, and specialty rental solutions.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epiro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epirocgroup.com/en/media/corporate-press-releases/2024/20240311-epiroc-wins-large-mining-equipment-order-in-mexico" TargetMode="External"/><Relationship Id="rId7" Type="http://schemas.openxmlformats.org/officeDocument/2006/relationships/printerSettings" Target="../printerSettings/printerSettings14.bin"/><Relationship Id="rId2" Type="http://schemas.openxmlformats.org/officeDocument/2006/relationships/hyperlink" Target="https://www.epirocgroup.com/en/media/corporate-press-releases/2022/20220420-epiroc-wins-large-mining-equipment-order-in-democratic-republic-of-the-congo" TargetMode="External"/><Relationship Id="rId1" Type="http://schemas.openxmlformats.org/officeDocument/2006/relationships/hyperlink" Target="https://www.epirocgroup.com/en/media/corporate-press-releases/2022/20220630-epiroc-wins-large-surface-mining-equipment-order-in-australia" TargetMode="External"/><Relationship Id="rId6" Type="http://schemas.openxmlformats.org/officeDocument/2006/relationships/hyperlink" Target="https://www.epirocgroup.com/en/media/corporate-press-releases/2026/20260715-epiroc-wins-large-order-for-mining-equipment-in-peru" TargetMode="External"/><Relationship Id="rId5" Type="http://schemas.openxmlformats.org/officeDocument/2006/relationships/hyperlink" Target="https://www.epirocgroup.com/en/media/corporate-press-releases/2025/20251008-epiroc-wins-large-order-for-mining-equipment-and-digital-solutions-in-ghana" TargetMode="External"/><Relationship Id="rId4" Type="http://schemas.openxmlformats.org/officeDocument/2006/relationships/hyperlink" Target="https://www.epirocgroup.com/en/media/corporate-press-releases/2024/20240116-epiroc-wins-its-largest-order-ever-for-digital-solutions-to-strengthen-mining-safety-and-productivity-in-chil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hyperlink" Target="https://www.epirocgroup.com/en/media/corporate-press-releases/2021/20210528-epiroc-to-acquire-australian-mining-logging-company" TargetMode="External"/><Relationship Id="rId18" Type="http://schemas.openxmlformats.org/officeDocument/2006/relationships/hyperlink" Target="https://author-epiroc-prod.adobecqms.net/content/corporate/en/media/corporate-press-releases/2019/20190103_epiroc_completes_acquisition_of_canadian_exploration_tools_manufacturer.html" TargetMode="External"/><Relationship Id="rId26" Type="http://schemas.openxmlformats.org/officeDocument/2006/relationships/hyperlink" Target="https://www.epirocgroup.com/en/media/corporate-press-releases/2017/20170202-acquisition" TargetMode="External"/><Relationship Id="rId39" Type="http://schemas.openxmlformats.org/officeDocument/2006/relationships/hyperlink" Target="https://www.epirocgroup.com/en/media/corporate-press-releases/2024/20240524-epiroc-to-acquire-french-manufacturer-of-excavator-attachments" TargetMode="External"/><Relationship Id="rId21" Type="http://schemas.openxmlformats.org/officeDocument/2006/relationships/hyperlink" Target="https://www.epirocgroup.com/en/media/corporate-press-releases/2018/20180110-acquisition" TargetMode="External"/><Relationship Id="rId34" Type="http://schemas.openxmlformats.org/officeDocument/2006/relationships/hyperlink" Target="https://www.epirocgroup.com/en/media/corporate-press-releases/2022/20221209-epiroc-to-acquire-leading-provider-of-collision-avoidance-systems-for-mines" TargetMode="External"/><Relationship Id="rId42" Type="http://schemas.openxmlformats.org/officeDocument/2006/relationships/hyperlink" Target="https://www.epirocgroup.com/en/media/corporate-press-releases/2025/20250402-epiroc-acquires-remaining-shares-of-mine-connectivity-provider-radlink" TargetMode="External"/><Relationship Id="rId47" Type="http://schemas.microsoft.com/office/2017/10/relationships/threadedComment" Target="../threadedComments/threadedComment7.xml"/><Relationship Id="rId7" Type="http://schemas.openxmlformats.org/officeDocument/2006/relationships/hyperlink" Target="https://www.epirocgroup.com/en/media/corporate-press-releases/2021/20211103-epiroc-completes-acquisition-of-specialist-in-mining-vehicle-battery-conversions" TargetMode="External"/><Relationship Id="rId2" Type="http://schemas.openxmlformats.org/officeDocument/2006/relationships/hyperlink" Target="https://www.epirocgroup.com/en/media/corporate-press-releases/2022/20221104-epiroc-completes-acquisition-of-u-s--manufacturer-of-excavator-attachments" TargetMode="External"/><Relationship Id="rId16" Type="http://schemas.openxmlformats.org/officeDocument/2006/relationships/hyperlink" Target="https://author-epiroc-prod.adobecqms.net/content/corporate/en/media/corporate-press-releases/2019/20190402-epiroc-completes-acquisition-of-south-african-underground-rock-reinforcement-products-manufacturer-new-concept-mining.html" TargetMode="External"/><Relationship Id="rId29" Type="http://schemas.openxmlformats.org/officeDocument/2006/relationships/hyperlink" Target="https://www.atlascopcogroup.com/en/media/corporate-press-releases/2013/130403_Meyco_Acquisition" TargetMode="External"/><Relationship Id="rId1" Type="http://schemas.openxmlformats.org/officeDocument/2006/relationships/hyperlink" Target="https://www.epirocgroup.com/en/media/corporate-press-releases/2022/20221201-epiroc-completes-acquisition-of-leading-provider-of-mining-automation-solutions" TargetMode="External"/><Relationship Id="rId6" Type="http://schemas.openxmlformats.org/officeDocument/2006/relationships/hyperlink" Target="https://www.epirocgroup.com/en/media/corporate-press-releases/2022/20220601-epiroc-completes-acquisition-of-australian-mining-electrification-infrastructure-provider" TargetMode="External"/><Relationship Id="rId11" Type="http://schemas.openxmlformats.org/officeDocument/2006/relationships/hyperlink" Target="https://www.epirocgroup.com/en/media/corporate-press-releases/2021/20210331-epiroc-to-acquire-mining-electrification-solutions-provider" TargetMode="External"/><Relationship Id="rId24" Type="http://schemas.openxmlformats.org/officeDocument/2006/relationships/hyperlink" Target="https://www.epirocgroup.com/en/media/corporate-press-releases/2017/20171204-acquisition" TargetMode="External"/><Relationship Id="rId32" Type="http://schemas.openxmlformats.org/officeDocument/2006/relationships/hyperlink" Target="http://www.atlascopco.com/us/News/CorporateNews/120131_Atlas_Copco_closes_GIA_acquisition.aspx" TargetMode="External"/><Relationship Id="rId37" Type="http://schemas.openxmlformats.org/officeDocument/2006/relationships/hyperlink" Target="https://www.epirocgroup.com/en/media/corporate-press-releases/2023/20231212-epiroc-to-acquire-the-business-of-leading-rock-drilling-parts-manufacturer-in-south-africa" TargetMode="External"/><Relationship Id="rId40" Type="http://schemas.openxmlformats.org/officeDocument/2006/relationships/hyperlink" Target="https://www.epirocgroup.com/en/media/corporate-press-releases/2024/20240617-epiroc-completes-acquisition-of-canadian-ground-support-business" TargetMode="External"/><Relationship Id="rId45" Type="http://schemas.openxmlformats.org/officeDocument/2006/relationships/vmlDrawing" Target="../drawings/vmlDrawing7.vml"/><Relationship Id="rId5" Type="http://schemas.openxmlformats.org/officeDocument/2006/relationships/hyperlink" Target="https://www.epirocgroup.com/en/media/corporate-press-releases/2022/20220610-epiroc-to-acquire-manufacturer-of-rock-drills" TargetMode="External"/><Relationship Id="rId15" Type="http://schemas.openxmlformats.org/officeDocument/2006/relationships/hyperlink" Target="https://author-epiroc-prod.adobecqms.net/content/corporate/en/media/corporate-press-releases/2019/20190903-epiroc-completes-divestment-of-geotechnical-consumables-product-line-to-mimir-invest.html" TargetMode="External"/><Relationship Id="rId23" Type="http://schemas.openxmlformats.org/officeDocument/2006/relationships/hyperlink" Target="https://www.epirocgroup.com/en/media/corporate-press-releases/2017/20171201-acquisition" TargetMode="External"/><Relationship Id="rId28" Type="http://schemas.openxmlformats.org/officeDocument/2006/relationships/hyperlink" Target="http://www.epirocgroup.com/en/media/corporate-press-releases/2013/131017-atlas-copco-buys-us-oil-and-gas-service-business" TargetMode="External"/><Relationship Id="rId36" Type="http://schemas.openxmlformats.org/officeDocument/2006/relationships/hyperlink" Target="https://www.epirocgroup.com/en/media/corporate-press-releases/2023/20230202-epiroc-completes-acquisition-of-innovative-provider-of-ground-engaging-tools-and-digital-solutions" TargetMode="External"/><Relationship Id="rId10" Type="http://schemas.openxmlformats.org/officeDocument/2006/relationships/hyperlink" Target="https://www.epirocgroup.com/en/media/corporate-press-releases/2021/20210707-epiroc-acquires-chilean-provider-of-intelligent-mining-solutions" TargetMode="External"/><Relationship Id="rId19" Type="http://schemas.openxmlformats.org/officeDocument/2006/relationships/hyperlink" Target="https://www.epirocgroup.com/en/media/corporate-press-releases/2018/20181102-epiroc-acquires-mining-equipment-distributor-in-estonia" TargetMode="External"/><Relationship Id="rId31" Type="http://schemas.openxmlformats.org/officeDocument/2006/relationships/hyperlink" Target="http://www.epirocgroup.com/en/media/corporate-press-releases/2012/120925-atlas-copco-acquires-us-manufacturer-of-drill-bits" TargetMode="External"/><Relationship Id="rId44" Type="http://schemas.openxmlformats.org/officeDocument/2006/relationships/printerSettings" Target="../printerSettings/printerSettings16.bin"/><Relationship Id="rId4" Type="http://schemas.openxmlformats.org/officeDocument/2006/relationships/hyperlink" Target="https://www.epirocgroup.com/en/media/corporate-press-releases/2022/20221014-epiroc-completes-acquisition-of-australian-provider-of-digital-core-imaging-solutions-for-mining-companies" TargetMode="External"/><Relationship Id="rId9" Type="http://schemas.openxmlformats.org/officeDocument/2006/relationships/hyperlink" Target="https://www.epirocgroup.com/en/media/corporate-press-releases/2021/20210427-epiroc-to-acquire-south-korean-hydraulic-breaker-manufacturer" TargetMode="External"/><Relationship Id="rId14" Type="http://schemas.openxmlformats.org/officeDocument/2006/relationships/hyperlink" Target="https://www.epirocgroup.com/en/media/corporate-press-releases/2020/20201222-epiroc-to-acquire-software-company-for-increased-mine-productivity" TargetMode="External"/><Relationship Id="rId22" Type="http://schemas.openxmlformats.org/officeDocument/2006/relationships/hyperlink" Target="https://www.epirocgroup.com/en/media/corporate-press-releases/2017/20171206-acquisition" TargetMode="External"/><Relationship Id="rId27" Type="http://schemas.openxmlformats.org/officeDocument/2006/relationships/hyperlink" Target="http://www.epirocgroup.com/en/media/corporate-press-releases/2014/140203-atlas-copco-completes-acquisition-of-geawelltech" TargetMode="External"/><Relationship Id="rId30" Type="http://schemas.openxmlformats.org/officeDocument/2006/relationships/hyperlink" Target="http://www.epirocgroup.com/en/media/corporate-press-releases/2013/130305-atlas-copco-buys-chinese-rock-drilling-tools-business" TargetMode="External"/><Relationship Id="rId35" Type="http://schemas.openxmlformats.org/officeDocument/2006/relationships/hyperlink" Target="https://www.epirocgroup.com/en/media/corporate-press-releases/2022/20220825-epiroc-signs-agreement-to-acquire-south-african-mining-equipment-manufacturer" TargetMode="External"/><Relationship Id="rId43" Type="http://schemas.openxmlformats.org/officeDocument/2006/relationships/hyperlink" Target="https://www.epirocgroup.com/en/media/corporate-press-releases/2026/20260309-epiroc-to-acquire-the-business-of-mining-aftermarket-solutions-provider-in-south-africa" TargetMode="External"/><Relationship Id="rId8" Type="http://schemas.openxmlformats.org/officeDocument/2006/relationships/hyperlink" Target="https://www.epirocgroup.com/en/media/corporate-press-releases/2021/20211102-epiroc-acquires-remaining-share-of-mobilaris-mce" TargetMode="External"/><Relationship Id="rId3" Type="http://schemas.openxmlformats.org/officeDocument/2006/relationships/hyperlink" Target="https://www.epirocgroup.com/en/media/corporate-press-releases/2022/20221101-epiroc-completes-acquisition-of-majority-ownership-in-australian-mine-connectivity-provider" TargetMode="External"/><Relationship Id="rId12" Type="http://schemas.openxmlformats.org/officeDocument/2006/relationships/hyperlink" Target="https://www.epirocgroup.com/en/media/corporate-press-releases/2021/20210607-epiroc-acquires-canadian-mine-connectivity-provider" TargetMode="External"/><Relationship Id="rId17" Type="http://schemas.openxmlformats.org/officeDocument/2006/relationships/hyperlink" Target="https://author-epiroc-prod.adobecqms.net/content/corporate/en/media/corporate-press-releases/2019/20190201-epiroc-acquires-us-water-well-drilling-equipment-distributor.html" TargetMode="External"/><Relationship Id="rId25" Type="http://schemas.openxmlformats.org/officeDocument/2006/relationships/hyperlink" Target="https://www.epirocgroup.com/en/media/corporate-press-releases/2017/170704-atlas-copco-completes-acquisition-of-swedish-mining-intelligence-business" TargetMode="External"/><Relationship Id="rId33" Type="http://schemas.openxmlformats.org/officeDocument/2006/relationships/hyperlink" Target="http://www.atlascopcogroup.com/content/corporate/en/media/corporate-press-releases/2012/120112_Atlas_Copco_acquires_Perfora.html" TargetMode="External"/><Relationship Id="rId38" Type="http://schemas.openxmlformats.org/officeDocument/2006/relationships/hyperlink" Target="https://www.epirocgroup.com/en/media/corporate-press-releases/2023/20231215-epiroc-to-acquire-stanley-infrastructure-from-stanley-black---decker-to-strengthen-infrastructure-and-construction-business" TargetMode="External"/><Relationship Id="rId46" Type="http://schemas.openxmlformats.org/officeDocument/2006/relationships/comments" Target="../comments7.xml"/><Relationship Id="rId20" Type="http://schemas.openxmlformats.org/officeDocument/2006/relationships/hyperlink" Target="https://www.epirocgroup.com/en/media/corporate-press-releases/2018/20181030-epiroc-invests-in-autonomous-mining-solutions-business" TargetMode="External"/><Relationship Id="rId41" Type="http://schemas.openxmlformats.org/officeDocument/2006/relationships/hyperlink" Target="https://www.epirocgroup.com/en/media/corporate-press-releases/2024/20240703-epiroc-completes-acquisition-of-remaining-share-of-autonomous-solutions-provider-asi-mining"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33D7-9B37-48F6-83E7-E3BD5BB8D825}">
  <sheetPr>
    <tabColor rgb="FFFFCD00"/>
    <pageSetUpPr fitToPage="1"/>
  </sheetPr>
  <dimension ref="A1:K26"/>
  <sheetViews>
    <sheetView showGridLines="0" tabSelected="1" workbookViewId="0">
      <selection activeCell="G3" sqref="G3"/>
    </sheetView>
  </sheetViews>
  <sheetFormatPr baseColWidth="10" defaultColWidth="10" defaultRowHeight="13.5" customHeight="1"/>
  <cols>
    <col min="1" max="1" width="4" customWidth="1"/>
    <col min="2" max="2" width="6.33203125" customWidth="1"/>
    <col min="3" max="3" width="2.6640625" customWidth="1"/>
    <col min="4" max="4" width="15.6640625" customWidth="1"/>
    <col min="6" max="6" width="3.33203125" customWidth="1"/>
    <col min="7" max="7" width="16.6640625" customWidth="1"/>
    <col min="8" max="8" width="75" customWidth="1"/>
    <col min="9" max="9" width="2.6640625" customWidth="1"/>
  </cols>
  <sheetData>
    <row r="1" spans="1:11" ht="16">
      <c r="A1" s="1"/>
      <c r="B1" s="1"/>
      <c r="C1" s="2"/>
      <c r="D1" s="2"/>
      <c r="E1" s="2"/>
      <c r="F1" s="2"/>
      <c r="G1" s="2"/>
      <c r="H1" s="2"/>
      <c r="I1" s="2"/>
      <c r="J1" s="3"/>
      <c r="K1" s="3"/>
    </row>
    <row r="2" spans="1:11" ht="14">
      <c r="A2" s="3"/>
      <c r="B2" s="3"/>
      <c r="C2" s="3"/>
      <c r="D2" s="3"/>
      <c r="E2" s="3"/>
      <c r="F2" s="3"/>
      <c r="G2" s="3"/>
      <c r="H2" s="3"/>
      <c r="I2" s="3"/>
      <c r="J2" s="3"/>
      <c r="K2" s="3"/>
    </row>
    <row r="3" spans="1:11" ht="14">
      <c r="A3" s="3"/>
      <c r="B3" s="3"/>
      <c r="C3" s="3"/>
      <c r="D3" s="3"/>
      <c r="E3" s="3"/>
      <c r="F3" s="3"/>
      <c r="G3" s="3"/>
      <c r="H3" s="3"/>
      <c r="I3" s="3"/>
      <c r="J3" s="3"/>
      <c r="K3" s="3"/>
    </row>
    <row r="4" spans="1:11" ht="15" customHeight="1">
      <c r="A4" s="3"/>
      <c r="B4" s="3"/>
      <c r="C4" s="4"/>
      <c r="D4" s="4"/>
      <c r="E4" s="4"/>
      <c r="F4" s="4"/>
      <c r="G4" s="4"/>
      <c r="H4" s="4"/>
      <c r="I4" s="3"/>
      <c r="J4" s="3"/>
      <c r="K4" s="3"/>
    </row>
    <row r="5" spans="1:11" ht="15" customHeight="1">
      <c r="A5" s="3"/>
      <c r="B5" s="3"/>
      <c r="C5" s="4"/>
      <c r="D5" s="5" t="s">
        <v>0</v>
      </c>
      <c r="E5" s="4"/>
      <c r="F5" s="4"/>
      <c r="G5" s="6" t="s">
        <v>1</v>
      </c>
      <c r="H5" s="7" t="s">
        <v>2</v>
      </c>
      <c r="I5" s="8"/>
      <c r="J5" s="3"/>
      <c r="K5" s="3"/>
    </row>
    <row r="6" spans="1:11" ht="15" customHeight="1">
      <c r="A6" s="3"/>
      <c r="B6" s="3"/>
      <c r="C6" s="4"/>
      <c r="D6" s="4"/>
      <c r="E6" s="4"/>
      <c r="F6" s="7"/>
      <c r="G6" s="9" t="s">
        <v>3</v>
      </c>
      <c r="H6" s="7" t="s">
        <v>1351</v>
      </c>
      <c r="I6" s="8"/>
      <c r="J6" s="3"/>
      <c r="K6" s="3"/>
    </row>
    <row r="7" spans="1:11" ht="15" customHeight="1">
      <c r="A7" s="3"/>
      <c r="B7" s="3"/>
      <c r="C7" s="4"/>
      <c r="D7" s="1142" t="s">
        <v>4</v>
      </c>
      <c r="E7" s="1142"/>
      <c r="F7" s="7"/>
      <c r="G7" s="9" t="s">
        <v>5</v>
      </c>
      <c r="H7" s="7" t="str">
        <f t="shared" ref="H7:H16" si="0">H6</f>
        <v>Q2 2026 - July 17, 2026</v>
      </c>
      <c r="I7" s="8"/>
      <c r="J7" s="3"/>
      <c r="K7" s="3"/>
    </row>
    <row r="8" spans="1:11" ht="15" customHeight="1">
      <c r="A8" s="3"/>
      <c r="B8" s="3"/>
      <c r="C8" s="4"/>
      <c r="D8" s="1142"/>
      <c r="E8" s="1142"/>
      <c r="F8" s="7"/>
      <c r="G8" s="9" t="s">
        <v>6</v>
      </c>
      <c r="H8" s="7" t="str">
        <f t="shared" si="0"/>
        <v>Q2 2026 - July 17, 2026</v>
      </c>
      <c r="I8" s="8"/>
      <c r="J8" s="3"/>
      <c r="K8" s="3"/>
    </row>
    <row r="9" spans="1:11" ht="15" customHeight="1">
      <c r="A9" s="3"/>
      <c r="B9" s="3"/>
      <c r="C9" s="4"/>
      <c r="D9" s="1142"/>
      <c r="E9" s="1142"/>
      <c r="F9" s="7"/>
      <c r="G9" s="9" t="s">
        <v>7</v>
      </c>
      <c r="H9" s="7" t="str">
        <f t="shared" si="0"/>
        <v>Q2 2026 - July 17, 2026</v>
      </c>
      <c r="I9" s="8"/>
      <c r="J9" s="3"/>
      <c r="K9" s="3"/>
    </row>
    <row r="10" spans="1:11" ht="15" customHeight="1">
      <c r="A10" s="3"/>
      <c r="B10" s="3"/>
      <c r="C10" s="4"/>
      <c r="D10" s="1142"/>
      <c r="E10" s="1142"/>
      <c r="F10" s="7"/>
      <c r="G10" s="9" t="s">
        <v>8</v>
      </c>
      <c r="H10" s="7" t="str">
        <f t="shared" si="0"/>
        <v>Q2 2026 - July 17, 2026</v>
      </c>
      <c r="I10" s="8"/>
      <c r="J10" s="3"/>
      <c r="K10" s="3"/>
    </row>
    <row r="11" spans="1:11" ht="15" customHeight="1">
      <c r="A11" s="3"/>
      <c r="B11" s="3"/>
      <c r="C11" s="4"/>
      <c r="D11" s="1142"/>
      <c r="E11" s="1142"/>
      <c r="F11" s="7"/>
      <c r="G11" s="9" t="s">
        <v>9</v>
      </c>
      <c r="H11" s="7" t="str">
        <f t="shared" si="0"/>
        <v>Q2 2026 - July 17, 2026</v>
      </c>
      <c r="I11" s="8"/>
      <c r="J11" s="3"/>
      <c r="K11" s="3"/>
    </row>
    <row r="12" spans="1:11" ht="15" customHeight="1">
      <c r="A12" s="3"/>
      <c r="B12" s="3"/>
      <c r="C12" s="4"/>
      <c r="D12" s="1142"/>
      <c r="E12" s="1142"/>
      <c r="F12" s="7"/>
      <c r="G12" s="9" t="s">
        <v>10</v>
      </c>
      <c r="H12" s="7" t="str">
        <f t="shared" si="0"/>
        <v>Q2 2026 - July 17, 2026</v>
      </c>
      <c r="I12" s="8"/>
      <c r="J12" s="3"/>
      <c r="K12" s="3"/>
    </row>
    <row r="13" spans="1:11" ht="15" customHeight="1">
      <c r="A13" s="3"/>
      <c r="B13" s="3"/>
      <c r="C13" s="4"/>
      <c r="D13" s="1142"/>
      <c r="E13" s="1142"/>
      <c r="F13" s="7"/>
      <c r="G13" s="9" t="s">
        <v>11</v>
      </c>
      <c r="H13" s="7" t="str">
        <f t="shared" si="0"/>
        <v>Q2 2026 - July 17, 2026</v>
      </c>
      <c r="I13" s="8"/>
      <c r="J13" s="3"/>
      <c r="K13" s="3"/>
    </row>
    <row r="14" spans="1:11" ht="15" customHeight="1">
      <c r="A14" s="3"/>
      <c r="B14" s="3"/>
      <c r="C14" s="4"/>
      <c r="D14" s="1142"/>
      <c r="E14" s="1142"/>
      <c r="F14" s="7"/>
      <c r="G14" s="9" t="s">
        <v>12</v>
      </c>
      <c r="H14" s="7" t="str">
        <f t="shared" si="0"/>
        <v>Q2 2026 - July 17, 2026</v>
      </c>
      <c r="I14" s="8"/>
      <c r="J14" s="3"/>
      <c r="K14" s="3"/>
    </row>
    <row r="15" spans="1:11" ht="15" customHeight="1">
      <c r="A15" s="3"/>
      <c r="B15" s="3"/>
      <c r="C15" s="4"/>
      <c r="D15" s="7" t="s">
        <v>13</v>
      </c>
      <c r="E15" s="10"/>
      <c r="F15" s="7"/>
      <c r="G15" s="9" t="s">
        <v>14</v>
      </c>
      <c r="H15" s="7" t="str">
        <f t="shared" si="0"/>
        <v>Q2 2026 - July 17, 2026</v>
      </c>
      <c r="I15" s="8"/>
      <c r="J15" s="3"/>
      <c r="K15" s="3"/>
    </row>
    <row r="16" spans="1:11" ht="15" customHeight="1">
      <c r="A16" s="3"/>
      <c r="B16" s="3"/>
      <c r="C16" s="4"/>
      <c r="D16" s="7" t="s">
        <v>15</v>
      </c>
      <c r="E16" s="10"/>
      <c r="F16" s="7"/>
      <c r="G16" s="9" t="s">
        <v>16</v>
      </c>
      <c r="H16" s="7" t="str">
        <f t="shared" si="0"/>
        <v>Q2 2026 - July 17, 2026</v>
      </c>
      <c r="I16" s="8"/>
      <c r="J16" s="3"/>
      <c r="K16" s="3"/>
    </row>
    <row r="17" spans="1:11" ht="15" customHeight="1">
      <c r="A17" s="3"/>
      <c r="B17" s="3"/>
      <c r="C17" s="4"/>
      <c r="D17" s="7" t="s">
        <v>17</v>
      </c>
      <c r="E17" s="10"/>
      <c r="F17" s="7"/>
      <c r="G17" s="9" t="s">
        <v>18</v>
      </c>
      <c r="H17" s="11" t="s">
        <v>1261</v>
      </c>
      <c r="I17" s="8"/>
      <c r="J17" s="3"/>
      <c r="K17" s="3"/>
    </row>
    <row r="18" spans="1:11" ht="15" customHeight="1">
      <c r="A18" s="3"/>
      <c r="B18" s="3"/>
      <c r="C18" s="4"/>
      <c r="D18" s="7"/>
      <c r="E18" s="10"/>
      <c r="F18" s="7"/>
      <c r="G18" s="9" t="s">
        <v>20</v>
      </c>
      <c r="H18" s="11" t="s">
        <v>1261</v>
      </c>
      <c r="I18" s="8"/>
      <c r="J18" s="3"/>
      <c r="K18" s="3"/>
    </row>
    <row r="19" spans="1:11" ht="15" customHeight="1">
      <c r="A19" s="3"/>
      <c r="B19" s="3"/>
      <c r="C19" s="4"/>
      <c r="D19" s="7" t="s">
        <v>21</v>
      </c>
      <c r="E19" s="10"/>
      <c r="F19" s="7"/>
      <c r="G19" s="9" t="s">
        <v>22</v>
      </c>
      <c r="H19" s="7" t="s">
        <v>1352</v>
      </c>
      <c r="I19" s="8"/>
      <c r="J19" s="3"/>
      <c r="K19" s="3"/>
    </row>
    <row r="20" spans="1:11" ht="15" customHeight="1">
      <c r="A20" s="3"/>
      <c r="B20" s="3"/>
      <c r="C20" s="4"/>
      <c r="D20" s="918" t="s">
        <v>23</v>
      </c>
      <c r="E20" s="10"/>
      <c r="F20" s="4"/>
      <c r="G20" s="9" t="s">
        <v>24</v>
      </c>
      <c r="H20" s="7" t="str">
        <f>H19</f>
        <v xml:space="preserve">Through 2026-07-17 </v>
      </c>
      <c r="I20" s="8"/>
      <c r="J20" s="3"/>
      <c r="K20" s="3"/>
    </row>
    <row r="21" spans="1:11" ht="15" customHeight="1">
      <c r="A21" s="3"/>
      <c r="B21" s="3"/>
      <c r="C21" s="4"/>
      <c r="D21" s="7"/>
      <c r="E21" s="10"/>
      <c r="F21" s="4"/>
      <c r="G21" s="12" t="s">
        <v>25</v>
      </c>
      <c r="H21" s="13" t="s">
        <v>26</v>
      </c>
      <c r="I21" s="8"/>
      <c r="J21" s="3"/>
      <c r="K21" s="3"/>
    </row>
    <row r="22" spans="1:11" ht="15" customHeight="1">
      <c r="A22" s="3"/>
      <c r="B22" s="3"/>
      <c r="C22" s="4"/>
      <c r="D22" s="7"/>
      <c r="E22" s="10"/>
      <c r="F22" s="4"/>
      <c r="G22" s="12" t="s">
        <v>27</v>
      </c>
      <c r="H22" s="13" t="s">
        <v>28</v>
      </c>
      <c r="I22" s="8"/>
      <c r="J22" s="3"/>
      <c r="K22" s="3"/>
    </row>
    <row r="23" spans="1:11" ht="15" customHeight="1">
      <c r="A23" s="3"/>
      <c r="B23" s="3"/>
      <c r="C23" s="4"/>
      <c r="D23" s="4"/>
      <c r="E23" s="14"/>
      <c r="F23" s="14"/>
      <c r="G23" s="14"/>
      <c r="H23" s="11"/>
      <c r="I23" s="8"/>
      <c r="J23" s="3"/>
      <c r="K23" s="3"/>
    </row>
    <row r="24" spans="1:11" ht="15" customHeight="1">
      <c r="A24" s="3"/>
      <c r="B24" s="3"/>
      <c r="C24" s="3"/>
      <c r="D24" s="3"/>
      <c r="E24" s="3"/>
      <c r="F24" s="3"/>
      <c r="G24" s="3"/>
      <c r="H24" s="3"/>
      <c r="I24" s="3"/>
      <c r="J24" s="3"/>
      <c r="K24" s="3"/>
    </row>
    <row r="25" spans="1:11" ht="15" customHeight="1">
      <c r="A25" s="3"/>
      <c r="B25" s="3"/>
      <c r="C25" s="3"/>
      <c r="D25" s="3"/>
      <c r="E25" s="3"/>
      <c r="F25" s="3"/>
      <c r="G25" s="3"/>
      <c r="H25" s="3"/>
      <c r="I25" s="3"/>
      <c r="J25" s="3"/>
      <c r="K25" s="3"/>
    </row>
    <row r="26" spans="1:11" ht="15" customHeight="1">
      <c r="A26" s="3"/>
      <c r="B26" s="3"/>
      <c r="C26" s="3"/>
      <c r="D26" s="3"/>
      <c r="E26" s="3"/>
      <c r="F26" s="3"/>
      <c r="G26" s="3"/>
      <c r="H26" s="3"/>
      <c r="I26" s="3"/>
      <c r="J26" s="3"/>
      <c r="K26" s="3"/>
    </row>
  </sheetData>
  <mergeCells count="1">
    <mergeCell ref="D7:E14"/>
  </mergeCells>
  <hyperlinks>
    <hyperlink ref="G6" location="Definitions!A1" display="Definitions" xr:uid="{F23665F3-58AB-4FB9-9673-970F43A13DCD}"/>
    <hyperlink ref="G7" location="'APMs calculated'!Print_Area" display="APMs calculated " xr:uid="{9FFDEE25-5990-4F88-AC09-4B469CA01D52}"/>
    <hyperlink ref="G8" location="'Income statement'!A1" display="Income Statement " xr:uid="{8492A14F-6F49-46E9-A6A1-9B5D51698CF4}"/>
    <hyperlink ref="G9" location="Segments!A1" display="Segments " xr:uid="{AA7E9C7E-1098-41BF-8CE1-50ED71169916}"/>
    <hyperlink ref="G10" location="Geography!A1" display="Geography " xr:uid="{B47D5E1C-C729-4BBF-863D-50EE8E3B3CC6}"/>
    <hyperlink ref="G11" location="'Balance Sheet'!A1" display="Balance Sheet" xr:uid="{203698A3-5C7E-44A3-801B-CC4BF197C98B}"/>
    <hyperlink ref="G15" location="'Cash flow'!A1" display="Cash Flow " xr:uid="{EBB48B83-8B44-4E9D-835D-2ADEC60FD157}"/>
    <hyperlink ref="G12" location="'Sales bridges'!A1" display="Sales bridges" xr:uid="{B0257C1D-D6C4-4EE4-B0C1-E1ED3C2116B8}"/>
    <hyperlink ref="G14" location="'Profit bridges'!A1" display="Profit bridges" xr:uid="{5E855A51-B31F-4853-90C1-82663658574A}"/>
    <hyperlink ref="G17" location="ESG!A1" display="ESG " xr:uid="{A7BB76D6-032A-4F18-AEC4-7C8CF3AC3D29}"/>
    <hyperlink ref="G18" location="OIB!A1" display="OIB " xr:uid="{432898AC-3E94-43B7-AF04-545EC276B4F5}"/>
    <hyperlink ref="G19" location="'Large orders'!A1" display="Large Orders " xr:uid="{8F389DE5-77C8-4A48-900A-62B77273F8BE}"/>
    <hyperlink ref="G20" location="'M&amp;A'!A1" display="M&amp;A " xr:uid="{3E765FDE-0F2D-4A1C-AF49-4FA15C70857E}"/>
    <hyperlink ref="G21" location="'Segments (Old)'!A1" display="Segments (OLD) " xr:uid="{9BB69972-F1BB-4D83-87F2-AF86BE5BA9AC}"/>
    <hyperlink ref="G13" location="'Adjusted bridges'!A1" display="Adjusted bridges " xr:uid="{D5BD6090-28C6-46FC-9912-C9F1A22032B3}"/>
    <hyperlink ref="G16" location="'Key figures'!Print_Area" display="Key figures" xr:uid="{7E184255-DA6A-493E-A8BA-C29E07E471B1}"/>
    <hyperlink ref="G22" location="'Atlas Copco (Old) '!A1" display="Atlas Copco (Old) " xr:uid="{DC65DB28-21D1-48A0-A52F-877DC2970257}"/>
    <hyperlink ref="D20" r:id="rId1" xr:uid="{69E96938-CBEC-4D18-A1D3-7E8C87D5DBFA}"/>
  </hyperlinks>
  <pageMargins left="0.7" right="0.7" top="0.75" bottom="0.75" header="0.3" footer="0.3"/>
  <pageSetup paperSize="9" scale="65"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09B6-4E97-4F64-96C5-B51BBBCC3855}">
  <sheetPr>
    <tabColor rgb="FFFFCD00"/>
    <pageSetUpPr fitToPage="1"/>
  </sheetPr>
  <dimension ref="A1:CL33"/>
  <sheetViews>
    <sheetView showGridLines="0" workbookViewId="0"/>
  </sheetViews>
  <sheetFormatPr baseColWidth="10" defaultColWidth="10" defaultRowHeight="13.5" customHeight="1"/>
  <cols>
    <col min="1" max="1" width="22.6640625" customWidth="1"/>
    <col min="2" max="2" width="6.6640625" bestFit="1" customWidth="1"/>
    <col min="3" max="3" width="8.5" customWidth="1"/>
    <col min="4" max="4" width="5.33203125" bestFit="1" customWidth="1"/>
    <col min="5" max="5" width="8.5" customWidth="1"/>
    <col min="6" max="6" width="5.33203125" bestFit="1" customWidth="1"/>
    <col min="7" max="7" width="8.5" customWidth="1"/>
    <col min="8" max="8" width="5.33203125" bestFit="1" customWidth="1"/>
    <col min="9" max="9" width="8.5" customWidth="1"/>
    <col min="10" max="10" width="5.33203125" bestFit="1" customWidth="1"/>
    <col min="11" max="11" width="8.5" customWidth="1"/>
    <col min="12" max="12" width="5.33203125" bestFit="1" customWidth="1"/>
    <col min="13" max="13" width="8.5" customWidth="1"/>
    <col min="14" max="14" width="6.5" customWidth="1"/>
    <col min="15" max="15" width="8.5" customWidth="1"/>
    <col min="16" max="16" width="6.1640625" bestFit="1" customWidth="1"/>
    <col min="17" max="17" width="8.5" customWidth="1"/>
    <col min="18" max="18" width="6.33203125" customWidth="1"/>
    <col min="19" max="19" width="8.5" customWidth="1"/>
    <col min="20" max="20" width="6.33203125" customWidth="1"/>
    <col min="21" max="21" width="8.5" customWidth="1"/>
    <col min="22" max="22" width="4" customWidth="1"/>
    <col min="23" max="23" width="8.6640625" bestFit="1" customWidth="1"/>
    <col min="24" max="24" width="8.5" customWidth="1"/>
    <col min="25" max="25" width="5.33203125" bestFit="1" customWidth="1"/>
    <col min="26" max="26" width="8.5" customWidth="1"/>
    <col min="27" max="27" width="5.33203125" bestFit="1" customWidth="1"/>
    <col min="28" max="28" width="8.5" customWidth="1"/>
    <col min="29" max="29" width="5.33203125" bestFit="1" customWidth="1"/>
    <col min="30" max="30" width="8.5" customWidth="1"/>
    <col min="31" max="31" width="8.6640625" bestFit="1" customWidth="1"/>
    <col min="32" max="32" width="8.5" customWidth="1"/>
    <col min="33" max="33" width="5.33203125" bestFit="1" customWidth="1"/>
    <col min="34" max="34" width="8.5" customWidth="1"/>
    <col min="35" max="35" width="5.33203125" bestFit="1" customWidth="1"/>
    <col min="36" max="36" width="8.5" customWidth="1"/>
    <col min="37" max="37" width="5.33203125" bestFit="1" customWidth="1"/>
    <col min="38" max="38" width="8.5" customWidth="1"/>
    <col min="39" max="39" width="5.33203125" bestFit="1" customWidth="1"/>
    <col min="40" max="40" width="8.5" customWidth="1"/>
    <col min="41" max="41" width="5.33203125" bestFit="1" customWidth="1"/>
    <col min="42" max="42" width="8.5" customWidth="1"/>
    <col min="43" max="43" width="5.33203125" bestFit="1" customWidth="1"/>
    <col min="44" max="44" width="8.5" customWidth="1"/>
    <col min="45" max="45" width="5.33203125" bestFit="1" customWidth="1"/>
    <col min="46" max="46" width="8.5" customWidth="1"/>
    <col min="47" max="47" width="5.33203125" bestFit="1" customWidth="1"/>
    <col min="48" max="48" width="8.5" customWidth="1"/>
    <col min="49" max="49" width="5.33203125" bestFit="1" customWidth="1"/>
    <col min="50" max="50" width="8.5" customWidth="1"/>
    <col min="51" max="51" width="5.33203125" bestFit="1" customWidth="1"/>
    <col min="52" max="52" width="8.5" customWidth="1"/>
    <col min="53" max="53" width="5.33203125" bestFit="1" customWidth="1"/>
    <col min="54" max="54" width="8.5" customWidth="1"/>
    <col min="55" max="55" width="5.33203125" bestFit="1" customWidth="1"/>
    <col min="56" max="56" width="8.5" customWidth="1"/>
    <col min="57" max="57" width="5.33203125" bestFit="1" customWidth="1"/>
    <col min="58" max="58" width="8.5" customWidth="1"/>
    <col min="59" max="59" width="5.33203125" bestFit="1" customWidth="1"/>
    <col min="60" max="60" width="8.5" customWidth="1"/>
    <col min="61" max="61" width="5.33203125" bestFit="1" customWidth="1"/>
    <col min="62" max="62" width="8.5" customWidth="1"/>
    <col min="63" max="63" width="5.33203125" bestFit="1" customWidth="1"/>
    <col min="64" max="64" width="8.5" customWidth="1"/>
    <col min="65" max="65" width="5.33203125" bestFit="1" customWidth="1"/>
    <col min="66" max="66" width="8.5" customWidth="1"/>
    <col min="67" max="67" width="5.33203125" bestFit="1" customWidth="1"/>
    <col min="68" max="68" width="8.5" customWidth="1"/>
    <col min="69" max="69" width="5.33203125" bestFit="1" customWidth="1"/>
    <col min="70" max="70" width="8.5" customWidth="1"/>
    <col min="71" max="71" width="5.33203125" bestFit="1" customWidth="1"/>
    <col min="72" max="72" width="8.5" customWidth="1"/>
    <col min="73" max="73" width="5.33203125" bestFit="1" customWidth="1"/>
    <col min="74" max="74" width="8.5" customWidth="1"/>
    <col min="75" max="75" width="5.33203125" bestFit="1" customWidth="1"/>
    <col min="76" max="76" width="8.5" customWidth="1"/>
    <col min="77" max="77" width="5.33203125" bestFit="1" customWidth="1"/>
    <col min="78" max="78" width="8.5" customWidth="1"/>
    <col min="79" max="79" width="5.33203125" bestFit="1" customWidth="1"/>
    <col min="80" max="80" width="8.5" customWidth="1"/>
    <col min="81" max="81" width="5.33203125" bestFit="1" customWidth="1"/>
    <col min="82" max="82" width="8.5" customWidth="1"/>
    <col min="83" max="83" width="5.33203125" customWidth="1"/>
    <col min="84" max="84" width="8.5" customWidth="1"/>
    <col min="85" max="85" width="5.33203125" bestFit="1" customWidth="1"/>
    <col min="86" max="86" width="8.5" customWidth="1"/>
    <col min="87" max="87" width="5.33203125" bestFit="1" customWidth="1"/>
    <col min="88" max="88" width="8.5" customWidth="1"/>
    <col min="89" max="89" width="5.33203125" bestFit="1" customWidth="1"/>
    <col min="90" max="90" width="8.5" customWidth="1"/>
  </cols>
  <sheetData>
    <row r="1" spans="1:90" ht="17" thickBot="1">
      <c r="A1" s="1" t="s">
        <v>504</v>
      </c>
      <c r="B1" s="87" t="s">
        <v>124</v>
      </c>
      <c r="C1" s="88"/>
      <c r="D1" s="88"/>
      <c r="E1" s="88"/>
      <c r="F1" s="88"/>
      <c r="G1" s="88"/>
      <c r="H1" s="88"/>
      <c r="I1" s="88"/>
      <c r="J1" s="88"/>
      <c r="K1" s="88"/>
      <c r="L1" s="88"/>
      <c r="M1" s="88"/>
      <c r="N1" s="88"/>
      <c r="O1" s="88"/>
      <c r="P1" s="88"/>
      <c r="Q1" s="88"/>
      <c r="R1" s="88"/>
      <c r="S1" s="88"/>
      <c r="T1" s="88"/>
      <c r="U1" s="88"/>
      <c r="V1" s="265"/>
      <c r="W1" s="87" t="s">
        <v>125</v>
      </c>
      <c r="X1" s="88"/>
      <c r="Y1" s="88"/>
      <c r="Z1" s="88"/>
      <c r="AA1" s="88"/>
      <c r="AB1" s="88"/>
      <c r="AC1" s="88"/>
      <c r="AD1" s="90"/>
      <c r="AE1" s="87"/>
      <c r="AF1" s="88"/>
      <c r="AG1" s="88"/>
      <c r="AH1" s="88"/>
      <c r="AI1" s="88"/>
      <c r="AJ1" s="88"/>
      <c r="AK1" s="88"/>
      <c r="AL1" s="90"/>
      <c r="AM1" s="87"/>
      <c r="AN1" s="88"/>
      <c r="AO1" s="88"/>
      <c r="AP1" s="88"/>
      <c r="AQ1" s="88"/>
      <c r="AR1" s="88"/>
      <c r="AS1" s="88"/>
      <c r="AT1" s="90"/>
      <c r="AU1" s="87"/>
      <c r="AV1" s="88"/>
      <c r="AW1" s="88"/>
      <c r="AX1" s="88"/>
      <c r="AY1" s="88"/>
      <c r="AZ1" s="88"/>
      <c r="BA1" s="88"/>
      <c r="BB1" s="90"/>
      <c r="BC1" s="87"/>
      <c r="BD1" s="88"/>
      <c r="BE1" s="88"/>
      <c r="BF1" s="88"/>
      <c r="BG1" s="88"/>
      <c r="BH1" s="88"/>
      <c r="BI1" s="88"/>
      <c r="BJ1" s="90"/>
      <c r="BK1" s="87"/>
      <c r="BL1" s="88"/>
      <c r="BM1" s="88"/>
      <c r="BN1" s="88"/>
      <c r="BO1" s="88"/>
      <c r="BP1" s="88"/>
      <c r="BQ1" s="88"/>
      <c r="BR1" s="90"/>
      <c r="BS1" s="87"/>
      <c r="BT1" s="88"/>
      <c r="BU1" s="88"/>
      <c r="BV1" s="88"/>
      <c r="BW1" s="88"/>
      <c r="BX1" s="88"/>
      <c r="BY1" s="88"/>
      <c r="BZ1" s="90"/>
      <c r="CA1" s="87"/>
      <c r="CB1" s="88"/>
      <c r="CC1" s="88"/>
      <c r="CD1" s="88"/>
      <c r="CE1" s="88"/>
      <c r="CF1" s="88"/>
      <c r="CG1" s="88"/>
      <c r="CH1" s="90"/>
      <c r="CI1" s="87"/>
      <c r="CJ1" s="88"/>
      <c r="CK1" s="88"/>
      <c r="CL1" s="88"/>
    </row>
    <row r="2" spans="1:90" ht="15" thickTop="1" thickBot="1">
      <c r="A2" s="18" t="s">
        <v>30</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7"/>
      <c r="AE2" s="265"/>
      <c r="AF2" s="265"/>
      <c r="AG2" s="265"/>
      <c r="AH2" s="265"/>
      <c r="AI2" s="265"/>
      <c r="AJ2" s="265"/>
      <c r="AK2" s="265"/>
      <c r="AL2" s="267"/>
      <c r="AM2" s="265"/>
      <c r="AN2" s="265"/>
      <c r="AO2" s="265"/>
      <c r="AP2" s="265"/>
      <c r="AQ2" s="265"/>
      <c r="AR2" s="265"/>
      <c r="AS2" s="265"/>
      <c r="AT2" s="267"/>
      <c r="AU2" s="265"/>
      <c r="AV2" s="265"/>
      <c r="AW2" s="265"/>
      <c r="AX2" s="265"/>
      <c r="AY2" s="265"/>
      <c r="AZ2" s="265"/>
      <c r="BA2" s="265"/>
      <c r="BB2" s="267"/>
      <c r="BC2" s="265"/>
      <c r="BD2" s="265"/>
      <c r="BE2" s="265"/>
      <c r="BF2" s="265"/>
      <c r="BG2" s="265"/>
      <c r="BH2" s="265"/>
      <c r="BI2" s="265"/>
      <c r="BJ2" s="267"/>
      <c r="BK2" s="265"/>
      <c r="BL2" s="265"/>
      <c r="BM2" s="265"/>
      <c r="BN2" s="265"/>
      <c r="BO2" s="265"/>
      <c r="BP2" s="265"/>
      <c r="BQ2" s="265"/>
      <c r="BR2" s="267"/>
      <c r="BS2" s="265"/>
      <c r="BT2" s="265"/>
      <c r="BU2" s="265"/>
      <c r="BV2" s="265"/>
      <c r="BW2" s="265"/>
      <c r="BX2" s="265"/>
      <c r="BY2" s="265"/>
      <c r="BZ2" s="267"/>
      <c r="CA2" s="265"/>
      <c r="CB2" s="265"/>
      <c r="CC2" s="265"/>
      <c r="CD2" s="265"/>
      <c r="CE2" s="265"/>
      <c r="CF2" s="265"/>
      <c r="CG2" s="265"/>
      <c r="CH2" s="267"/>
      <c r="CI2" s="265"/>
      <c r="CJ2" s="265"/>
      <c r="CK2" s="265"/>
      <c r="CL2" s="265"/>
    </row>
    <row r="3" spans="1:90" ht="14" thickTop="1">
      <c r="A3" s="438" t="s">
        <v>189</v>
      </c>
      <c r="B3" s="1145" t="s">
        <v>505</v>
      </c>
      <c r="C3" s="1145"/>
      <c r="D3" s="1145" t="s">
        <v>506</v>
      </c>
      <c r="E3" s="1145"/>
      <c r="F3" s="1145" t="s">
        <v>507</v>
      </c>
      <c r="G3" s="1145"/>
      <c r="H3" s="1145" t="s">
        <v>508</v>
      </c>
      <c r="I3" s="1145"/>
      <c r="J3" s="1145" t="s">
        <v>509</v>
      </c>
      <c r="K3" s="1145"/>
      <c r="L3" s="1145" t="s">
        <v>510</v>
      </c>
      <c r="M3" s="1145"/>
      <c r="N3" s="1145" t="s">
        <v>511</v>
      </c>
      <c r="O3" s="1145"/>
      <c r="P3" s="1145" t="s">
        <v>512</v>
      </c>
      <c r="Q3" s="1145"/>
      <c r="R3" s="1145" t="s">
        <v>513</v>
      </c>
      <c r="S3" s="1145"/>
      <c r="T3" s="1145" t="s">
        <v>1267</v>
      </c>
      <c r="U3" s="1145"/>
      <c r="V3" s="442"/>
      <c r="W3" s="1145" t="s">
        <v>514</v>
      </c>
      <c r="X3" s="1145"/>
      <c r="Y3" s="1145" t="s">
        <v>515</v>
      </c>
      <c r="Z3" s="1145"/>
      <c r="AA3" s="1145" t="s">
        <v>516</v>
      </c>
      <c r="AB3" s="1145"/>
      <c r="AC3" s="1145" t="s">
        <v>517</v>
      </c>
      <c r="AD3" s="1149"/>
      <c r="AE3" s="1145" t="s">
        <v>518</v>
      </c>
      <c r="AF3" s="1145"/>
      <c r="AG3" s="1145" t="s">
        <v>519</v>
      </c>
      <c r="AH3" s="1145"/>
      <c r="AI3" s="1145" t="s">
        <v>520</v>
      </c>
      <c r="AJ3" s="1145"/>
      <c r="AK3" s="1145" t="s">
        <v>521</v>
      </c>
      <c r="AL3" s="1149"/>
      <c r="AM3" s="1145" t="s">
        <v>522</v>
      </c>
      <c r="AN3" s="1145"/>
      <c r="AO3" s="1145" t="s">
        <v>523</v>
      </c>
      <c r="AP3" s="1145"/>
      <c r="AQ3" s="1146" t="s">
        <v>524</v>
      </c>
      <c r="AR3" s="1146"/>
      <c r="AS3" s="1146" t="s">
        <v>525</v>
      </c>
      <c r="AT3" s="1147"/>
      <c r="AU3" s="1145" t="s">
        <v>526</v>
      </c>
      <c r="AV3" s="1145"/>
      <c r="AW3" s="1145" t="s">
        <v>527</v>
      </c>
      <c r="AX3" s="1145"/>
      <c r="AY3" s="1145" t="s">
        <v>528</v>
      </c>
      <c r="AZ3" s="1145"/>
      <c r="BA3" s="1146" t="s">
        <v>529</v>
      </c>
      <c r="BB3" s="1147"/>
      <c r="BC3" s="1148" t="s">
        <v>530</v>
      </c>
      <c r="BD3" s="1148"/>
      <c r="BE3" s="1145" t="s">
        <v>531</v>
      </c>
      <c r="BF3" s="1145"/>
      <c r="BG3" s="1145" t="s">
        <v>532</v>
      </c>
      <c r="BH3" s="1145"/>
      <c r="BI3" s="1146" t="s">
        <v>533</v>
      </c>
      <c r="BJ3" s="1147"/>
      <c r="BK3" s="1148" t="s">
        <v>534</v>
      </c>
      <c r="BL3" s="1148"/>
      <c r="BM3" s="1145" t="s">
        <v>535</v>
      </c>
      <c r="BN3" s="1145"/>
      <c r="BO3" s="1145" t="s">
        <v>536</v>
      </c>
      <c r="BP3" s="1145"/>
      <c r="BQ3" s="1146" t="s">
        <v>537</v>
      </c>
      <c r="BR3" s="1147"/>
      <c r="BS3" s="1148" t="s">
        <v>538</v>
      </c>
      <c r="BT3" s="1148"/>
      <c r="BU3" s="1145" t="s">
        <v>539</v>
      </c>
      <c r="BV3" s="1145"/>
      <c r="BW3" s="1145" t="s">
        <v>540</v>
      </c>
      <c r="BX3" s="1145"/>
      <c r="BY3" s="1146" t="s">
        <v>541</v>
      </c>
      <c r="BZ3" s="1147"/>
      <c r="CA3" s="1148" t="s">
        <v>542</v>
      </c>
      <c r="CB3" s="1148"/>
      <c r="CC3" s="1145" t="s">
        <v>543</v>
      </c>
      <c r="CD3" s="1145"/>
      <c r="CE3" s="1145" t="s">
        <v>544</v>
      </c>
      <c r="CF3" s="1145"/>
      <c r="CG3" s="1146" t="s">
        <v>1262</v>
      </c>
      <c r="CH3" s="1147"/>
      <c r="CI3" s="1148" t="s">
        <v>1326</v>
      </c>
      <c r="CJ3" s="1148"/>
      <c r="CK3" s="1145" t="s">
        <v>1345</v>
      </c>
      <c r="CL3" s="1145"/>
    </row>
    <row r="4" spans="1:90" ht="13">
      <c r="A4" s="443" t="s">
        <v>298</v>
      </c>
      <c r="B4" s="444" t="s">
        <v>261</v>
      </c>
      <c r="C4" s="444" t="s">
        <v>545</v>
      </c>
      <c r="D4" s="444" t="s">
        <v>261</v>
      </c>
      <c r="E4" s="444" t="s">
        <v>545</v>
      </c>
      <c r="F4" s="444" t="s">
        <v>261</v>
      </c>
      <c r="G4" s="444" t="s">
        <v>545</v>
      </c>
      <c r="H4" s="444" t="s">
        <v>261</v>
      </c>
      <c r="I4" s="444" t="s">
        <v>545</v>
      </c>
      <c r="J4" s="444" t="s">
        <v>261</v>
      </c>
      <c r="K4" s="444" t="s">
        <v>545</v>
      </c>
      <c r="L4" s="444" t="s">
        <v>261</v>
      </c>
      <c r="M4" s="444" t="s">
        <v>545</v>
      </c>
      <c r="N4" s="444" t="s">
        <v>261</v>
      </c>
      <c r="O4" s="444" t="s">
        <v>545</v>
      </c>
      <c r="P4" s="444" t="s">
        <v>261</v>
      </c>
      <c r="Q4" s="444" t="s">
        <v>545</v>
      </c>
      <c r="R4" s="444" t="s">
        <v>261</v>
      </c>
      <c r="S4" s="444" t="s">
        <v>545</v>
      </c>
      <c r="T4" s="444" t="s">
        <v>261</v>
      </c>
      <c r="U4" s="444" t="s">
        <v>545</v>
      </c>
      <c r="V4" s="265"/>
      <c r="W4" s="444" t="s">
        <v>261</v>
      </c>
      <c r="X4" s="444" t="s">
        <v>545</v>
      </c>
      <c r="Y4" s="444" t="s">
        <v>261</v>
      </c>
      <c r="Z4" s="444" t="s">
        <v>545</v>
      </c>
      <c r="AA4" s="444" t="s">
        <v>261</v>
      </c>
      <c r="AB4" s="444" t="s">
        <v>545</v>
      </c>
      <c r="AC4" s="444" t="s">
        <v>261</v>
      </c>
      <c r="AD4" s="445" t="s">
        <v>545</v>
      </c>
      <c r="AE4" s="444" t="s">
        <v>261</v>
      </c>
      <c r="AF4" s="444" t="s">
        <v>545</v>
      </c>
      <c r="AG4" s="444" t="s">
        <v>261</v>
      </c>
      <c r="AH4" s="444" t="s">
        <v>545</v>
      </c>
      <c r="AI4" s="444" t="s">
        <v>261</v>
      </c>
      <c r="AJ4" s="444" t="s">
        <v>545</v>
      </c>
      <c r="AK4" s="444" t="s">
        <v>261</v>
      </c>
      <c r="AL4" s="445" t="s">
        <v>545</v>
      </c>
      <c r="AM4" s="444" t="s">
        <v>261</v>
      </c>
      <c r="AN4" s="444" t="s">
        <v>545</v>
      </c>
      <c r="AO4" s="444" t="s">
        <v>261</v>
      </c>
      <c r="AP4" s="444" t="s">
        <v>545</v>
      </c>
      <c r="AQ4" s="444" t="s">
        <v>261</v>
      </c>
      <c r="AR4" s="444" t="s">
        <v>545</v>
      </c>
      <c r="AS4" s="444" t="s">
        <v>261</v>
      </c>
      <c r="AT4" s="445" t="s">
        <v>545</v>
      </c>
      <c r="AU4" s="444" t="s">
        <v>261</v>
      </c>
      <c r="AV4" s="444" t="s">
        <v>545</v>
      </c>
      <c r="AW4" s="444" t="s">
        <v>261</v>
      </c>
      <c r="AX4" s="444" t="s">
        <v>545</v>
      </c>
      <c r="AY4" s="444" t="s">
        <v>261</v>
      </c>
      <c r="AZ4" s="444" t="s">
        <v>545</v>
      </c>
      <c r="BA4" s="444" t="s">
        <v>261</v>
      </c>
      <c r="BB4" s="445" t="s">
        <v>545</v>
      </c>
      <c r="BC4" s="444" t="s">
        <v>261</v>
      </c>
      <c r="BD4" s="444" t="s">
        <v>545</v>
      </c>
      <c r="BE4" s="444" t="s">
        <v>261</v>
      </c>
      <c r="BF4" s="444" t="s">
        <v>545</v>
      </c>
      <c r="BG4" s="444" t="s">
        <v>261</v>
      </c>
      <c r="BH4" s="444" t="s">
        <v>545</v>
      </c>
      <c r="BI4" s="444" t="s">
        <v>261</v>
      </c>
      <c r="BJ4" s="445" t="s">
        <v>545</v>
      </c>
      <c r="BK4" s="444" t="s">
        <v>261</v>
      </c>
      <c r="BL4" s="444" t="s">
        <v>545</v>
      </c>
      <c r="BM4" s="444" t="s">
        <v>261</v>
      </c>
      <c r="BN4" s="444" t="s">
        <v>545</v>
      </c>
      <c r="BO4" s="444" t="s">
        <v>261</v>
      </c>
      <c r="BP4" s="444" t="s">
        <v>545</v>
      </c>
      <c r="BQ4" s="444" t="s">
        <v>261</v>
      </c>
      <c r="BR4" s="445" t="s">
        <v>545</v>
      </c>
      <c r="BS4" s="444" t="s">
        <v>261</v>
      </c>
      <c r="BT4" s="444" t="s">
        <v>545</v>
      </c>
      <c r="BU4" s="444" t="s">
        <v>261</v>
      </c>
      <c r="BV4" s="444" t="s">
        <v>545</v>
      </c>
      <c r="BW4" s="444" t="s">
        <v>261</v>
      </c>
      <c r="BX4" s="444" t="s">
        <v>545</v>
      </c>
      <c r="BY4" s="444" t="s">
        <v>261</v>
      </c>
      <c r="BZ4" s="445" t="s">
        <v>545</v>
      </c>
      <c r="CA4" s="444" t="s">
        <v>261</v>
      </c>
      <c r="CB4" s="444" t="s">
        <v>545</v>
      </c>
      <c r="CC4" s="444" t="s">
        <v>261</v>
      </c>
      <c r="CD4" s="444" t="s">
        <v>545</v>
      </c>
      <c r="CE4" s="444" t="s">
        <v>261</v>
      </c>
      <c r="CF4" s="444" t="s">
        <v>545</v>
      </c>
      <c r="CG4" s="444" t="s">
        <v>261</v>
      </c>
      <c r="CH4" s="445" t="s">
        <v>545</v>
      </c>
      <c r="CI4" s="444" t="s">
        <v>261</v>
      </c>
      <c r="CJ4" s="444" t="s">
        <v>545</v>
      </c>
      <c r="CK4" s="444" t="s">
        <v>261</v>
      </c>
      <c r="CL4" s="444" t="s">
        <v>545</v>
      </c>
    </row>
    <row r="5" spans="1:90" ht="13">
      <c r="A5" s="392" t="s">
        <v>475</v>
      </c>
      <c r="B5" s="446">
        <v>5175</v>
      </c>
      <c r="C5" s="447">
        <v>18.100000000000001</v>
      </c>
      <c r="D5" s="446">
        <v>4548</v>
      </c>
      <c r="E5" s="447">
        <v>16.782080000000001</v>
      </c>
      <c r="F5" s="446">
        <v>5930</v>
      </c>
      <c r="G5" s="447">
        <v>18.899999999999999</v>
      </c>
      <c r="H5" s="446">
        <v>7385</v>
      </c>
      <c r="I5" s="447">
        <v>19.3</v>
      </c>
      <c r="J5" s="446">
        <v>8136</v>
      </c>
      <c r="K5" s="447">
        <v>19.900000000000002</v>
      </c>
      <c r="L5" s="446">
        <v>7382</v>
      </c>
      <c r="M5" s="447">
        <v>20.399999999999999</v>
      </c>
      <c r="N5" s="446">
        <v>8995</v>
      </c>
      <c r="O5" s="447">
        <v>22.7</v>
      </c>
      <c r="P5" s="446">
        <v>11147</v>
      </c>
      <c r="Q5" s="447">
        <v>22.400000000000002</v>
      </c>
      <c r="R5" s="446">
        <v>13183</v>
      </c>
      <c r="S5" s="447">
        <v>21.8</v>
      </c>
      <c r="T5" s="446">
        <v>12385</v>
      </c>
      <c r="U5" s="447">
        <v>19.5</v>
      </c>
      <c r="V5" s="265"/>
      <c r="W5" s="446">
        <v>1414</v>
      </c>
      <c r="X5" s="447">
        <v>19.100000000000001</v>
      </c>
      <c r="Y5" s="446">
        <v>1468</v>
      </c>
      <c r="Z5" s="447">
        <v>18.600000000000001</v>
      </c>
      <c r="AA5" s="446">
        <v>1520</v>
      </c>
      <c r="AB5" s="447">
        <v>20</v>
      </c>
      <c r="AC5" s="446">
        <v>1528</v>
      </c>
      <c r="AD5" s="448">
        <v>18.099999999999998</v>
      </c>
      <c r="AE5" s="446">
        <v>1515</v>
      </c>
      <c r="AF5" s="447">
        <v>18.399999999999999</v>
      </c>
      <c r="AG5" s="446">
        <v>1810</v>
      </c>
      <c r="AH5" s="447">
        <v>18.399999999999999</v>
      </c>
      <c r="AI5" s="446">
        <v>1898</v>
      </c>
      <c r="AJ5" s="447">
        <v>19.7</v>
      </c>
      <c r="AK5" s="446">
        <v>2162</v>
      </c>
      <c r="AL5" s="448">
        <v>20.5</v>
      </c>
      <c r="AM5" s="446">
        <v>1930</v>
      </c>
      <c r="AN5" s="447">
        <v>19.7</v>
      </c>
      <c r="AO5" s="446">
        <v>2263</v>
      </c>
      <c r="AP5" s="447">
        <v>21.3</v>
      </c>
      <c r="AQ5" s="446">
        <v>1927</v>
      </c>
      <c r="AR5" s="447">
        <v>19</v>
      </c>
      <c r="AS5" s="446">
        <v>2016</v>
      </c>
      <c r="AT5" s="448">
        <v>19.600000000000001</v>
      </c>
      <c r="AU5" s="446">
        <v>1932</v>
      </c>
      <c r="AV5" s="447">
        <v>21.2</v>
      </c>
      <c r="AW5" s="446">
        <v>1418</v>
      </c>
      <c r="AX5" s="447">
        <v>16.8</v>
      </c>
      <c r="AY5" s="446">
        <v>1820</v>
      </c>
      <c r="AZ5" s="447">
        <v>20.9</v>
      </c>
      <c r="BA5" s="446">
        <v>2212</v>
      </c>
      <c r="BB5" s="448">
        <v>22.6</v>
      </c>
      <c r="BC5" s="446">
        <v>1867</v>
      </c>
      <c r="BD5" s="447">
        <v>21.3</v>
      </c>
      <c r="BE5" s="446">
        <v>2182</v>
      </c>
      <c r="BF5" s="447">
        <v>22.400000000000002</v>
      </c>
      <c r="BG5" s="446">
        <v>2352</v>
      </c>
      <c r="BH5" s="447">
        <v>23.599999999999998</v>
      </c>
      <c r="BI5" s="446">
        <v>2594</v>
      </c>
      <c r="BJ5" s="448">
        <v>23.200000000000003</v>
      </c>
      <c r="BK5" s="446">
        <v>2631</v>
      </c>
      <c r="BL5" s="447">
        <v>23.7</v>
      </c>
      <c r="BM5" s="446">
        <v>2381</v>
      </c>
      <c r="BN5" s="447">
        <v>20.100000000000001</v>
      </c>
      <c r="BO5" s="446">
        <v>2900</v>
      </c>
      <c r="BP5" s="447">
        <v>22.7</v>
      </c>
      <c r="BQ5" s="446">
        <v>3235</v>
      </c>
      <c r="BR5" s="448">
        <v>23.200000000000003</v>
      </c>
      <c r="BS5" s="446">
        <v>3161</v>
      </c>
      <c r="BT5" s="447">
        <v>22.8</v>
      </c>
      <c r="BU5" s="446">
        <v>3413</v>
      </c>
      <c r="BV5" s="447">
        <v>21.5</v>
      </c>
      <c r="BW5" s="446">
        <v>3260</v>
      </c>
      <c r="BX5" s="447">
        <v>21.7</v>
      </c>
      <c r="BY5" s="446">
        <v>3349</v>
      </c>
      <c r="BZ5" s="448">
        <v>21.5</v>
      </c>
      <c r="CA5" s="446">
        <v>2760</v>
      </c>
      <c r="CB5" s="447">
        <v>19.5</v>
      </c>
      <c r="CC5" s="446">
        <v>2921</v>
      </c>
      <c r="CD5" s="447">
        <v>17.7</v>
      </c>
      <c r="CE5" s="446">
        <v>3277</v>
      </c>
      <c r="CF5" s="447">
        <v>20.9</v>
      </c>
      <c r="CG5" s="446">
        <v>3427</v>
      </c>
      <c r="CH5" s="448">
        <v>19.900000000000002</v>
      </c>
      <c r="CI5" s="446">
        <v>3088</v>
      </c>
      <c r="CJ5" s="447">
        <v>19.900000000000002</v>
      </c>
      <c r="CK5" s="446">
        <v>2831</v>
      </c>
      <c r="CL5" s="447">
        <v>18.7</v>
      </c>
    </row>
    <row r="6" spans="1:90" ht="13">
      <c r="A6" s="395" t="s">
        <v>476</v>
      </c>
      <c r="B6" s="449"/>
      <c r="C6" s="449">
        <v>-0.8</v>
      </c>
      <c r="D6" s="446"/>
      <c r="E6" s="449">
        <v>1.6</v>
      </c>
      <c r="F6" s="446">
        <v>1500</v>
      </c>
      <c r="G6" s="449">
        <v>1.0999999999999999</v>
      </c>
      <c r="H6" s="446">
        <v>164</v>
      </c>
      <c r="I6" s="449">
        <v>0.3</v>
      </c>
      <c r="J6" s="446">
        <v>-651</v>
      </c>
      <c r="K6" s="449">
        <v>-0.8</v>
      </c>
      <c r="L6" s="446">
        <v>1899</v>
      </c>
      <c r="M6" s="449">
        <v>2.6</v>
      </c>
      <c r="N6" s="446">
        <v>1932</v>
      </c>
      <c r="O6" s="449">
        <v>2</v>
      </c>
      <c r="P6" s="446">
        <v>394</v>
      </c>
      <c r="Q6" s="449">
        <v>-1</v>
      </c>
      <c r="R6" s="446">
        <v>-988</v>
      </c>
      <c r="S6" s="449">
        <v>-1.9</v>
      </c>
      <c r="T6" s="446">
        <v>181</v>
      </c>
      <c r="U6" s="449">
        <v>-0.4</v>
      </c>
      <c r="V6" s="265"/>
      <c r="W6" s="446">
        <v>245</v>
      </c>
      <c r="X6" s="449">
        <v>0.8</v>
      </c>
      <c r="Y6" s="446">
        <v>539</v>
      </c>
      <c r="Z6" s="449">
        <v>2.2000000000000002</v>
      </c>
      <c r="AA6" s="446">
        <v>309</v>
      </c>
      <c r="AB6" s="449">
        <v>0.2</v>
      </c>
      <c r="AC6" s="446">
        <v>407</v>
      </c>
      <c r="AD6" s="450">
        <v>1</v>
      </c>
      <c r="AE6" s="446">
        <v>188</v>
      </c>
      <c r="AF6" s="449">
        <v>-0.2</v>
      </c>
      <c r="AG6" s="446">
        <v>144</v>
      </c>
      <c r="AH6" s="449">
        <v>0.8</v>
      </c>
      <c r="AI6" s="446">
        <v>3</v>
      </c>
      <c r="AJ6" s="449">
        <v>0.70000000000000007</v>
      </c>
      <c r="AK6" s="446">
        <v>-172</v>
      </c>
      <c r="AL6" s="450">
        <v>-0.3</v>
      </c>
      <c r="AM6" s="446">
        <v>-222</v>
      </c>
      <c r="AN6" s="449">
        <v>-0.9</v>
      </c>
      <c r="AO6" s="446">
        <v>-635</v>
      </c>
      <c r="AP6" s="449">
        <v>-3.5000000000000004</v>
      </c>
      <c r="AQ6" s="446">
        <v>-230</v>
      </c>
      <c r="AR6" s="449">
        <v>-2.2999999999999998</v>
      </c>
      <c r="AS6" s="446">
        <v>436</v>
      </c>
      <c r="AT6" s="450">
        <v>3.1</v>
      </c>
      <c r="AU6" s="446">
        <v>307</v>
      </c>
      <c r="AV6" s="449">
        <v>2.1999999999999997</v>
      </c>
      <c r="AW6" s="446">
        <v>766</v>
      </c>
      <c r="AX6" s="449">
        <v>4.3999999999999995</v>
      </c>
      <c r="AY6" s="446">
        <v>620</v>
      </c>
      <c r="AZ6" s="449">
        <v>4.1000000000000005</v>
      </c>
      <c r="BA6" s="446">
        <v>206</v>
      </c>
      <c r="BB6" s="450">
        <v>0.1</v>
      </c>
      <c r="BC6" s="446">
        <v>443</v>
      </c>
      <c r="BD6" s="449">
        <v>1.6</v>
      </c>
      <c r="BE6" s="446">
        <v>445</v>
      </c>
      <c r="BF6" s="449">
        <v>2.4</v>
      </c>
      <c r="BG6" s="446">
        <v>501</v>
      </c>
      <c r="BH6" s="449">
        <v>1.6</v>
      </c>
      <c r="BI6" s="446">
        <v>545</v>
      </c>
      <c r="BJ6" s="450">
        <v>2.5</v>
      </c>
      <c r="BK6" s="446">
        <v>321</v>
      </c>
      <c r="BL6" s="449">
        <v>0.8</v>
      </c>
      <c r="BM6" s="446">
        <v>695</v>
      </c>
      <c r="BN6" s="449">
        <v>2.4</v>
      </c>
      <c r="BO6" s="446">
        <v>-173</v>
      </c>
      <c r="BP6" s="449">
        <v>-2.5</v>
      </c>
      <c r="BQ6" s="446">
        <v>-449</v>
      </c>
      <c r="BR6" s="450">
        <v>-4.3999999999999995</v>
      </c>
      <c r="BS6" s="446">
        <v>-362</v>
      </c>
      <c r="BT6" s="449">
        <v>-3.3000000000000003</v>
      </c>
      <c r="BU6" s="446">
        <v>-631</v>
      </c>
      <c r="BV6" s="449">
        <v>-3.5999999999999996</v>
      </c>
      <c r="BW6" s="446">
        <v>-130</v>
      </c>
      <c r="BX6" s="449">
        <v>-1.3</v>
      </c>
      <c r="BY6" s="446">
        <v>138</v>
      </c>
      <c r="BZ6" s="450">
        <v>0</v>
      </c>
      <c r="CA6" s="446">
        <v>-97</v>
      </c>
      <c r="CB6" s="449">
        <v>-1.3</v>
      </c>
      <c r="CC6" s="446">
        <v>-4</v>
      </c>
      <c r="CD6" s="449">
        <v>-0.1</v>
      </c>
      <c r="CE6" s="446">
        <v>42</v>
      </c>
      <c r="CF6" s="449">
        <v>-0.8</v>
      </c>
      <c r="CG6" s="446">
        <v>241</v>
      </c>
      <c r="CH6" s="450">
        <v>0.6</v>
      </c>
      <c r="CI6" s="446">
        <v>138</v>
      </c>
      <c r="CJ6" s="449">
        <v>0.5</v>
      </c>
      <c r="CK6" s="446">
        <v>570</v>
      </c>
      <c r="CL6" s="449">
        <v>1.4000000000000001</v>
      </c>
    </row>
    <row r="7" spans="1:90" ht="13">
      <c r="A7" s="395" t="s">
        <v>477</v>
      </c>
      <c r="B7" s="449"/>
      <c r="C7" s="449">
        <v>-0.47240000000000126</v>
      </c>
      <c r="D7" s="446"/>
      <c r="E7" s="449">
        <v>0.62356000000000211</v>
      </c>
      <c r="F7" s="446">
        <v>132</v>
      </c>
      <c r="G7" s="449">
        <v>0.2</v>
      </c>
      <c r="H7" s="446">
        <v>657</v>
      </c>
      <c r="I7" s="449">
        <v>0.89999999999999991</v>
      </c>
      <c r="J7" s="446">
        <v>-352</v>
      </c>
      <c r="K7" s="449">
        <v>0.5</v>
      </c>
      <c r="L7" s="446">
        <v>-381</v>
      </c>
      <c r="M7" s="449">
        <v>-0.2</v>
      </c>
      <c r="N7" s="446">
        <v>744</v>
      </c>
      <c r="O7" s="449">
        <v>-0.6</v>
      </c>
      <c r="P7" s="446">
        <v>532</v>
      </c>
      <c r="Q7" s="449">
        <v>0.3</v>
      </c>
      <c r="R7" s="446">
        <v>446</v>
      </c>
      <c r="S7" s="449">
        <v>1.0999999999999999</v>
      </c>
      <c r="T7" s="446">
        <v>-685</v>
      </c>
      <c r="U7" s="449">
        <v>0.4</v>
      </c>
      <c r="V7" s="265"/>
      <c r="W7" s="446">
        <v>-109</v>
      </c>
      <c r="X7" s="449">
        <v>-0.70000000000000007</v>
      </c>
      <c r="Y7" s="446">
        <v>-70</v>
      </c>
      <c r="Z7" s="449">
        <v>-0.8</v>
      </c>
      <c r="AA7" s="446">
        <v>168</v>
      </c>
      <c r="AB7" s="449">
        <v>1</v>
      </c>
      <c r="AC7" s="446">
        <v>143</v>
      </c>
      <c r="AD7" s="450">
        <v>1</v>
      </c>
      <c r="AE7" s="446">
        <v>222</v>
      </c>
      <c r="AF7" s="449">
        <v>1.6</v>
      </c>
      <c r="AG7" s="446">
        <v>170</v>
      </c>
      <c r="AH7" s="449">
        <v>1.2</v>
      </c>
      <c r="AI7" s="446">
        <v>89</v>
      </c>
      <c r="AJ7" s="449">
        <v>-0.1</v>
      </c>
      <c r="AK7" s="446">
        <v>175</v>
      </c>
      <c r="AL7" s="450">
        <v>1.2</v>
      </c>
      <c r="AM7" s="446">
        <v>133</v>
      </c>
      <c r="AN7" s="449">
        <v>1.3</v>
      </c>
      <c r="AO7" s="446">
        <v>-90</v>
      </c>
      <c r="AP7" s="449">
        <v>0</v>
      </c>
      <c r="AQ7" s="446">
        <v>-79</v>
      </c>
      <c r="AR7" s="449">
        <v>1.7000000000000002</v>
      </c>
      <c r="AS7" s="446">
        <v>-318</v>
      </c>
      <c r="AT7" s="450">
        <v>-0.89999999999999991</v>
      </c>
      <c r="AU7" s="446">
        <v>-192</v>
      </c>
      <c r="AV7" s="449">
        <v>0.01</v>
      </c>
      <c r="AW7" s="446">
        <v>-139</v>
      </c>
      <c r="AX7" s="449">
        <v>-0.1</v>
      </c>
      <c r="AY7" s="446">
        <v>-133</v>
      </c>
      <c r="AZ7" s="449">
        <v>-1.3</v>
      </c>
      <c r="BA7" s="446">
        <v>83</v>
      </c>
      <c r="BB7" s="450">
        <v>0.3</v>
      </c>
      <c r="BC7" s="446">
        <v>142</v>
      </c>
      <c r="BD7" s="449">
        <v>-0.2</v>
      </c>
      <c r="BE7" s="446">
        <v>169</v>
      </c>
      <c r="BF7" s="449">
        <v>-0.5</v>
      </c>
      <c r="BG7" s="446">
        <v>216</v>
      </c>
      <c r="BH7" s="449">
        <v>-0.8</v>
      </c>
      <c r="BI7" s="446">
        <v>217</v>
      </c>
      <c r="BJ7" s="450">
        <v>-0.8</v>
      </c>
      <c r="BK7" s="446">
        <v>205</v>
      </c>
      <c r="BL7" s="449">
        <v>0.2</v>
      </c>
      <c r="BM7" s="446">
        <v>-243</v>
      </c>
      <c r="BN7" s="449">
        <v>-2.7</v>
      </c>
      <c r="BO7" s="446">
        <v>254</v>
      </c>
      <c r="BP7" s="449">
        <v>1.5</v>
      </c>
      <c r="BQ7" s="446">
        <v>314</v>
      </c>
      <c r="BR7" s="450">
        <v>2.1999999999999997</v>
      </c>
      <c r="BS7" s="446">
        <v>49</v>
      </c>
      <c r="BT7" s="449">
        <v>1</v>
      </c>
      <c r="BU7" s="446">
        <v>393</v>
      </c>
      <c r="BV7" s="449">
        <v>2.8000000000000003</v>
      </c>
      <c r="BW7" s="446">
        <v>-53</v>
      </c>
      <c r="BX7" s="449">
        <v>0.5</v>
      </c>
      <c r="BY7" s="446">
        <v>57</v>
      </c>
      <c r="BZ7" s="450">
        <v>0.2</v>
      </c>
      <c r="CA7" s="446">
        <v>268</v>
      </c>
      <c r="CB7" s="449">
        <v>1.9</v>
      </c>
      <c r="CC7" s="446">
        <v>-246</v>
      </c>
      <c r="CD7" s="449">
        <v>0.3</v>
      </c>
      <c r="CE7" s="446">
        <v>-230</v>
      </c>
      <c r="CF7" s="449">
        <v>0.2</v>
      </c>
      <c r="CG7" s="446">
        <v>-477</v>
      </c>
      <c r="CH7" s="450">
        <v>-0.70000000000000007</v>
      </c>
      <c r="CI7" s="446">
        <v>-387</v>
      </c>
      <c r="CJ7" s="449">
        <v>-0.6</v>
      </c>
      <c r="CK7" s="446">
        <v>-202</v>
      </c>
      <c r="CL7" s="449">
        <v>-1</v>
      </c>
    </row>
    <row r="8" spans="1:90" ht="13">
      <c r="A8" s="395" t="s">
        <v>478</v>
      </c>
      <c r="B8" s="449"/>
      <c r="C8" s="449">
        <v>0</v>
      </c>
      <c r="D8" s="446"/>
      <c r="E8" s="449">
        <v>-0.1</v>
      </c>
      <c r="F8" s="446">
        <v>-177</v>
      </c>
      <c r="G8" s="449">
        <v>-0.89999999999999991</v>
      </c>
      <c r="H8" s="446">
        <v>-70</v>
      </c>
      <c r="I8" s="449">
        <v>-0.6</v>
      </c>
      <c r="J8" s="446">
        <v>249</v>
      </c>
      <c r="K8" s="449">
        <v>0.8</v>
      </c>
      <c r="L8" s="446">
        <v>95</v>
      </c>
      <c r="M8" s="449">
        <v>-0.1</v>
      </c>
      <c r="N8" s="446">
        <v>-524</v>
      </c>
      <c r="O8" s="449">
        <v>-1.7000000000000002</v>
      </c>
      <c r="P8" s="446">
        <v>1110</v>
      </c>
      <c r="Q8" s="449">
        <v>0.11</v>
      </c>
      <c r="R8" s="446">
        <v>-256</v>
      </c>
      <c r="S8" s="449">
        <v>-1.49</v>
      </c>
      <c r="T8" s="446">
        <v>44</v>
      </c>
      <c r="U8" s="449">
        <v>-0.3</v>
      </c>
      <c r="V8" s="265"/>
      <c r="W8" s="446">
        <v>-35</v>
      </c>
      <c r="X8" s="449">
        <v>-0.8</v>
      </c>
      <c r="Y8" s="446">
        <v>-127</v>
      </c>
      <c r="Z8" s="449">
        <v>-1.6</v>
      </c>
      <c r="AA8" s="446">
        <v>-99</v>
      </c>
      <c r="AB8" s="449">
        <v>-1.5</v>
      </c>
      <c r="AC8" s="446">
        <v>84</v>
      </c>
      <c r="AD8" s="450">
        <v>0.4</v>
      </c>
      <c r="AE8" s="446">
        <v>5</v>
      </c>
      <c r="AF8" s="449">
        <v>-0.1</v>
      </c>
      <c r="AG8" s="446">
        <v>139</v>
      </c>
      <c r="AH8" s="449">
        <v>0.89999999999999991</v>
      </c>
      <c r="AI8" s="446">
        <v>-63</v>
      </c>
      <c r="AJ8" s="449">
        <v>-1.3</v>
      </c>
      <c r="AK8" s="446">
        <v>-149</v>
      </c>
      <c r="AL8" s="450">
        <v>-1.7999999999999998</v>
      </c>
      <c r="AM8" s="446">
        <v>91</v>
      </c>
      <c r="AN8" s="449">
        <v>1.1000000000000001</v>
      </c>
      <c r="AO8" s="446">
        <v>-120</v>
      </c>
      <c r="AP8" s="449">
        <v>-1</v>
      </c>
      <c r="AQ8" s="396">
        <v>202</v>
      </c>
      <c r="AR8" s="449">
        <v>2.5</v>
      </c>
      <c r="AS8" s="396">
        <v>78</v>
      </c>
      <c r="AT8" s="450">
        <v>0.8</v>
      </c>
      <c r="AU8" s="446">
        <v>-180</v>
      </c>
      <c r="AV8" s="449">
        <v>-2.1</v>
      </c>
      <c r="AW8" s="446">
        <v>137</v>
      </c>
      <c r="AX8" s="449">
        <v>1.3</v>
      </c>
      <c r="AY8" s="446">
        <v>45</v>
      </c>
      <c r="AZ8" s="449">
        <v>-0.1</v>
      </c>
      <c r="BA8" s="396">
        <v>93</v>
      </c>
      <c r="BB8" s="450">
        <v>0.2</v>
      </c>
      <c r="BC8" s="446">
        <v>179</v>
      </c>
      <c r="BD8" s="449">
        <v>1</v>
      </c>
      <c r="BE8" s="446">
        <v>-415</v>
      </c>
      <c r="BF8" s="449">
        <v>-4.2</v>
      </c>
      <c r="BG8" s="446">
        <v>-169</v>
      </c>
      <c r="BH8" s="449">
        <v>-1.7000000000000002</v>
      </c>
      <c r="BI8" s="396">
        <v>-121</v>
      </c>
      <c r="BJ8" s="450">
        <v>-1.7000000000000002</v>
      </c>
      <c r="BK8" s="446">
        <v>4</v>
      </c>
      <c r="BL8" s="449">
        <v>-1.9</v>
      </c>
      <c r="BM8" s="446">
        <v>580</v>
      </c>
      <c r="BN8" s="449">
        <v>1.7</v>
      </c>
      <c r="BO8" s="446">
        <v>279</v>
      </c>
      <c r="BP8" s="449">
        <v>0</v>
      </c>
      <c r="BQ8" s="396">
        <v>249</v>
      </c>
      <c r="BR8" s="450">
        <v>0.5</v>
      </c>
      <c r="BS8" s="446">
        <v>-88</v>
      </c>
      <c r="BT8" s="449">
        <v>-1</v>
      </c>
      <c r="BU8" s="446">
        <v>-254</v>
      </c>
      <c r="BV8" s="449">
        <v>-3</v>
      </c>
      <c r="BW8" s="446">
        <v>200</v>
      </c>
      <c r="BX8" s="449">
        <v>0</v>
      </c>
      <c r="BY8" s="396">
        <v>-115</v>
      </c>
      <c r="BZ8" s="450">
        <v>-1.7999999999999998</v>
      </c>
      <c r="CA8" s="446">
        <v>157</v>
      </c>
      <c r="CB8" s="449">
        <v>-0.2</v>
      </c>
      <c r="CC8" s="446">
        <v>160</v>
      </c>
      <c r="CD8" s="449">
        <v>0.8</v>
      </c>
      <c r="CE8" s="446">
        <v>-287</v>
      </c>
      <c r="CF8" s="449">
        <v>-1.9</v>
      </c>
      <c r="CG8" s="396">
        <v>13</v>
      </c>
      <c r="CH8" s="450">
        <v>0.1</v>
      </c>
      <c r="CI8" s="446">
        <v>7</v>
      </c>
      <c r="CJ8" s="449">
        <v>0</v>
      </c>
      <c r="CK8" s="446">
        <v>117</v>
      </c>
      <c r="CL8" s="449">
        <v>0.8</v>
      </c>
    </row>
    <row r="9" spans="1:90" ht="13">
      <c r="A9" s="399" t="s">
        <v>546</v>
      </c>
      <c r="B9" s="451"/>
      <c r="C9" s="451">
        <v>-1.2724000000000013</v>
      </c>
      <c r="D9" s="452"/>
      <c r="E9" s="451">
        <v>2.1235600000000021</v>
      </c>
      <c r="F9" s="452">
        <v>1455</v>
      </c>
      <c r="G9" s="451">
        <v>0.4</v>
      </c>
      <c r="H9" s="452">
        <v>751</v>
      </c>
      <c r="I9" s="451">
        <v>0.6</v>
      </c>
      <c r="J9" s="452">
        <v>-754</v>
      </c>
      <c r="K9" s="451">
        <v>0.5</v>
      </c>
      <c r="L9" s="452">
        <v>1613</v>
      </c>
      <c r="M9" s="451">
        <v>2.2999999999999998</v>
      </c>
      <c r="N9" s="452">
        <v>2152</v>
      </c>
      <c r="O9" s="451">
        <v>-0.3</v>
      </c>
      <c r="P9" s="452">
        <v>2036</v>
      </c>
      <c r="Q9" s="451">
        <v>-0.6</v>
      </c>
      <c r="R9" s="452">
        <v>-798</v>
      </c>
      <c r="S9" s="451">
        <v>-2.2999999999999998</v>
      </c>
      <c r="T9" s="452">
        <v>-460</v>
      </c>
      <c r="U9" s="451">
        <v>-0.3</v>
      </c>
      <c r="V9" s="265"/>
      <c r="W9" s="452">
        <v>101</v>
      </c>
      <c r="X9" s="451">
        <v>-0.70000000000000007</v>
      </c>
      <c r="Y9" s="452">
        <v>342</v>
      </c>
      <c r="Z9" s="451">
        <v>-0.2</v>
      </c>
      <c r="AA9" s="452">
        <v>378</v>
      </c>
      <c r="AB9" s="451">
        <v>-0.3</v>
      </c>
      <c r="AC9" s="452">
        <v>634</v>
      </c>
      <c r="AD9" s="453">
        <v>2.4</v>
      </c>
      <c r="AE9" s="452">
        <v>415</v>
      </c>
      <c r="AF9" s="451">
        <v>1.3</v>
      </c>
      <c r="AG9" s="452">
        <v>453</v>
      </c>
      <c r="AH9" s="451">
        <v>2.9000000000000004</v>
      </c>
      <c r="AI9" s="452">
        <v>29</v>
      </c>
      <c r="AJ9" s="451">
        <v>-0.70000000000000007</v>
      </c>
      <c r="AK9" s="452">
        <v>-146</v>
      </c>
      <c r="AL9" s="453">
        <v>-0.89999999999999991</v>
      </c>
      <c r="AM9" s="452">
        <v>2</v>
      </c>
      <c r="AN9" s="451">
        <v>1.5</v>
      </c>
      <c r="AO9" s="452">
        <v>-845</v>
      </c>
      <c r="AP9" s="451">
        <v>-4.5</v>
      </c>
      <c r="AQ9" s="452">
        <v>-107</v>
      </c>
      <c r="AR9" s="451">
        <v>1.9</v>
      </c>
      <c r="AS9" s="452">
        <v>196</v>
      </c>
      <c r="AT9" s="453">
        <v>3</v>
      </c>
      <c r="AU9" s="452">
        <v>-65</v>
      </c>
      <c r="AV9" s="451">
        <v>0.1</v>
      </c>
      <c r="AW9" s="452">
        <v>764</v>
      </c>
      <c r="AX9" s="451">
        <v>5.6000000000000005</v>
      </c>
      <c r="AY9" s="452">
        <v>532</v>
      </c>
      <c r="AZ9" s="451">
        <v>2.7</v>
      </c>
      <c r="BA9" s="452">
        <v>382</v>
      </c>
      <c r="BB9" s="453">
        <v>0.6</v>
      </c>
      <c r="BC9" s="452">
        <v>764</v>
      </c>
      <c r="BD9" s="451">
        <v>2.4</v>
      </c>
      <c r="BE9" s="452">
        <v>199</v>
      </c>
      <c r="BF9" s="451">
        <v>-2.2999999999999998</v>
      </c>
      <c r="BG9" s="452">
        <v>548</v>
      </c>
      <c r="BH9" s="451">
        <v>-0.89999999999999991</v>
      </c>
      <c r="BI9" s="452">
        <v>641</v>
      </c>
      <c r="BJ9" s="453">
        <v>0</v>
      </c>
      <c r="BK9" s="452">
        <v>530</v>
      </c>
      <c r="BL9" s="451">
        <v>-0.89999999999999991</v>
      </c>
      <c r="BM9" s="452">
        <v>1032</v>
      </c>
      <c r="BN9" s="451">
        <v>1.4</v>
      </c>
      <c r="BO9" s="452">
        <v>360</v>
      </c>
      <c r="BP9" s="451">
        <v>-1</v>
      </c>
      <c r="BQ9" s="452">
        <v>114</v>
      </c>
      <c r="BR9" s="453">
        <v>-1.7000000000000002</v>
      </c>
      <c r="BS9" s="452">
        <v>-401</v>
      </c>
      <c r="BT9" s="451">
        <v>-3.3000000000000003</v>
      </c>
      <c r="BU9" s="452">
        <v>-492</v>
      </c>
      <c r="BV9" s="451">
        <v>-3.8</v>
      </c>
      <c r="BW9" s="452">
        <v>17</v>
      </c>
      <c r="BX9" s="451">
        <v>-0.8</v>
      </c>
      <c r="BY9" s="452">
        <v>80</v>
      </c>
      <c r="BZ9" s="453">
        <v>-1.6</v>
      </c>
      <c r="CA9" s="452">
        <v>328</v>
      </c>
      <c r="CB9" s="451">
        <v>0.4</v>
      </c>
      <c r="CC9" s="452">
        <v>-90</v>
      </c>
      <c r="CD9" s="451">
        <v>1</v>
      </c>
      <c r="CE9" s="452">
        <v>-475</v>
      </c>
      <c r="CF9" s="451">
        <v>-2.5</v>
      </c>
      <c r="CG9" s="452">
        <v>-223</v>
      </c>
      <c r="CH9" s="453">
        <v>0</v>
      </c>
      <c r="CI9" s="452">
        <v>-242</v>
      </c>
      <c r="CJ9" s="451">
        <v>-0.1</v>
      </c>
      <c r="CK9" s="452">
        <v>485</v>
      </c>
      <c r="CL9" s="451">
        <v>1.2</v>
      </c>
    </row>
    <row r="10" spans="1:90" ht="13">
      <c r="A10" s="395" t="s">
        <v>480</v>
      </c>
      <c r="B10" s="446">
        <v>4548</v>
      </c>
      <c r="C10" s="447">
        <v>16.8</v>
      </c>
      <c r="D10" s="446">
        <v>5929.5651049849994</v>
      </c>
      <c r="E10" s="447">
        <v>18.905640000000002</v>
      </c>
      <c r="F10" s="446">
        <v>7385</v>
      </c>
      <c r="G10" s="447">
        <v>19.3</v>
      </c>
      <c r="H10" s="446">
        <v>8136</v>
      </c>
      <c r="I10" s="447">
        <v>19.900000000000002</v>
      </c>
      <c r="J10" s="446">
        <v>7382</v>
      </c>
      <c r="K10" s="447">
        <v>20.399999999999999</v>
      </c>
      <c r="L10" s="446">
        <v>8995</v>
      </c>
      <c r="M10" s="447">
        <v>22.7</v>
      </c>
      <c r="N10" s="446">
        <v>11147</v>
      </c>
      <c r="O10" s="447">
        <v>22.400000000000002</v>
      </c>
      <c r="P10" s="446">
        <v>13183</v>
      </c>
      <c r="Q10" s="447">
        <v>21.8</v>
      </c>
      <c r="R10" s="446">
        <v>12385</v>
      </c>
      <c r="S10" s="447">
        <v>19.5</v>
      </c>
      <c r="T10" s="446">
        <v>11925</v>
      </c>
      <c r="U10" s="447">
        <v>19.2</v>
      </c>
      <c r="V10" s="265"/>
      <c r="W10" s="446">
        <v>1515</v>
      </c>
      <c r="X10" s="447">
        <v>18.399999999999999</v>
      </c>
      <c r="Y10" s="446">
        <v>1810</v>
      </c>
      <c r="Z10" s="447">
        <v>18.399999999999999</v>
      </c>
      <c r="AA10" s="446">
        <v>1898</v>
      </c>
      <c r="AB10" s="447">
        <v>19.7</v>
      </c>
      <c r="AC10" s="446">
        <v>2162</v>
      </c>
      <c r="AD10" s="448">
        <v>20.5</v>
      </c>
      <c r="AE10" s="446">
        <v>1930</v>
      </c>
      <c r="AF10" s="447">
        <v>19.7</v>
      </c>
      <c r="AG10" s="446">
        <v>2263</v>
      </c>
      <c r="AH10" s="447">
        <v>21.3</v>
      </c>
      <c r="AI10" s="446">
        <v>1927</v>
      </c>
      <c r="AJ10" s="447">
        <v>19</v>
      </c>
      <c r="AK10" s="446">
        <v>2016</v>
      </c>
      <c r="AL10" s="448">
        <v>19.600000000000001</v>
      </c>
      <c r="AM10" s="446">
        <v>1932</v>
      </c>
      <c r="AN10" s="447">
        <v>21.2</v>
      </c>
      <c r="AO10" s="446">
        <v>1418</v>
      </c>
      <c r="AP10" s="447">
        <v>16.8</v>
      </c>
      <c r="AQ10" s="446">
        <v>1820</v>
      </c>
      <c r="AR10" s="447">
        <v>20.9</v>
      </c>
      <c r="AS10" s="446">
        <v>2212</v>
      </c>
      <c r="AT10" s="448">
        <v>22.6</v>
      </c>
      <c r="AU10" s="446">
        <v>1867</v>
      </c>
      <c r="AV10" s="447">
        <v>21.3</v>
      </c>
      <c r="AW10" s="446">
        <v>2182</v>
      </c>
      <c r="AX10" s="447">
        <v>22.400000000000002</v>
      </c>
      <c r="AY10" s="446">
        <v>2352</v>
      </c>
      <c r="AZ10" s="447">
        <v>23.599999999999998</v>
      </c>
      <c r="BA10" s="446">
        <v>2594</v>
      </c>
      <c r="BB10" s="448">
        <v>23.200000000000003</v>
      </c>
      <c r="BC10" s="446">
        <v>2631</v>
      </c>
      <c r="BD10" s="447">
        <v>23.7</v>
      </c>
      <c r="BE10" s="446">
        <v>2381</v>
      </c>
      <c r="BF10" s="447">
        <v>20.100000000000001</v>
      </c>
      <c r="BG10" s="446">
        <v>2900</v>
      </c>
      <c r="BH10" s="447">
        <v>22.7</v>
      </c>
      <c r="BI10" s="446">
        <v>3235</v>
      </c>
      <c r="BJ10" s="448">
        <v>23.200000000000003</v>
      </c>
      <c r="BK10" s="446">
        <v>3161</v>
      </c>
      <c r="BL10" s="447">
        <v>22.8</v>
      </c>
      <c r="BM10" s="446">
        <v>3413</v>
      </c>
      <c r="BN10" s="447">
        <v>21.5</v>
      </c>
      <c r="BO10" s="446">
        <v>3260</v>
      </c>
      <c r="BP10" s="447">
        <v>21.7</v>
      </c>
      <c r="BQ10" s="446">
        <v>3349</v>
      </c>
      <c r="BR10" s="448">
        <v>21.5</v>
      </c>
      <c r="BS10" s="446">
        <v>2760</v>
      </c>
      <c r="BT10" s="447">
        <v>19.5</v>
      </c>
      <c r="BU10" s="446">
        <v>2921</v>
      </c>
      <c r="BV10" s="447">
        <v>17.7</v>
      </c>
      <c r="BW10" s="446">
        <v>3277</v>
      </c>
      <c r="BX10" s="447">
        <v>20.9</v>
      </c>
      <c r="BY10" s="446">
        <v>3429</v>
      </c>
      <c r="BZ10" s="448">
        <v>19.900000000000002</v>
      </c>
      <c r="CA10" s="446">
        <v>3088</v>
      </c>
      <c r="CB10" s="447">
        <v>19.900000000000002</v>
      </c>
      <c r="CC10" s="446">
        <v>2831</v>
      </c>
      <c r="CD10" s="447">
        <v>18.7</v>
      </c>
      <c r="CE10" s="446">
        <v>2802</v>
      </c>
      <c r="CF10" s="447">
        <v>18.399999999999999</v>
      </c>
      <c r="CG10" s="446">
        <v>3204</v>
      </c>
      <c r="CH10" s="448">
        <v>19.900000000000002</v>
      </c>
      <c r="CI10" s="446">
        <v>2846</v>
      </c>
      <c r="CJ10" s="447">
        <v>19.8</v>
      </c>
      <c r="CK10" s="446">
        <v>3316</v>
      </c>
      <c r="CL10" s="447">
        <v>19.900000000000002</v>
      </c>
    </row>
    <row r="11" spans="1:90" ht="13">
      <c r="A11" s="395"/>
      <c r="B11" s="446"/>
      <c r="C11" s="384"/>
      <c r="D11" s="446"/>
      <c r="E11" s="384"/>
      <c r="F11" s="446"/>
      <c r="G11" s="384"/>
      <c r="H11" s="446"/>
      <c r="I11" s="384"/>
      <c r="J11" s="446"/>
      <c r="K11" s="384"/>
      <c r="L11" s="446"/>
      <c r="M11" s="384"/>
      <c r="N11" s="446"/>
      <c r="O11" s="384"/>
      <c r="P11" s="446"/>
      <c r="Q11" s="384"/>
      <c r="R11" s="446"/>
      <c r="S11" s="384"/>
      <c r="T11" s="446"/>
      <c r="U11" s="384"/>
      <c r="V11" s="265"/>
      <c r="W11" s="446"/>
      <c r="X11" s="384"/>
      <c r="Y11" s="446"/>
      <c r="Z11" s="384"/>
      <c r="AA11" s="446"/>
      <c r="AB11" s="384"/>
      <c r="AC11" s="446"/>
      <c r="AD11" s="385"/>
      <c r="AE11" s="446"/>
      <c r="AF11" s="384"/>
      <c r="AG11" s="446"/>
      <c r="AH11" s="384"/>
      <c r="AI11" s="446"/>
      <c r="AJ11" s="384"/>
      <c r="AK11" s="446"/>
      <c r="AL11" s="385"/>
      <c r="AM11" s="446"/>
      <c r="AN11" s="384"/>
      <c r="AO11" s="446"/>
      <c r="AP11" s="384"/>
      <c r="AQ11" s="446"/>
      <c r="AR11" s="384"/>
      <c r="AS11" s="446"/>
      <c r="AT11" s="385"/>
      <c r="AU11" s="446"/>
      <c r="AV11" s="384"/>
      <c r="AW11" s="446"/>
      <c r="AX11" s="384"/>
      <c r="AY11" s="446"/>
      <c r="AZ11" s="384"/>
      <c r="BA11" s="446"/>
      <c r="BB11" s="385"/>
      <c r="BC11" s="446"/>
      <c r="BD11" s="384"/>
      <c r="BE11" s="446"/>
      <c r="BF11" s="384"/>
      <c r="BG11" s="446"/>
      <c r="BH11" s="384"/>
      <c r="BI11" s="446"/>
      <c r="BJ11" s="385"/>
      <c r="BK11" s="446"/>
      <c r="BL11" s="384"/>
      <c r="BM11" s="446"/>
      <c r="BN11" s="384"/>
      <c r="BO11" s="446"/>
      <c r="BP11" s="384"/>
      <c r="BQ11" s="446"/>
      <c r="BR11" s="385"/>
      <c r="BS11" s="446"/>
      <c r="BT11" s="384"/>
      <c r="BU11" s="446"/>
      <c r="BV11" s="384"/>
      <c r="BW11" s="446"/>
      <c r="BX11" s="384"/>
      <c r="BY11" s="446"/>
      <c r="BZ11" s="385"/>
      <c r="CA11" s="446"/>
      <c r="CB11" s="384"/>
      <c r="CC11" s="446"/>
      <c r="CD11" s="384"/>
      <c r="CE11" s="446"/>
      <c r="CF11" s="384"/>
      <c r="CG11" s="446"/>
      <c r="CH11" s="385"/>
      <c r="CI11" s="446"/>
      <c r="CJ11" s="384"/>
      <c r="CK11" s="446"/>
      <c r="CL11" s="384"/>
    </row>
    <row r="12" spans="1:90" ht="13">
      <c r="A12" s="395"/>
      <c r="B12" s="396"/>
      <c r="C12" s="396"/>
      <c r="D12" s="396"/>
      <c r="E12" s="396"/>
      <c r="F12" s="396"/>
      <c r="G12" s="396"/>
      <c r="H12" s="396"/>
      <c r="I12" s="396"/>
      <c r="J12" s="396"/>
      <c r="K12" s="396"/>
      <c r="L12" s="396"/>
      <c r="M12" s="396"/>
      <c r="N12" s="396"/>
      <c r="O12" s="396"/>
      <c r="P12" s="396"/>
      <c r="Q12" s="396"/>
      <c r="R12" s="396"/>
      <c r="S12" s="396"/>
      <c r="T12" s="396"/>
      <c r="U12" s="396"/>
      <c r="V12" s="265"/>
      <c r="W12" s="396"/>
      <c r="X12" s="396"/>
      <c r="Y12" s="396"/>
      <c r="Z12" s="396"/>
      <c r="AA12" s="396"/>
      <c r="AB12" s="396"/>
      <c r="AC12" s="396"/>
      <c r="AD12" s="397"/>
      <c r="AE12" s="396"/>
      <c r="AF12" s="396"/>
      <c r="AG12" s="396"/>
      <c r="AH12" s="396"/>
      <c r="AI12" s="396"/>
      <c r="AJ12" s="396"/>
      <c r="AK12" s="396"/>
      <c r="AL12" s="397"/>
      <c r="AM12" s="396"/>
      <c r="AN12" s="396"/>
      <c r="AO12" s="396"/>
      <c r="AP12" s="396"/>
      <c r="AQ12" s="396"/>
      <c r="AR12" s="396"/>
      <c r="AS12" s="396"/>
      <c r="AT12" s="397"/>
      <c r="AU12" s="396"/>
      <c r="AV12" s="396"/>
      <c r="AW12" s="396"/>
      <c r="AX12" s="396"/>
      <c r="AY12" s="396"/>
      <c r="AZ12" s="396"/>
      <c r="BA12" s="396"/>
      <c r="BB12" s="397"/>
      <c r="BC12" s="396"/>
      <c r="BD12" s="396"/>
      <c r="BE12" s="396"/>
      <c r="BF12" s="396"/>
      <c r="BG12" s="396"/>
      <c r="BH12" s="396"/>
      <c r="BI12" s="396"/>
      <c r="BJ12" s="397"/>
      <c r="BK12" s="396"/>
      <c r="BL12" s="396"/>
      <c r="BM12" s="396"/>
      <c r="BN12" s="396"/>
      <c r="BO12" s="396"/>
      <c r="BP12" s="396"/>
      <c r="BQ12" s="396"/>
      <c r="BR12" s="397"/>
      <c r="BS12" s="396"/>
      <c r="BT12" s="396"/>
      <c r="BU12" s="396"/>
      <c r="BV12" s="396"/>
      <c r="BW12" s="396"/>
      <c r="BX12" s="396"/>
      <c r="BY12" s="396"/>
      <c r="BZ12" s="397"/>
      <c r="CA12" s="396"/>
      <c r="CB12" s="396"/>
      <c r="CC12" s="396"/>
      <c r="CD12" s="396"/>
      <c r="CE12" s="396"/>
      <c r="CF12" s="396"/>
      <c r="CG12" s="396"/>
      <c r="CH12" s="397"/>
      <c r="CI12" s="396"/>
      <c r="CJ12" s="396"/>
      <c r="CK12" s="396"/>
      <c r="CL12" s="396"/>
    </row>
    <row r="13" spans="1:90" ht="13">
      <c r="A13" s="454" t="s">
        <v>547</v>
      </c>
      <c r="B13" s="1145" t="s">
        <v>505</v>
      </c>
      <c r="C13" s="1145"/>
      <c r="D13" s="1145" t="s">
        <v>506</v>
      </c>
      <c r="E13" s="1145"/>
      <c r="F13" s="1145" t="s">
        <v>507</v>
      </c>
      <c r="G13" s="1145"/>
      <c r="H13" s="1145" t="s">
        <v>508</v>
      </c>
      <c r="I13" s="1145"/>
      <c r="J13" s="1145" t="s">
        <v>509</v>
      </c>
      <c r="K13" s="1145"/>
      <c r="L13" s="1145" t="s">
        <v>510</v>
      </c>
      <c r="M13" s="1145"/>
      <c r="N13" s="1145" t="s">
        <v>511</v>
      </c>
      <c r="O13" s="1145"/>
      <c r="P13" s="1145" t="s">
        <v>512</v>
      </c>
      <c r="Q13" s="1145"/>
      <c r="R13" s="1145" t="s">
        <v>513</v>
      </c>
      <c r="S13" s="1145"/>
      <c r="T13" s="1145" t="s">
        <v>1267</v>
      </c>
      <c r="U13" s="1145"/>
      <c r="V13" s="442"/>
      <c r="W13" s="1145" t="s">
        <v>514</v>
      </c>
      <c r="X13" s="1145"/>
      <c r="Y13" s="1145" t="s">
        <v>515</v>
      </c>
      <c r="Z13" s="1145"/>
      <c r="AA13" s="1145" t="s">
        <v>516</v>
      </c>
      <c r="AB13" s="1145"/>
      <c r="AC13" s="1145" t="s">
        <v>517</v>
      </c>
      <c r="AD13" s="1149"/>
      <c r="AE13" s="1145" t="s">
        <v>518</v>
      </c>
      <c r="AF13" s="1145"/>
      <c r="AG13" s="1145" t="s">
        <v>519</v>
      </c>
      <c r="AH13" s="1145"/>
      <c r="AI13" s="1145" t="s">
        <v>520</v>
      </c>
      <c r="AJ13" s="1145"/>
      <c r="AK13" s="1145" t="s">
        <v>521</v>
      </c>
      <c r="AL13" s="1149"/>
      <c r="AM13" s="1145" t="s">
        <v>522</v>
      </c>
      <c r="AN13" s="1145"/>
      <c r="AO13" s="1145" t="s">
        <v>523</v>
      </c>
      <c r="AP13" s="1145"/>
      <c r="AQ13" s="1146" t="s">
        <v>524</v>
      </c>
      <c r="AR13" s="1146"/>
      <c r="AS13" s="1146" t="s">
        <v>525</v>
      </c>
      <c r="AT13" s="1147"/>
      <c r="AU13" s="1145" t="s">
        <v>526</v>
      </c>
      <c r="AV13" s="1145"/>
      <c r="AW13" s="1145" t="s">
        <v>527</v>
      </c>
      <c r="AX13" s="1145"/>
      <c r="AY13" s="1145" t="str">
        <f>+AY3</f>
        <v>2021 Q3</v>
      </c>
      <c r="AZ13" s="1145"/>
      <c r="BA13" s="1146" t="s">
        <v>529</v>
      </c>
      <c r="BB13" s="1147"/>
      <c r="BC13" s="1148" t="s">
        <v>530</v>
      </c>
      <c r="BD13" s="1148"/>
      <c r="BE13" s="1145" t="s">
        <v>531</v>
      </c>
      <c r="BF13" s="1145"/>
      <c r="BG13" s="1145" t="s">
        <v>532</v>
      </c>
      <c r="BH13" s="1145"/>
      <c r="BI13" s="1146" t="s">
        <v>533</v>
      </c>
      <c r="BJ13" s="1147"/>
      <c r="BK13" s="1148" t="s">
        <v>534</v>
      </c>
      <c r="BL13" s="1148"/>
      <c r="BM13" s="1145" t="s">
        <v>535</v>
      </c>
      <c r="BN13" s="1145"/>
      <c r="BO13" s="1145" t="s">
        <v>536</v>
      </c>
      <c r="BP13" s="1145"/>
      <c r="BQ13" s="1146" t="s">
        <v>537</v>
      </c>
      <c r="BR13" s="1147"/>
      <c r="BS13" s="1148" t="s">
        <v>538</v>
      </c>
      <c r="BT13" s="1148"/>
      <c r="BU13" s="1145" t="s">
        <v>539</v>
      </c>
      <c r="BV13" s="1145"/>
      <c r="BW13" s="1145" t="s">
        <v>540</v>
      </c>
      <c r="BX13" s="1145"/>
      <c r="BY13" s="1146" t="s">
        <v>541</v>
      </c>
      <c r="BZ13" s="1147"/>
      <c r="CA13" s="1148" t="s">
        <v>542</v>
      </c>
      <c r="CB13" s="1148"/>
      <c r="CC13" s="1145" t="s">
        <v>543</v>
      </c>
      <c r="CD13" s="1145"/>
      <c r="CE13" s="1145" t="s">
        <v>544</v>
      </c>
      <c r="CF13" s="1145"/>
      <c r="CG13" s="1146" t="s">
        <v>1262</v>
      </c>
      <c r="CH13" s="1147"/>
      <c r="CI13" s="1148" t="s">
        <v>1326</v>
      </c>
      <c r="CJ13" s="1148"/>
      <c r="CK13" s="1145" t="s">
        <v>1345</v>
      </c>
      <c r="CL13" s="1145"/>
    </row>
    <row r="14" spans="1:90" ht="13">
      <c r="A14" s="455"/>
      <c r="B14" s="456" t="s">
        <v>261</v>
      </c>
      <c r="C14" s="456" t="s">
        <v>545</v>
      </c>
      <c r="D14" s="456" t="s">
        <v>261</v>
      </c>
      <c r="E14" s="456" t="s">
        <v>545</v>
      </c>
      <c r="F14" s="456" t="s">
        <v>261</v>
      </c>
      <c r="G14" s="456" t="s">
        <v>545</v>
      </c>
      <c r="H14" s="456" t="s">
        <v>261</v>
      </c>
      <c r="I14" s="456" t="s">
        <v>545</v>
      </c>
      <c r="J14" s="456" t="s">
        <v>261</v>
      </c>
      <c r="K14" s="456" t="s">
        <v>545</v>
      </c>
      <c r="L14" s="456" t="s">
        <v>261</v>
      </c>
      <c r="M14" s="456" t="s">
        <v>545</v>
      </c>
      <c r="N14" s="456" t="s">
        <v>261</v>
      </c>
      <c r="O14" s="456" t="s">
        <v>545</v>
      </c>
      <c r="P14" s="456" t="s">
        <v>261</v>
      </c>
      <c r="Q14" s="456" t="s">
        <v>545</v>
      </c>
      <c r="R14" s="456" t="s">
        <v>261</v>
      </c>
      <c r="S14" s="456" t="s">
        <v>545</v>
      </c>
      <c r="T14" s="456" t="s">
        <v>261</v>
      </c>
      <c r="U14" s="456" t="s">
        <v>545</v>
      </c>
      <c r="V14" s="265"/>
      <c r="W14" s="456" t="s">
        <v>261</v>
      </c>
      <c r="X14" s="456" t="s">
        <v>545</v>
      </c>
      <c r="Y14" s="456" t="s">
        <v>261</v>
      </c>
      <c r="Z14" s="456" t="s">
        <v>545</v>
      </c>
      <c r="AA14" s="456" t="s">
        <v>261</v>
      </c>
      <c r="AB14" s="456" t="s">
        <v>545</v>
      </c>
      <c r="AC14" s="456" t="s">
        <v>261</v>
      </c>
      <c r="AD14" s="457" t="s">
        <v>545</v>
      </c>
      <c r="AE14" s="456" t="s">
        <v>261</v>
      </c>
      <c r="AF14" s="456" t="s">
        <v>545</v>
      </c>
      <c r="AG14" s="456" t="s">
        <v>261</v>
      </c>
      <c r="AH14" s="456" t="s">
        <v>545</v>
      </c>
      <c r="AI14" s="456" t="s">
        <v>261</v>
      </c>
      <c r="AJ14" s="456" t="s">
        <v>545</v>
      </c>
      <c r="AK14" s="456" t="s">
        <v>261</v>
      </c>
      <c r="AL14" s="457" t="s">
        <v>545</v>
      </c>
      <c r="AM14" s="456" t="s">
        <v>261</v>
      </c>
      <c r="AN14" s="456" t="s">
        <v>545</v>
      </c>
      <c r="AO14" s="456" t="s">
        <v>261</v>
      </c>
      <c r="AP14" s="456" t="s">
        <v>545</v>
      </c>
      <c r="AQ14" s="456" t="s">
        <v>261</v>
      </c>
      <c r="AR14" s="456" t="s">
        <v>545</v>
      </c>
      <c r="AS14" s="456" t="s">
        <v>261</v>
      </c>
      <c r="AT14" s="457" t="s">
        <v>545</v>
      </c>
      <c r="AU14" s="456" t="s">
        <v>261</v>
      </c>
      <c r="AV14" s="456" t="s">
        <v>545</v>
      </c>
      <c r="AW14" s="456" t="s">
        <v>261</v>
      </c>
      <c r="AX14" s="456" t="s">
        <v>545</v>
      </c>
      <c r="AY14" s="456" t="s">
        <v>261</v>
      </c>
      <c r="AZ14" s="456" t="s">
        <v>545</v>
      </c>
      <c r="BA14" s="456" t="s">
        <v>261</v>
      </c>
      <c r="BB14" s="457" t="s">
        <v>545</v>
      </c>
      <c r="BC14" s="456" t="s">
        <v>261</v>
      </c>
      <c r="BD14" s="456" t="s">
        <v>545</v>
      </c>
      <c r="BE14" s="456" t="s">
        <v>261</v>
      </c>
      <c r="BF14" s="456" t="s">
        <v>545</v>
      </c>
      <c r="BG14" s="456" t="s">
        <v>261</v>
      </c>
      <c r="BH14" s="456" t="s">
        <v>545</v>
      </c>
      <c r="BI14" s="456" t="s">
        <v>261</v>
      </c>
      <c r="BJ14" s="457" t="s">
        <v>545</v>
      </c>
      <c r="BK14" s="456" t="s">
        <v>261</v>
      </c>
      <c r="BL14" s="456" t="s">
        <v>545</v>
      </c>
      <c r="BM14" s="456" t="s">
        <v>261</v>
      </c>
      <c r="BN14" s="456" t="s">
        <v>545</v>
      </c>
      <c r="BO14" s="456" t="s">
        <v>261</v>
      </c>
      <c r="BP14" s="456" t="s">
        <v>545</v>
      </c>
      <c r="BQ14" s="456" t="s">
        <v>261</v>
      </c>
      <c r="BR14" s="457" t="s">
        <v>545</v>
      </c>
      <c r="BS14" s="456" t="s">
        <v>261</v>
      </c>
      <c r="BT14" s="456" t="s">
        <v>545</v>
      </c>
      <c r="BU14" s="456" t="s">
        <v>261</v>
      </c>
      <c r="BV14" s="456" t="s">
        <v>545</v>
      </c>
      <c r="BW14" s="456" t="s">
        <v>261</v>
      </c>
      <c r="BX14" s="456" t="s">
        <v>545</v>
      </c>
      <c r="BY14" s="456" t="s">
        <v>261</v>
      </c>
      <c r="BZ14" s="457" t="s">
        <v>545</v>
      </c>
      <c r="CA14" s="456" t="s">
        <v>261</v>
      </c>
      <c r="CB14" s="456" t="s">
        <v>545</v>
      </c>
      <c r="CC14" s="456" t="s">
        <v>261</v>
      </c>
      <c r="CD14" s="456" t="s">
        <v>545</v>
      </c>
      <c r="CE14" s="456" t="s">
        <v>261</v>
      </c>
      <c r="CF14" s="456" t="s">
        <v>545</v>
      </c>
      <c r="CG14" s="456" t="s">
        <v>261</v>
      </c>
      <c r="CH14" s="457" t="s">
        <v>545</v>
      </c>
      <c r="CI14" s="456" t="s">
        <v>261</v>
      </c>
      <c r="CJ14" s="456" t="s">
        <v>545</v>
      </c>
      <c r="CK14" s="456" t="s">
        <v>261</v>
      </c>
      <c r="CL14" s="456" t="s">
        <v>545</v>
      </c>
    </row>
    <row r="15" spans="1:90" ht="13">
      <c r="A15" s="392" t="s">
        <v>475</v>
      </c>
      <c r="B15" s="446">
        <v>4370</v>
      </c>
      <c r="C15" s="447">
        <v>21.5</v>
      </c>
      <c r="D15" s="446">
        <v>3802</v>
      </c>
      <c r="E15" s="447">
        <v>20.095679999999998</v>
      </c>
      <c r="F15" s="446">
        <v>5107.4681666059005</v>
      </c>
      <c r="G15" s="458">
        <v>22.829891767422165</v>
      </c>
      <c r="H15" s="446">
        <v>6713</v>
      </c>
      <c r="I15" s="458">
        <v>23.5</v>
      </c>
      <c r="J15" s="446">
        <v>7436</v>
      </c>
      <c r="K15" s="458">
        <v>24.9</v>
      </c>
      <c r="L15" s="446">
        <v>6639</v>
      </c>
      <c r="M15" s="458">
        <v>24.7</v>
      </c>
      <c r="N15" s="446">
        <v>7808</v>
      </c>
      <c r="O15" s="458">
        <v>26.6</v>
      </c>
      <c r="P15" s="446">
        <v>9491</v>
      </c>
      <c r="Q15" s="458">
        <v>24.4</v>
      </c>
      <c r="R15" s="446">
        <v>11792</v>
      </c>
      <c r="S15" s="458">
        <v>24.8</v>
      </c>
      <c r="T15" s="446">
        <v>11310</v>
      </c>
      <c r="U15" s="458">
        <v>23.1</v>
      </c>
      <c r="V15" s="265"/>
      <c r="W15" s="446">
        <v>1166</v>
      </c>
      <c r="X15" s="447">
        <v>22.3</v>
      </c>
      <c r="Y15" s="446">
        <v>1242</v>
      </c>
      <c r="Z15" s="447">
        <v>22.6</v>
      </c>
      <c r="AA15" s="446">
        <v>1261</v>
      </c>
      <c r="AB15" s="447">
        <v>23.3</v>
      </c>
      <c r="AC15" s="446">
        <v>1438</v>
      </c>
      <c r="AD15" s="448">
        <v>23</v>
      </c>
      <c r="AE15" s="446">
        <v>1351</v>
      </c>
      <c r="AF15" s="458">
        <v>22.7</v>
      </c>
      <c r="AG15" s="446">
        <v>1741</v>
      </c>
      <c r="AH15" s="447">
        <v>23.8</v>
      </c>
      <c r="AI15" s="446">
        <v>1755</v>
      </c>
      <c r="AJ15" s="447">
        <v>24.5</v>
      </c>
      <c r="AK15" s="446">
        <v>1866</v>
      </c>
      <c r="AL15" s="448">
        <v>23.1</v>
      </c>
      <c r="AM15" s="446">
        <v>1707</v>
      </c>
      <c r="AN15" s="447">
        <v>24</v>
      </c>
      <c r="AO15" s="446">
        <v>1961</v>
      </c>
      <c r="AP15" s="447">
        <v>25.5</v>
      </c>
      <c r="AQ15" s="446">
        <v>1923</v>
      </c>
      <c r="AR15" s="447">
        <v>26.200000000000003</v>
      </c>
      <c r="AS15" s="446">
        <v>1844</v>
      </c>
      <c r="AT15" s="448">
        <v>23.799999999999997</v>
      </c>
      <c r="AU15" s="446">
        <v>1586</v>
      </c>
      <c r="AV15" s="447">
        <v>24.099999999999998</v>
      </c>
      <c r="AW15" s="446">
        <v>1441</v>
      </c>
      <c r="AX15" s="447">
        <v>22.400000000000002</v>
      </c>
      <c r="AY15" s="446">
        <v>1646</v>
      </c>
      <c r="AZ15" s="447">
        <v>25.4</v>
      </c>
      <c r="BA15" s="446">
        <v>1966</v>
      </c>
      <c r="BB15" s="448">
        <v>26.400000000000002</v>
      </c>
      <c r="BC15" s="446">
        <v>1696</v>
      </c>
      <c r="BD15" s="447">
        <v>26.5</v>
      </c>
      <c r="BE15" s="446">
        <v>1880</v>
      </c>
      <c r="BF15" s="447">
        <v>26.200000000000003</v>
      </c>
      <c r="BG15" s="446">
        <v>1909</v>
      </c>
      <c r="BH15" s="447">
        <v>26.400000000000002</v>
      </c>
      <c r="BI15" s="446">
        <v>2323</v>
      </c>
      <c r="BJ15" s="448">
        <v>27.3</v>
      </c>
      <c r="BK15" s="446">
        <v>2188</v>
      </c>
      <c r="BL15" s="447">
        <v>25.8</v>
      </c>
      <c r="BM15" s="446">
        <v>1955</v>
      </c>
      <c r="BN15" s="447">
        <v>21.6</v>
      </c>
      <c r="BO15" s="446">
        <v>2474</v>
      </c>
      <c r="BP15" s="447">
        <v>24.6</v>
      </c>
      <c r="BQ15" s="446">
        <v>2874</v>
      </c>
      <c r="BR15" s="448">
        <v>25.5</v>
      </c>
      <c r="BS15" s="446">
        <v>2718</v>
      </c>
      <c r="BT15" s="447">
        <v>25.3</v>
      </c>
      <c r="BU15" s="446">
        <v>2995</v>
      </c>
      <c r="BV15" s="447">
        <v>23.9</v>
      </c>
      <c r="BW15" s="446">
        <v>2868</v>
      </c>
      <c r="BX15" s="447">
        <v>24.5</v>
      </c>
      <c r="BY15" s="446">
        <v>3213</v>
      </c>
      <c r="BZ15" s="448">
        <v>25.6</v>
      </c>
      <c r="CA15" s="446">
        <v>2503</v>
      </c>
      <c r="CB15" s="447">
        <v>22.3</v>
      </c>
      <c r="CC15" s="446">
        <v>2763</v>
      </c>
      <c r="CD15" s="447">
        <v>22.1</v>
      </c>
      <c r="CE15" s="446">
        <v>2923</v>
      </c>
      <c r="CF15" s="447">
        <v>24.6</v>
      </c>
      <c r="CG15" s="446">
        <v>3121</v>
      </c>
      <c r="CH15" s="448">
        <v>23.400000000000002</v>
      </c>
      <c r="CI15" s="446">
        <v>2724</v>
      </c>
      <c r="CJ15" s="447">
        <v>23.3</v>
      </c>
      <c r="CK15" s="446">
        <v>2577</v>
      </c>
      <c r="CL15" s="447">
        <v>22.5</v>
      </c>
    </row>
    <row r="16" spans="1:90" ht="13">
      <c r="A16" s="395" t="s">
        <v>476</v>
      </c>
      <c r="B16" s="265"/>
      <c r="C16" s="449">
        <v>-1</v>
      </c>
      <c r="D16" s="446"/>
      <c r="E16" s="449">
        <v>2.2999999999999998</v>
      </c>
      <c r="F16" s="446">
        <v>1472</v>
      </c>
      <c r="G16" s="449">
        <v>0.9</v>
      </c>
      <c r="H16" s="446">
        <v>214</v>
      </c>
      <c r="I16" s="449">
        <v>0.3</v>
      </c>
      <c r="J16" s="446">
        <v>-525</v>
      </c>
      <c r="K16" s="449">
        <v>-0.89999999999999991</v>
      </c>
      <c r="L16" s="446">
        <v>1391</v>
      </c>
      <c r="M16" s="449">
        <v>2.1999999999999997</v>
      </c>
      <c r="N16" s="446">
        <v>1816</v>
      </c>
      <c r="O16" s="449">
        <v>2.1</v>
      </c>
      <c r="P16" s="446">
        <v>792</v>
      </c>
      <c r="Q16" s="449">
        <v>-0.70000000000000007</v>
      </c>
      <c r="R16" s="446">
        <v>-724</v>
      </c>
      <c r="S16" s="449">
        <v>-2.5</v>
      </c>
      <c r="T16" s="446">
        <v>28</v>
      </c>
      <c r="U16" s="449">
        <v>-0.89999999999999991</v>
      </c>
      <c r="V16" s="265"/>
      <c r="W16" s="446">
        <v>277</v>
      </c>
      <c r="X16" s="449">
        <v>1.6</v>
      </c>
      <c r="Y16" s="446">
        <v>558</v>
      </c>
      <c r="Z16" s="449">
        <v>2.6</v>
      </c>
      <c r="AA16" s="446">
        <v>339</v>
      </c>
      <c r="AB16" s="449">
        <v>0.4</v>
      </c>
      <c r="AC16" s="446">
        <v>298</v>
      </c>
      <c r="AD16" s="450">
        <v>-0.4</v>
      </c>
      <c r="AE16" s="446">
        <v>169</v>
      </c>
      <c r="AF16" s="449">
        <v>-0.7</v>
      </c>
      <c r="AG16" s="446">
        <v>77</v>
      </c>
      <c r="AH16" s="449">
        <v>0.3</v>
      </c>
      <c r="AI16" s="446">
        <v>102</v>
      </c>
      <c r="AJ16" s="449">
        <v>1.7000000000000002</v>
      </c>
      <c r="AK16" s="446">
        <v>-138</v>
      </c>
      <c r="AL16" s="450">
        <v>-0.4</v>
      </c>
      <c r="AM16" s="446">
        <v>-182</v>
      </c>
      <c r="AN16" s="449">
        <v>-0.7</v>
      </c>
      <c r="AO16" s="446">
        <v>-430</v>
      </c>
      <c r="AP16" s="449">
        <v>-3</v>
      </c>
      <c r="AQ16" s="446">
        <v>-201</v>
      </c>
      <c r="AR16" s="449">
        <v>-2.7</v>
      </c>
      <c r="AS16" s="446">
        <v>290</v>
      </c>
      <c r="AT16" s="450">
        <v>2.1999999999999997</v>
      </c>
      <c r="AU16" s="446">
        <v>267</v>
      </c>
      <c r="AV16" s="449">
        <v>2.4</v>
      </c>
      <c r="AW16" s="446">
        <v>555</v>
      </c>
      <c r="AX16" s="449">
        <v>3.9</v>
      </c>
      <c r="AY16" s="446">
        <v>387</v>
      </c>
      <c r="AZ16" s="449">
        <v>3.5000000000000004</v>
      </c>
      <c r="BA16" s="446">
        <v>188</v>
      </c>
      <c r="BB16" s="450">
        <v>0</v>
      </c>
      <c r="BC16" s="446">
        <v>386</v>
      </c>
      <c r="BD16" s="449">
        <v>1.2000999999999999</v>
      </c>
      <c r="BE16" s="446">
        <v>366</v>
      </c>
      <c r="BF16" s="449">
        <v>2.6</v>
      </c>
      <c r="BG16" s="446">
        <v>480</v>
      </c>
      <c r="BH16" s="449">
        <v>1.4000000000000001</v>
      </c>
      <c r="BI16" s="446">
        <v>591</v>
      </c>
      <c r="BJ16" s="450">
        <v>2.9000000000000004</v>
      </c>
      <c r="BK16" s="446">
        <v>303</v>
      </c>
      <c r="BL16" s="449">
        <v>0.70000000000000007</v>
      </c>
      <c r="BM16" s="446">
        <v>734</v>
      </c>
      <c r="BN16" s="449">
        <v>2.9</v>
      </c>
      <c r="BO16" s="446">
        <v>7</v>
      </c>
      <c r="BP16" s="449">
        <v>-1.6</v>
      </c>
      <c r="BQ16" s="446">
        <v>-256</v>
      </c>
      <c r="BR16" s="450">
        <v>-4.2</v>
      </c>
      <c r="BS16" s="446">
        <v>-273</v>
      </c>
      <c r="BT16" s="449">
        <v>-4.1000000000000005</v>
      </c>
      <c r="BU16" s="446">
        <v>-440</v>
      </c>
      <c r="BV16" s="449">
        <v>-3.6999999999999997</v>
      </c>
      <c r="BW16" s="446">
        <v>-137</v>
      </c>
      <c r="BX16" s="449">
        <v>-2.4</v>
      </c>
      <c r="BY16" s="446">
        <v>123</v>
      </c>
      <c r="BZ16" s="450">
        <v>-0.4</v>
      </c>
      <c r="CA16" s="446">
        <v>16</v>
      </c>
      <c r="CB16" s="449">
        <v>-0.8</v>
      </c>
      <c r="CC16" s="446">
        <v>-55</v>
      </c>
      <c r="CD16" s="449">
        <v>-0.6</v>
      </c>
      <c r="CE16" s="446">
        <v>18</v>
      </c>
      <c r="CF16" s="449">
        <v>-1.0999999999999999</v>
      </c>
      <c r="CG16" s="446">
        <v>49</v>
      </c>
      <c r="CH16" s="450">
        <v>-0.6</v>
      </c>
      <c r="CI16" s="446">
        <v>155</v>
      </c>
      <c r="CJ16" s="449">
        <v>1</v>
      </c>
      <c r="CK16" s="446">
        <v>479</v>
      </c>
      <c r="CL16" s="449">
        <v>1</v>
      </c>
    </row>
    <row r="17" spans="1:90" ht="13">
      <c r="A17" s="395" t="s">
        <v>477</v>
      </c>
      <c r="B17" s="265"/>
      <c r="C17" s="449">
        <v>-0.51534000000000102</v>
      </c>
      <c r="D17" s="446"/>
      <c r="E17" s="449">
        <v>0.30432000000000192</v>
      </c>
      <c r="F17" s="446">
        <v>87</v>
      </c>
      <c r="G17" s="449">
        <v>0.2</v>
      </c>
      <c r="H17" s="446">
        <v>561</v>
      </c>
      <c r="I17" s="449">
        <v>1.0999999999999999</v>
      </c>
      <c r="J17" s="446">
        <v>-221</v>
      </c>
      <c r="K17" s="449">
        <v>0.89999999999999991</v>
      </c>
      <c r="L17" s="446">
        <v>-398</v>
      </c>
      <c r="M17" s="449">
        <v>-0.5</v>
      </c>
      <c r="N17" s="446">
        <v>477</v>
      </c>
      <c r="O17" s="449">
        <v>-1.0999999999999999</v>
      </c>
      <c r="P17" s="446">
        <v>453</v>
      </c>
      <c r="Q17" s="449">
        <v>0.3</v>
      </c>
      <c r="R17" s="446">
        <v>434</v>
      </c>
      <c r="S17" s="449">
        <v>1.3</v>
      </c>
      <c r="T17" s="446">
        <v>-627</v>
      </c>
      <c r="U17" s="449">
        <v>0.5</v>
      </c>
      <c r="V17" s="265"/>
      <c r="W17" s="446">
        <v>-103</v>
      </c>
      <c r="X17" s="449">
        <v>-0.8</v>
      </c>
      <c r="Y17" s="446">
        <v>-60</v>
      </c>
      <c r="Z17" s="449">
        <v>-0.9</v>
      </c>
      <c r="AA17" s="446">
        <v>145</v>
      </c>
      <c r="AB17" s="449">
        <v>1.2</v>
      </c>
      <c r="AC17" s="446">
        <v>105</v>
      </c>
      <c r="AD17" s="450">
        <v>0.89999999999999991</v>
      </c>
      <c r="AE17" s="446">
        <v>203</v>
      </c>
      <c r="AF17" s="449">
        <v>2</v>
      </c>
      <c r="AG17" s="446">
        <v>153</v>
      </c>
      <c r="AH17" s="449">
        <v>1.4000000000000001</v>
      </c>
      <c r="AI17" s="446">
        <v>61</v>
      </c>
      <c r="AJ17" s="449">
        <v>-0.3</v>
      </c>
      <c r="AK17" s="446">
        <v>145</v>
      </c>
      <c r="AL17" s="450">
        <v>1.2</v>
      </c>
      <c r="AM17" s="446">
        <v>94</v>
      </c>
      <c r="AN17" s="449">
        <v>1.3</v>
      </c>
      <c r="AO17" s="446">
        <v>-69</v>
      </c>
      <c r="AP17" s="449">
        <v>0.2</v>
      </c>
      <c r="AQ17" s="446">
        <v>-46</v>
      </c>
      <c r="AR17" s="449">
        <v>2.4</v>
      </c>
      <c r="AS17" s="446">
        <v>-200</v>
      </c>
      <c r="AT17" s="450">
        <v>0</v>
      </c>
      <c r="AU17" s="446">
        <v>-186</v>
      </c>
      <c r="AV17" s="449">
        <v>-0.4</v>
      </c>
      <c r="AW17" s="446">
        <v>-125</v>
      </c>
      <c r="AX17" s="449">
        <v>-0.1</v>
      </c>
      <c r="AY17" s="446">
        <v>-116</v>
      </c>
      <c r="AZ17" s="449">
        <v>-1.6</v>
      </c>
      <c r="BA17" s="446">
        <v>28</v>
      </c>
      <c r="BB17" s="450">
        <v>-0.1</v>
      </c>
      <c r="BC17" s="446">
        <v>109</v>
      </c>
      <c r="BD17" s="449">
        <v>-0.3</v>
      </c>
      <c r="BE17" s="446">
        <v>104</v>
      </c>
      <c r="BF17" s="449">
        <v>-1</v>
      </c>
      <c r="BG17" s="446">
        <v>159</v>
      </c>
      <c r="BH17" s="449">
        <v>-1.3</v>
      </c>
      <c r="BI17" s="446">
        <v>105</v>
      </c>
      <c r="BJ17" s="450">
        <v>-1.7000000000000002</v>
      </c>
      <c r="BK17" s="446">
        <v>165</v>
      </c>
      <c r="BL17" s="449">
        <v>0.1</v>
      </c>
      <c r="BM17" s="446">
        <v>-199</v>
      </c>
      <c r="BN17" s="449">
        <v>-2.9</v>
      </c>
      <c r="BO17" s="446">
        <v>194</v>
      </c>
      <c r="BP17" s="449">
        <v>1.4000000000000001</v>
      </c>
      <c r="BQ17" s="446">
        <v>291</v>
      </c>
      <c r="BR17" s="450">
        <v>2.5</v>
      </c>
      <c r="BS17" s="446">
        <v>59</v>
      </c>
      <c r="BT17" s="449">
        <v>1.3</v>
      </c>
      <c r="BU17" s="446">
        <v>338</v>
      </c>
      <c r="BV17" s="449">
        <v>3</v>
      </c>
      <c r="BW17" s="446">
        <v>-18</v>
      </c>
      <c r="BX17" s="449">
        <v>0.8</v>
      </c>
      <c r="BY17" s="446">
        <v>56</v>
      </c>
      <c r="BZ17" s="450">
        <v>0.3</v>
      </c>
      <c r="CA17" s="446">
        <v>202</v>
      </c>
      <c r="CB17" s="449">
        <v>1.7999999999999998</v>
      </c>
      <c r="CC17" s="446">
        <v>-210</v>
      </c>
      <c r="CD17" s="449">
        <v>0.4</v>
      </c>
      <c r="CE17" s="446">
        <v>-209</v>
      </c>
      <c r="CF17" s="449">
        <v>0.2</v>
      </c>
      <c r="CG17" s="446">
        <v>-410</v>
      </c>
      <c r="CH17" s="450">
        <v>-0.70000000000000007</v>
      </c>
      <c r="CI17" s="446">
        <v>-309</v>
      </c>
      <c r="CJ17" s="449">
        <v>-0.4</v>
      </c>
      <c r="CK17" s="446">
        <v>-135</v>
      </c>
      <c r="CL17" s="449">
        <v>-0.8</v>
      </c>
    </row>
    <row r="18" spans="1:90" ht="13">
      <c r="A18" s="395" t="s">
        <v>478</v>
      </c>
      <c r="B18" s="265"/>
      <c r="C18" s="449">
        <v>0.1</v>
      </c>
      <c r="D18" s="446"/>
      <c r="E18" s="449">
        <v>0.1</v>
      </c>
      <c r="F18" s="446">
        <v>47</v>
      </c>
      <c r="G18" s="449">
        <v>-0.4</v>
      </c>
      <c r="H18" s="446">
        <v>-52</v>
      </c>
      <c r="I18" s="449">
        <v>0</v>
      </c>
      <c r="J18" s="446">
        <v>-51</v>
      </c>
      <c r="K18" s="449">
        <v>-0.2</v>
      </c>
      <c r="L18" s="446">
        <v>176</v>
      </c>
      <c r="M18" s="449">
        <v>0.2</v>
      </c>
      <c r="N18" s="446">
        <v>-824</v>
      </c>
      <c r="O18" s="449">
        <v>-3</v>
      </c>
      <c r="P18" s="446">
        <v>1056</v>
      </c>
      <c r="Q18" s="449">
        <v>0.8</v>
      </c>
      <c r="R18" s="446">
        <v>-192</v>
      </c>
      <c r="S18" s="449">
        <v>-0.5</v>
      </c>
      <c r="T18" s="446">
        <v>-253</v>
      </c>
      <c r="U18" s="449">
        <v>-0.5</v>
      </c>
      <c r="V18" s="265"/>
      <c r="W18" s="446">
        <v>11</v>
      </c>
      <c r="X18" s="449">
        <v>-0.4</v>
      </c>
      <c r="Y18" s="446">
        <v>1</v>
      </c>
      <c r="Z18" s="449">
        <v>-0.5</v>
      </c>
      <c r="AA18" s="446">
        <v>10</v>
      </c>
      <c r="AB18" s="449">
        <v>-0.4</v>
      </c>
      <c r="AC18" s="446">
        <v>25</v>
      </c>
      <c r="AD18" s="450">
        <v>-0.4</v>
      </c>
      <c r="AE18" s="446">
        <v>-16</v>
      </c>
      <c r="AF18" s="449">
        <v>0</v>
      </c>
      <c r="AG18" s="446">
        <v>-10</v>
      </c>
      <c r="AH18" s="449">
        <v>0</v>
      </c>
      <c r="AI18" s="446">
        <v>5</v>
      </c>
      <c r="AJ18" s="449">
        <v>0.3</v>
      </c>
      <c r="AK18" s="446">
        <v>-29</v>
      </c>
      <c r="AL18" s="450">
        <v>-0.1</v>
      </c>
      <c r="AM18" s="446">
        <v>-33</v>
      </c>
      <c r="AN18" s="449">
        <v>-0.5</v>
      </c>
      <c r="AO18" s="446">
        <v>-21</v>
      </c>
      <c r="AP18" s="449">
        <v>-0.3</v>
      </c>
      <c r="AQ18" s="396">
        <v>-30</v>
      </c>
      <c r="AR18" s="449">
        <v>-0.5</v>
      </c>
      <c r="AS18" s="396">
        <v>32</v>
      </c>
      <c r="AT18" s="450">
        <v>0.4</v>
      </c>
      <c r="AU18" s="446">
        <v>29</v>
      </c>
      <c r="AV18" s="449">
        <v>0.4</v>
      </c>
      <c r="AW18" s="446">
        <v>9</v>
      </c>
      <c r="AX18" s="449">
        <v>1.0999999999999999E-2</v>
      </c>
      <c r="AY18" s="446">
        <v>-8</v>
      </c>
      <c r="AZ18" s="449">
        <v>-0.89999999999999991</v>
      </c>
      <c r="BA18" s="396">
        <v>141</v>
      </c>
      <c r="BB18" s="450">
        <v>1</v>
      </c>
      <c r="BC18" s="446">
        <v>-49</v>
      </c>
      <c r="BD18" s="449">
        <v>-1.3</v>
      </c>
      <c r="BE18" s="446">
        <v>-459</v>
      </c>
      <c r="BF18" s="449">
        <v>-6.1</v>
      </c>
      <c r="BG18" s="446">
        <v>-131</v>
      </c>
      <c r="BH18" s="449">
        <v>-1.7000000000000002</v>
      </c>
      <c r="BI18" s="396">
        <v>-192</v>
      </c>
      <c r="BJ18" s="450">
        <v>-2.8000000000000003</v>
      </c>
      <c r="BK18" s="446">
        <v>62</v>
      </c>
      <c r="BL18" s="449">
        <v>-1.3</v>
      </c>
      <c r="BM18" s="446">
        <v>505</v>
      </c>
      <c r="BN18" s="449">
        <v>2.2999999999999998</v>
      </c>
      <c r="BO18" s="446">
        <v>193</v>
      </c>
      <c r="BP18" s="449">
        <v>0.1</v>
      </c>
      <c r="BQ18" s="396">
        <v>302</v>
      </c>
      <c r="BR18" s="450">
        <v>1.7999999999999998</v>
      </c>
      <c r="BS18" s="446">
        <v>-1</v>
      </c>
      <c r="BT18" s="449">
        <v>-0.2</v>
      </c>
      <c r="BU18" s="446">
        <v>-130</v>
      </c>
      <c r="BV18" s="449">
        <v>-1.0999999999999999</v>
      </c>
      <c r="BW18" s="446">
        <v>210</v>
      </c>
      <c r="BX18" s="449">
        <v>1.7000000000000002</v>
      </c>
      <c r="BY18" s="396">
        <v>-272</v>
      </c>
      <c r="BZ18" s="450">
        <v>-2.1</v>
      </c>
      <c r="CA18" s="446">
        <v>3</v>
      </c>
      <c r="CB18" s="449">
        <v>0</v>
      </c>
      <c r="CC18" s="446">
        <v>79</v>
      </c>
      <c r="CD18" s="449">
        <v>0.6</v>
      </c>
      <c r="CE18" s="446">
        <v>-306</v>
      </c>
      <c r="CF18" s="449">
        <v>-2.6</v>
      </c>
      <c r="CG18" s="396">
        <v>-29</v>
      </c>
      <c r="CH18" s="450">
        <v>-0.2</v>
      </c>
      <c r="CI18" s="446">
        <v>14</v>
      </c>
      <c r="CJ18" s="449">
        <v>0.1</v>
      </c>
      <c r="CK18" s="446">
        <v>46</v>
      </c>
      <c r="CL18" s="449">
        <v>0.4</v>
      </c>
    </row>
    <row r="19" spans="1:90" ht="13">
      <c r="A19" s="399" t="s">
        <v>546</v>
      </c>
      <c r="B19" s="459"/>
      <c r="C19" s="451">
        <v>-1.4153400000000009</v>
      </c>
      <c r="D19" s="452"/>
      <c r="E19" s="451">
        <v>2.7043200000000018</v>
      </c>
      <c r="F19" s="452">
        <v>1606</v>
      </c>
      <c r="G19" s="451">
        <v>0.69498559767943391</v>
      </c>
      <c r="H19" s="452">
        <v>723</v>
      </c>
      <c r="I19" s="451">
        <v>1.4</v>
      </c>
      <c r="J19" s="452">
        <v>-797</v>
      </c>
      <c r="K19" s="451">
        <v>-0.2</v>
      </c>
      <c r="L19" s="452">
        <v>1169</v>
      </c>
      <c r="M19" s="451">
        <v>1.9</v>
      </c>
      <c r="N19" s="452">
        <v>1469</v>
      </c>
      <c r="O19" s="451">
        <v>-2</v>
      </c>
      <c r="P19" s="452">
        <v>2301</v>
      </c>
      <c r="Q19" s="451">
        <v>0.4</v>
      </c>
      <c r="R19" s="452">
        <v>-482</v>
      </c>
      <c r="S19" s="451">
        <v>-1.7000000000000002</v>
      </c>
      <c r="T19" s="452">
        <v>-852</v>
      </c>
      <c r="U19" s="451">
        <v>-0.89999999999999991</v>
      </c>
      <c r="V19" s="265"/>
      <c r="W19" s="452">
        <v>185</v>
      </c>
      <c r="X19" s="451">
        <v>0.4</v>
      </c>
      <c r="Y19" s="452">
        <v>499</v>
      </c>
      <c r="Z19" s="451">
        <v>1.2</v>
      </c>
      <c r="AA19" s="452">
        <v>494</v>
      </c>
      <c r="AB19" s="451">
        <v>1.2</v>
      </c>
      <c r="AC19" s="452">
        <v>428</v>
      </c>
      <c r="AD19" s="453">
        <v>0.1</v>
      </c>
      <c r="AE19" s="452">
        <v>356</v>
      </c>
      <c r="AF19" s="451">
        <v>1.3</v>
      </c>
      <c r="AG19" s="452">
        <v>220</v>
      </c>
      <c r="AH19" s="451">
        <v>1.7</v>
      </c>
      <c r="AI19" s="452">
        <v>168</v>
      </c>
      <c r="AJ19" s="451">
        <v>1.7000000000000002</v>
      </c>
      <c r="AK19" s="452">
        <v>-21</v>
      </c>
      <c r="AL19" s="453">
        <v>0.70000000000000007</v>
      </c>
      <c r="AM19" s="452">
        <v>-121</v>
      </c>
      <c r="AN19" s="451">
        <v>0.1</v>
      </c>
      <c r="AO19" s="452">
        <v>-520</v>
      </c>
      <c r="AP19" s="451">
        <v>-3.1</v>
      </c>
      <c r="AQ19" s="452">
        <v>-277</v>
      </c>
      <c r="AR19" s="451">
        <v>-0.8</v>
      </c>
      <c r="AS19" s="452">
        <v>122</v>
      </c>
      <c r="AT19" s="453">
        <v>2.6</v>
      </c>
      <c r="AU19" s="452">
        <v>110</v>
      </c>
      <c r="AV19" s="451">
        <v>2.4</v>
      </c>
      <c r="AW19" s="452">
        <v>439</v>
      </c>
      <c r="AX19" s="451">
        <v>3.8</v>
      </c>
      <c r="AY19" s="452">
        <v>263</v>
      </c>
      <c r="AZ19" s="451">
        <v>1</v>
      </c>
      <c r="BA19" s="452">
        <v>357</v>
      </c>
      <c r="BB19" s="453">
        <v>0.89999999999999991</v>
      </c>
      <c r="BC19" s="452">
        <v>446</v>
      </c>
      <c r="BD19" s="451">
        <v>-0.4</v>
      </c>
      <c r="BE19" s="452">
        <v>11</v>
      </c>
      <c r="BF19" s="451">
        <v>-4.5</v>
      </c>
      <c r="BG19" s="452">
        <v>508</v>
      </c>
      <c r="BH19" s="451">
        <v>-1.6</v>
      </c>
      <c r="BI19" s="452">
        <v>504</v>
      </c>
      <c r="BJ19" s="453">
        <v>-1.6</v>
      </c>
      <c r="BK19" s="452">
        <v>530</v>
      </c>
      <c r="BL19" s="451">
        <v>-0.5</v>
      </c>
      <c r="BM19" s="452">
        <v>1040</v>
      </c>
      <c r="BN19" s="451">
        <v>2.2999999999999998</v>
      </c>
      <c r="BO19" s="452">
        <v>394</v>
      </c>
      <c r="BP19" s="451">
        <v>-0.1</v>
      </c>
      <c r="BQ19" s="452">
        <v>337</v>
      </c>
      <c r="BR19" s="453">
        <v>0.1</v>
      </c>
      <c r="BS19" s="452">
        <v>-215</v>
      </c>
      <c r="BT19" s="451">
        <v>-3</v>
      </c>
      <c r="BU19" s="452">
        <v>-232</v>
      </c>
      <c r="BV19" s="451">
        <v>-1.7999999999999998</v>
      </c>
      <c r="BW19" s="452">
        <v>55</v>
      </c>
      <c r="BX19" s="451">
        <v>0.1</v>
      </c>
      <c r="BY19" s="452">
        <v>-93</v>
      </c>
      <c r="BZ19" s="453">
        <v>-2.1999999999999997</v>
      </c>
      <c r="CA19" s="452">
        <v>221</v>
      </c>
      <c r="CB19" s="451">
        <v>1</v>
      </c>
      <c r="CC19" s="452">
        <v>-186</v>
      </c>
      <c r="CD19" s="451">
        <v>0.4</v>
      </c>
      <c r="CE19" s="452">
        <v>-497</v>
      </c>
      <c r="CF19" s="451">
        <v>-3.5000000000000004</v>
      </c>
      <c r="CG19" s="452">
        <v>-390</v>
      </c>
      <c r="CH19" s="453">
        <v>-1.5</v>
      </c>
      <c r="CI19" s="452">
        <v>-140</v>
      </c>
      <c r="CJ19" s="451">
        <v>0.70000000000000007</v>
      </c>
      <c r="CK19" s="452">
        <v>390</v>
      </c>
      <c r="CL19" s="451">
        <v>0.6</v>
      </c>
    </row>
    <row r="20" spans="1:90" ht="13">
      <c r="A20" s="395" t="s">
        <v>480</v>
      </c>
      <c r="B20" s="446">
        <v>3802</v>
      </c>
      <c r="C20" s="460">
        <v>20.100000000000001</v>
      </c>
      <c r="D20" s="446">
        <v>5107.4681666059005</v>
      </c>
      <c r="E20" s="447">
        <v>22.8</v>
      </c>
      <c r="F20" s="446">
        <v>6713</v>
      </c>
      <c r="G20" s="461">
        <v>23.524877365101599</v>
      </c>
      <c r="H20" s="446">
        <v>7435</v>
      </c>
      <c r="I20" s="458">
        <v>24.9</v>
      </c>
      <c r="J20" s="446">
        <v>6639</v>
      </c>
      <c r="K20" s="458">
        <v>24.7</v>
      </c>
      <c r="L20" s="446">
        <v>7808</v>
      </c>
      <c r="M20" s="458">
        <v>26.6</v>
      </c>
      <c r="N20" s="446">
        <v>9277</v>
      </c>
      <c r="O20" s="458">
        <v>24.6</v>
      </c>
      <c r="P20" s="446">
        <v>11792</v>
      </c>
      <c r="Q20" s="458">
        <v>24.8</v>
      </c>
      <c r="R20" s="446">
        <v>11310</v>
      </c>
      <c r="S20" s="458">
        <v>23.1</v>
      </c>
      <c r="T20" s="446">
        <v>10458</v>
      </c>
      <c r="U20" s="458">
        <v>22.2</v>
      </c>
      <c r="V20" s="265"/>
      <c r="W20" s="446">
        <v>1351</v>
      </c>
      <c r="X20" s="447">
        <v>22.7</v>
      </c>
      <c r="Y20" s="446">
        <v>1741</v>
      </c>
      <c r="Z20" s="447">
        <v>23.8</v>
      </c>
      <c r="AA20" s="446">
        <v>1755</v>
      </c>
      <c r="AB20" s="447">
        <v>24.5</v>
      </c>
      <c r="AC20" s="446">
        <v>1866</v>
      </c>
      <c r="AD20" s="448">
        <v>23.1</v>
      </c>
      <c r="AE20" s="446">
        <v>1707</v>
      </c>
      <c r="AF20" s="458">
        <v>24</v>
      </c>
      <c r="AG20" s="446">
        <v>1961</v>
      </c>
      <c r="AH20" s="447">
        <v>25.5</v>
      </c>
      <c r="AI20" s="446">
        <v>1923</v>
      </c>
      <c r="AJ20" s="447">
        <v>26.2</v>
      </c>
      <c r="AK20" s="446">
        <v>1844</v>
      </c>
      <c r="AL20" s="448">
        <v>23.8</v>
      </c>
      <c r="AM20" s="446">
        <v>1586</v>
      </c>
      <c r="AN20" s="447">
        <v>24.1</v>
      </c>
      <c r="AO20" s="446">
        <v>1441</v>
      </c>
      <c r="AP20" s="447">
        <v>22.400000000000002</v>
      </c>
      <c r="AQ20" s="446">
        <v>1646</v>
      </c>
      <c r="AR20" s="447">
        <v>25.4</v>
      </c>
      <c r="AS20" s="446">
        <v>1966</v>
      </c>
      <c r="AT20" s="448">
        <v>26.400000000000002</v>
      </c>
      <c r="AU20" s="446">
        <v>1696</v>
      </c>
      <c r="AV20" s="447">
        <v>26.5</v>
      </c>
      <c r="AW20" s="446">
        <v>1880</v>
      </c>
      <c r="AX20" s="447">
        <v>26.200000000000003</v>
      </c>
      <c r="AY20" s="446">
        <v>1909</v>
      </c>
      <c r="AZ20" s="447">
        <v>26.400000000000002</v>
      </c>
      <c r="BA20" s="446">
        <v>2323</v>
      </c>
      <c r="BB20" s="448">
        <v>27.3</v>
      </c>
      <c r="BC20" s="446">
        <v>2142</v>
      </c>
      <c r="BD20" s="447">
        <v>26.1</v>
      </c>
      <c r="BE20" s="446">
        <v>1891</v>
      </c>
      <c r="BF20" s="447">
        <v>21.7</v>
      </c>
      <c r="BG20" s="446">
        <v>2417</v>
      </c>
      <c r="BH20" s="447">
        <v>24.8</v>
      </c>
      <c r="BI20" s="446">
        <v>2827</v>
      </c>
      <c r="BJ20" s="448">
        <v>25.7</v>
      </c>
      <c r="BK20" s="446">
        <v>2718</v>
      </c>
      <c r="BL20" s="447">
        <v>25.3</v>
      </c>
      <c r="BM20" s="446">
        <v>2995</v>
      </c>
      <c r="BN20" s="447">
        <v>23.9</v>
      </c>
      <c r="BO20" s="446">
        <v>2868</v>
      </c>
      <c r="BP20" s="447">
        <v>24.5</v>
      </c>
      <c r="BQ20" s="446">
        <v>3211</v>
      </c>
      <c r="BR20" s="448">
        <v>25.6</v>
      </c>
      <c r="BS20" s="446">
        <v>2503</v>
      </c>
      <c r="BT20" s="447">
        <v>22.3</v>
      </c>
      <c r="BU20" s="446">
        <v>2763</v>
      </c>
      <c r="BV20" s="447">
        <v>22.1</v>
      </c>
      <c r="BW20" s="446">
        <v>2923</v>
      </c>
      <c r="BX20" s="447">
        <v>24.6</v>
      </c>
      <c r="BY20" s="446">
        <v>3120</v>
      </c>
      <c r="BZ20" s="448">
        <v>23.400000000000002</v>
      </c>
      <c r="CA20" s="446">
        <v>2724</v>
      </c>
      <c r="CB20" s="447">
        <v>23.3</v>
      </c>
      <c r="CC20" s="446">
        <v>2577</v>
      </c>
      <c r="CD20" s="447">
        <v>22.5</v>
      </c>
      <c r="CE20" s="446">
        <v>2426</v>
      </c>
      <c r="CF20" s="447">
        <v>21.099999999999998</v>
      </c>
      <c r="CG20" s="446">
        <v>2731</v>
      </c>
      <c r="CH20" s="448">
        <v>21.9</v>
      </c>
      <c r="CI20" s="446">
        <v>2584</v>
      </c>
      <c r="CJ20" s="447">
        <v>24</v>
      </c>
      <c r="CK20" s="446">
        <v>2967</v>
      </c>
      <c r="CL20" s="447">
        <v>23.1</v>
      </c>
    </row>
    <row r="21" spans="1:90" ht="13">
      <c r="A21" s="395"/>
      <c r="B21" s="446"/>
      <c r="C21" s="384"/>
      <c r="D21" s="446"/>
      <c r="E21" s="384"/>
      <c r="F21" s="446"/>
      <c r="G21" s="384"/>
      <c r="H21" s="446"/>
      <c r="I21" s="384"/>
      <c r="J21" s="446"/>
      <c r="K21" s="384"/>
      <c r="L21" s="446"/>
      <c r="M21" s="384"/>
      <c r="N21" s="446"/>
      <c r="O21" s="384"/>
      <c r="P21" s="446"/>
      <c r="Q21" s="384"/>
      <c r="R21" s="446"/>
      <c r="S21" s="384"/>
      <c r="T21" s="446"/>
      <c r="U21" s="384"/>
      <c r="V21" s="265"/>
      <c r="W21" s="446"/>
      <c r="X21" s="384"/>
      <c r="Y21" s="446"/>
      <c r="Z21" s="384"/>
      <c r="AA21" s="446"/>
      <c r="AB21" s="384"/>
      <c r="AC21" s="446"/>
      <c r="AD21" s="385"/>
      <c r="AE21" s="446"/>
      <c r="AF21" s="384"/>
      <c r="AG21" s="446"/>
      <c r="AH21" s="384"/>
      <c r="AI21" s="446"/>
      <c r="AJ21" s="384"/>
      <c r="AK21" s="446"/>
      <c r="AL21" s="385"/>
      <c r="AM21" s="446"/>
      <c r="AN21" s="384"/>
      <c r="AO21" s="446"/>
      <c r="AP21" s="384"/>
      <c r="AQ21" s="446"/>
      <c r="AR21" s="384"/>
      <c r="AS21" s="446"/>
      <c r="AT21" s="385"/>
      <c r="AU21" s="446"/>
      <c r="AV21" s="384"/>
      <c r="AW21" s="446"/>
      <c r="AX21" s="384"/>
      <c r="AY21" s="446"/>
      <c r="AZ21" s="384"/>
      <c r="BA21" s="446"/>
      <c r="BB21" s="385"/>
      <c r="BC21" s="446"/>
      <c r="BD21" s="384"/>
      <c r="BE21" s="446"/>
      <c r="BF21" s="384"/>
      <c r="BG21" s="446"/>
      <c r="BH21" s="384"/>
      <c r="BI21" s="446"/>
      <c r="BJ21" s="385"/>
      <c r="BK21" s="446"/>
      <c r="BL21" s="384"/>
      <c r="BM21" s="446"/>
      <c r="BN21" s="384"/>
      <c r="BO21" s="446"/>
      <c r="BP21" s="384"/>
      <c r="BQ21" s="446"/>
      <c r="BR21" s="385"/>
      <c r="BS21" s="446"/>
      <c r="BT21" s="384"/>
      <c r="BU21" s="446"/>
      <c r="BV21" s="384"/>
      <c r="BW21" s="446"/>
      <c r="BX21" s="384"/>
      <c r="BY21" s="446"/>
      <c r="BZ21" s="385"/>
      <c r="CA21" s="446"/>
      <c r="CB21" s="384"/>
      <c r="CC21" s="446"/>
      <c r="CD21" s="384"/>
      <c r="CE21" s="446"/>
      <c r="CF21" s="384"/>
      <c r="CG21" s="446"/>
      <c r="CH21" s="385"/>
      <c r="CI21" s="446"/>
      <c r="CJ21" s="384"/>
      <c r="CK21" s="446"/>
      <c r="CL21" s="384"/>
    </row>
    <row r="22" spans="1:90" ht="13">
      <c r="A22" s="395"/>
      <c r="B22" s="396"/>
      <c r="C22" s="396"/>
      <c r="D22" s="396"/>
      <c r="E22" s="396"/>
      <c r="F22" s="396"/>
      <c r="G22" s="396"/>
      <c r="H22" s="396"/>
      <c r="I22" s="396"/>
      <c r="J22" s="396"/>
      <c r="K22" s="396"/>
      <c r="L22" s="396"/>
      <c r="M22" s="396"/>
      <c r="N22" s="396"/>
      <c r="O22" s="396"/>
      <c r="P22" s="396"/>
      <c r="Q22" s="396"/>
      <c r="R22" s="396"/>
      <c r="S22" s="396"/>
      <c r="T22" s="396"/>
      <c r="U22" s="396"/>
      <c r="V22" s="265"/>
      <c r="W22" s="396"/>
      <c r="X22" s="396"/>
      <c r="Y22" s="396"/>
      <c r="Z22" s="396"/>
      <c r="AA22" s="396"/>
      <c r="AB22" s="396"/>
      <c r="AC22" s="396"/>
      <c r="AD22" s="397"/>
      <c r="AE22" s="396"/>
      <c r="AF22" s="396"/>
      <c r="AG22" s="396"/>
      <c r="AH22" s="396"/>
      <c r="AI22" s="396"/>
      <c r="AJ22" s="396"/>
      <c r="AK22" s="396"/>
      <c r="AL22" s="397"/>
      <c r="AM22" s="396"/>
      <c r="AN22" s="396"/>
      <c r="AO22" s="396"/>
      <c r="AP22" s="396"/>
      <c r="AQ22" s="396"/>
      <c r="AR22" s="396"/>
      <c r="AS22" s="396"/>
      <c r="AT22" s="397"/>
      <c r="AU22" s="396"/>
      <c r="AV22" s="396"/>
      <c r="AW22" s="396"/>
      <c r="AX22" s="396"/>
      <c r="AY22" s="396"/>
      <c r="AZ22" s="396"/>
      <c r="BA22" s="396"/>
      <c r="BB22" s="397"/>
      <c r="BC22" s="396"/>
      <c r="BD22" s="396"/>
      <c r="BE22" s="396"/>
      <c r="BF22" s="396"/>
      <c r="BG22" s="396"/>
      <c r="BH22" s="396"/>
      <c r="BI22" s="396"/>
      <c r="BJ22" s="397"/>
      <c r="BK22" s="396"/>
      <c r="BL22" s="396"/>
      <c r="BM22" s="396"/>
      <c r="BN22" s="396"/>
      <c r="BO22" s="396"/>
      <c r="BP22" s="396"/>
      <c r="BQ22" s="396"/>
      <c r="BR22" s="397"/>
      <c r="BS22" s="396"/>
      <c r="BT22" s="396"/>
      <c r="BU22" s="396"/>
      <c r="BV22" s="396"/>
      <c r="BW22" s="396"/>
      <c r="BX22" s="396"/>
      <c r="BY22" s="396"/>
      <c r="BZ22" s="397"/>
      <c r="CA22" s="396"/>
      <c r="CB22" s="396"/>
      <c r="CC22" s="396"/>
      <c r="CD22" s="396"/>
      <c r="CE22" s="396"/>
      <c r="CF22" s="396"/>
      <c r="CG22" s="396"/>
      <c r="CH22" s="397"/>
      <c r="CI22" s="396"/>
      <c r="CJ22" s="396"/>
      <c r="CK22" s="396"/>
      <c r="CL22" s="396"/>
    </row>
    <row r="23" spans="1:90" ht="13">
      <c r="A23" s="454" t="s">
        <v>296</v>
      </c>
      <c r="B23" s="1148" t="s">
        <v>505</v>
      </c>
      <c r="C23" s="1148"/>
      <c r="D23" s="1148" t="s">
        <v>506</v>
      </c>
      <c r="E23" s="1148"/>
      <c r="F23" s="1148" t="s">
        <v>507</v>
      </c>
      <c r="G23" s="1148"/>
      <c r="H23" s="1148" t="s">
        <v>508</v>
      </c>
      <c r="I23" s="1148"/>
      <c r="J23" s="1148" t="s">
        <v>509</v>
      </c>
      <c r="K23" s="1148"/>
      <c r="L23" s="1145" t="s">
        <v>510</v>
      </c>
      <c r="M23" s="1145"/>
      <c r="N23" s="1145" t="s">
        <v>511</v>
      </c>
      <c r="O23" s="1145"/>
      <c r="P23" s="1145" t="s">
        <v>512</v>
      </c>
      <c r="Q23" s="1145"/>
      <c r="R23" s="1145" t="s">
        <v>513</v>
      </c>
      <c r="S23" s="1145"/>
      <c r="T23" s="1145" t="s">
        <v>1267</v>
      </c>
      <c r="U23" s="1145"/>
      <c r="V23" s="265"/>
      <c r="W23" s="1148" t="s">
        <v>514</v>
      </c>
      <c r="X23" s="1148"/>
      <c r="Y23" s="1148" t="s">
        <v>515</v>
      </c>
      <c r="Z23" s="1148"/>
      <c r="AA23" s="1148" t="s">
        <v>516</v>
      </c>
      <c r="AB23" s="1148"/>
      <c r="AC23" s="1148" t="s">
        <v>517</v>
      </c>
      <c r="AD23" s="1150"/>
      <c r="AE23" s="1148" t="s">
        <v>518</v>
      </c>
      <c r="AF23" s="1148"/>
      <c r="AG23" s="1148" t="s">
        <v>519</v>
      </c>
      <c r="AH23" s="1148"/>
      <c r="AI23" s="1148" t="s">
        <v>520</v>
      </c>
      <c r="AJ23" s="1148"/>
      <c r="AK23" s="1148" t="s">
        <v>521</v>
      </c>
      <c r="AL23" s="1150"/>
      <c r="AM23" s="1148" t="s">
        <v>522</v>
      </c>
      <c r="AN23" s="1148"/>
      <c r="AO23" s="1148" t="s">
        <v>523</v>
      </c>
      <c r="AP23" s="1148"/>
      <c r="AQ23" s="1151" t="s">
        <v>524</v>
      </c>
      <c r="AR23" s="1151"/>
      <c r="AS23" s="1151" t="s">
        <v>525</v>
      </c>
      <c r="AT23" s="1152"/>
      <c r="AU23" s="1148" t="s">
        <v>526</v>
      </c>
      <c r="AV23" s="1148"/>
      <c r="AW23" s="1148" t="s">
        <v>527</v>
      </c>
      <c r="AX23" s="1148"/>
      <c r="AY23" s="1148" t="str">
        <f>+AY13</f>
        <v>2021 Q3</v>
      </c>
      <c r="AZ23" s="1148"/>
      <c r="BA23" s="1151" t="s">
        <v>529</v>
      </c>
      <c r="BB23" s="1152"/>
      <c r="BC23" s="1148" t="s">
        <v>530</v>
      </c>
      <c r="BD23" s="1148"/>
      <c r="BE23" s="1148" t="s">
        <v>531</v>
      </c>
      <c r="BF23" s="1148"/>
      <c r="BG23" s="1145" t="s">
        <v>532</v>
      </c>
      <c r="BH23" s="1145"/>
      <c r="BI23" s="1146" t="s">
        <v>533</v>
      </c>
      <c r="BJ23" s="1147"/>
      <c r="BK23" s="1148" t="s">
        <v>534</v>
      </c>
      <c r="BL23" s="1148"/>
      <c r="BM23" s="1145" t="s">
        <v>535</v>
      </c>
      <c r="BN23" s="1145"/>
      <c r="BO23" s="1145" t="s">
        <v>536</v>
      </c>
      <c r="BP23" s="1145"/>
      <c r="BQ23" s="1146" t="s">
        <v>537</v>
      </c>
      <c r="BR23" s="1147"/>
      <c r="BS23" s="1148" t="s">
        <v>538</v>
      </c>
      <c r="BT23" s="1148"/>
      <c r="BU23" s="1145" t="s">
        <v>539</v>
      </c>
      <c r="BV23" s="1145"/>
      <c r="BW23" s="1145" t="s">
        <v>540</v>
      </c>
      <c r="BX23" s="1145"/>
      <c r="BY23" s="1146" t="s">
        <v>541</v>
      </c>
      <c r="BZ23" s="1147"/>
      <c r="CA23" s="1148" t="s">
        <v>542</v>
      </c>
      <c r="CB23" s="1148"/>
      <c r="CC23" s="1145" t="s">
        <v>543</v>
      </c>
      <c r="CD23" s="1145"/>
      <c r="CE23" s="1145" t="s">
        <v>544</v>
      </c>
      <c r="CF23" s="1145"/>
      <c r="CG23" s="1146" t="s">
        <v>1262</v>
      </c>
      <c r="CH23" s="1147"/>
      <c r="CI23" s="1148" t="s">
        <v>1326</v>
      </c>
      <c r="CJ23" s="1148"/>
      <c r="CK23" s="1145" t="s">
        <v>1345</v>
      </c>
      <c r="CL23" s="1145"/>
    </row>
    <row r="24" spans="1:90" ht="13">
      <c r="A24" s="455"/>
      <c r="B24" s="456" t="s">
        <v>261</v>
      </c>
      <c r="C24" s="456" t="s">
        <v>545</v>
      </c>
      <c r="D24" s="456" t="s">
        <v>261</v>
      </c>
      <c r="E24" s="456" t="s">
        <v>545</v>
      </c>
      <c r="F24" s="456" t="s">
        <v>261</v>
      </c>
      <c r="G24" s="456" t="s">
        <v>545</v>
      </c>
      <c r="H24" s="456" t="s">
        <v>261</v>
      </c>
      <c r="I24" s="456" t="s">
        <v>545</v>
      </c>
      <c r="J24" s="456" t="s">
        <v>261</v>
      </c>
      <c r="K24" s="456" t="s">
        <v>545</v>
      </c>
      <c r="L24" s="456" t="s">
        <v>261</v>
      </c>
      <c r="M24" s="456" t="s">
        <v>545</v>
      </c>
      <c r="N24" s="456" t="s">
        <v>261</v>
      </c>
      <c r="O24" s="456" t="s">
        <v>545</v>
      </c>
      <c r="P24" s="456" t="s">
        <v>261</v>
      </c>
      <c r="Q24" s="456" t="s">
        <v>545</v>
      </c>
      <c r="R24" s="456" t="s">
        <v>261</v>
      </c>
      <c r="S24" s="456" t="s">
        <v>545</v>
      </c>
      <c r="T24" s="456" t="s">
        <v>261</v>
      </c>
      <c r="U24" s="456" t="s">
        <v>545</v>
      </c>
      <c r="V24" s="265"/>
      <c r="W24" s="456" t="s">
        <v>261</v>
      </c>
      <c r="X24" s="456" t="s">
        <v>545</v>
      </c>
      <c r="Y24" s="456" t="s">
        <v>261</v>
      </c>
      <c r="Z24" s="456" t="s">
        <v>545</v>
      </c>
      <c r="AA24" s="456" t="s">
        <v>261</v>
      </c>
      <c r="AB24" s="456" t="s">
        <v>545</v>
      </c>
      <c r="AC24" s="456" t="s">
        <v>261</v>
      </c>
      <c r="AD24" s="457" t="s">
        <v>545</v>
      </c>
      <c r="AE24" s="456" t="s">
        <v>261</v>
      </c>
      <c r="AF24" s="456" t="s">
        <v>545</v>
      </c>
      <c r="AG24" s="456" t="s">
        <v>261</v>
      </c>
      <c r="AH24" s="456" t="s">
        <v>545</v>
      </c>
      <c r="AI24" s="456" t="s">
        <v>261</v>
      </c>
      <c r="AJ24" s="456" t="s">
        <v>545</v>
      </c>
      <c r="AK24" s="456" t="s">
        <v>261</v>
      </c>
      <c r="AL24" s="457" t="s">
        <v>545</v>
      </c>
      <c r="AM24" s="456" t="s">
        <v>261</v>
      </c>
      <c r="AN24" s="456" t="s">
        <v>545</v>
      </c>
      <c r="AO24" s="456" t="s">
        <v>261</v>
      </c>
      <c r="AP24" s="456" t="s">
        <v>545</v>
      </c>
      <c r="AQ24" s="456" t="s">
        <v>261</v>
      </c>
      <c r="AR24" s="456" t="s">
        <v>545</v>
      </c>
      <c r="AS24" s="456" t="s">
        <v>261</v>
      </c>
      <c r="AT24" s="457" t="s">
        <v>545</v>
      </c>
      <c r="AU24" s="456" t="s">
        <v>261</v>
      </c>
      <c r="AV24" s="456" t="s">
        <v>545</v>
      </c>
      <c r="AW24" s="456" t="s">
        <v>261</v>
      </c>
      <c r="AX24" s="456" t="s">
        <v>545</v>
      </c>
      <c r="AY24" s="456" t="s">
        <v>261</v>
      </c>
      <c r="AZ24" s="456" t="s">
        <v>545</v>
      </c>
      <c r="BA24" s="456" t="s">
        <v>261</v>
      </c>
      <c r="BB24" s="457" t="s">
        <v>545</v>
      </c>
      <c r="BC24" s="456" t="s">
        <v>261</v>
      </c>
      <c r="BD24" s="456" t="s">
        <v>545</v>
      </c>
      <c r="BE24" s="456" t="s">
        <v>261</v>
      </c>
      <c r="BF24" s="456" t="s">
        <v>545</v>
      </c>
      <c r="BG24" s="456" t="s">
        <v>261</v>
      </c>
      <c r="BH24" s="456" t="s">
        <v>545</v>
      </c>
      <c r="BI24" s="456" t="s">
        <v>261</v>
      </c>
      <c r="BJ24" s="457" t="s">
        <v>545</v>
      </c>
      <c r="BK24" s="456" t="s">
        <v>261</v>
      </c>
      <c r="BL24" s="456" t="s">
        <v>545</v>
      </c>
      <c r="BM24" s="456" t="s">
        <v>261</v>
      </c>
      <c r="BN24" s="456" t="s">
        <v>545</v>
      </c>
      <c r="BO24" s="456" t="s">
        <v>261</v>
      </c>
      <c r="BP24" s="456" t="s">
        <v>545</v>
      </c>
      <c r="BQ24" s="456" t="s">
        <v>261</v>
      </c>
      <c r="BR24" s="457" t="s">
        <v>545</v>
      </c>
      <c r="BS24" s="456" t="s">
        <v>261</v>
      </c>
      <c r="BT24" s="456" t="s">
        <v>545</v>
      </c>
      <c r="BU24" s="456" t="s">
        <v>261</v>
      </c>
      <c r="BV24" s="456" t="s">
        <v>545</v>
      </c>
      <c r="BW24" s="456" t="s">
        <v>261</v>
      </c>
      <c r="BX24" s="456" t="s">
        <v>545</v>
      </c>
      <c r="BY24" s="456" t="s">
        <v>261</v>
      </c>
      <c r="BZ24" s="457" t="s">
        <v>545</v>
      </c>
      <c r="CA24" s="456" t="s">
        <v>261</v>
      </c>
      <c r="CB24" s="456" t="s">
        <v>545</v>
      </c>
      <c r="CC24" s="456" t="s">
        <v>261</v>
      </c>
      <c r="CD24" s="456" t="s">
        <v>545</v>
      </c>
      <c r="CE24" s="456" t="s">
        <v>261</v>
      </c>
      <c r="CF24" s="456" t="s">
        <v>545</v>
      </c>
      <c r="CG24" s="456" t="s">
        <v>261</v>
      </c>
      <c r="CH24" s="457" t="s">
        <v>545</v>
      </c>
      <c r="CI24" s="456" t="s">
        <v>261</v>
      </c>
      <c r="CJ24" s="456" t="s">
        <v>545</v>
      </c>
      <c r="CK24" s="456" t="s">
        <v>261</v>
      </c>
      <c r="CL24" s="456" t="s">
        <v>545</v>
      </c>
    </row>
    <row r="25" spans="1:90" ht="13">
      <c r="A25" s="392" t="s">
        <v>475</v>
      </c>
      <c r="B25" s="446">
        <v>957</v>
      </c>
      <c r="C25" s="447">
        <v>11.8</v>
      </c>
      <c r="D25" s="446">
        <v>937</v>
      </c>
      <c r="E25" s="447">
        <v>11.82531</v>
      </c>
      <c r="F25" s="446">
        <v>1146</v>
      </c>
      <c r="G25" s="447">
        <v>13.113479999999999</v>
      </c>
      <c r="H25" s="446">
        <v>1239</v>
      </c>
      <c r="I25" s="447">
        <v>13</v>
      </c>
      <c r="J25" s="446">
        <v>1252</v>
      </c>
      <c r="K25" s="447">
        <v>11.600000000000001</v>
      </c>
      <c r="L25" s="446">
        <v>1097</v>
      </c>
      <c r="M25" s="447">
        <v>12.2</v>
      </c>
      <c r="N25" s="446">
        <v>1784</v>
      </c>
      <c r="O25" s="447">
        <v>17.5</v>
      </c>
      <c r="P25" s="446">
        <v>1900</v>
      </c>
      <c r="Q25" s="447">
        <v>17.599999999999998</v>
      </c>
      <c r="R25" s="446">
        <v>1780</v>
      </c>
      <c r="S25" s="447">
        <v>14.000000000000002</v>
      </c>
      <c r="T25" s="446">
        <v>1373</v>
      </c>
      <c r="U25" s="447">
        <v>9.4</v>
      </c>
      <c r="V25" s="265"/>
      <c r="W25" s="446">
        <v>321</v>
      </c>
      <c r="X25" s="447">
        <v>14.8</v>
      </c>
      <c r="Y25" s="446">
        <v>328</v>
      </c>
      <c r="Z25" s="447">
        <v>14.3</v>
      </c>
      <c r="AA25" s="446">
        <v>279</v>
      </c>
      <c r="AB25" s="447">
        <v>13</v>
      </c>
      <c r="AC25" s="446">
        <v>218</v>
      </c>
      <c r="AD25" s="448">
        <v>10.199999999999999</v>
      </c>
      <c r="AE25" s="446">
        <v>287</v>
      </c>
      <c r="AF25" s="447">
        <v>12.8</v>
      </c>
      <c r="AG25" s="446">
        <v>304</v>
      </c>
      <c r="AH25" s="447">
        <v>12.4</v>
      </c>
      <c r="AI25" s="446">
        <v>324</v>
      </c>
      <c r="AJ25" s="447">
        <v>13.600000000000001</v>
      </c>
      <c r="AK25" s="446">
        <v>324</v>
      </c>
      <c r="AL25" s="448">
        <v>13.3</v>
      </c>
      <c r="AM25" s="446">
        <v>371</v>
      </c>
      <c r="AN25" s="447">
        <v>14.2</v>
      </c>
      <c r="AO25" s="446">
        <v>429</v>
      </c>
      <c r="AP25" s="447">
        <v>14.6</v>
      </c>
      <c r="AQ25" s="446">
        <v>157</v>
      </c>
      <c r="AR25" s="447">
        <v>5.7</v>
      </c>
      <c r="AS25" s="446">
        <v>295</v>
      </c>
      <c r="AT25" s="448">
        <v>11.799999999999999</v>
      </c>
      <c r="AU25" s="446">
        <v>337</v>
      </c>
      <c r="AV25" s="447">
        <v>13.5</v>
      </c>
      <c r="AW25" s="446">
        <v>143</v>
      </c>
      <c r="AX25" s="447">
        <v>7</v>
      </c>
      <c r="AY25" s="446">
        <v>254</v>
      </c>
      <c r="AZ25" s="447">
        <v>11.600000000000001</v>
      </c>
      <c r="BA25" s="446">
        <v>363</v>
      </c>
      <c r="BB25" s="448">
        <v>15.9</v>
      </c>
      <c r="BC25" s="446">
        <v>386</v>
      </c>
      <c r="BD25" s="447">
        <v>16.5</v>
      </c>
      <c r="BE25" s="446">
        <v>416</v>
      </c>
      <c r="BF25" s="447">
        <v>16.5</v>
      </c>
      <c r="BG25" s="446">
        <v>502</v>
      </c>
      <c r="BH25" s="447">
        <v>18.600000000000001</v>
      </c>
      <c r="BI25" s="446">
        <v>480</v>
      </c>
      <c r="BJ25" s="448">
        <v>18.2</v>
      </c>
      <c r="BK25" s="446">
        <v>474</v>
      </c>
      <c r="BL25" s="447">
        <v>18.3</v>
      </c>
      <c r="BM25" s="446">
        <v>436</v>
      </c>
      <c r="BN25" s="447">
        <v>15.6</v>
      </c>
      <c r="BO25" s="446">
        <v>514</v>
      </c>
      <c r="BP25" s="447">
        <v>19</v>
      </c>
      <c r="BQ25" s="446">
        <v>476</v>
      </c>
      <c r="BR25" s="448">
        <v>17.5</v>
      </c>
      <c r="BS25" s="446">
        <v>532</v>
      </c>
      <c r="BT25" s="447">
        <v>17</v>
      </c>
      <c r="BU25" s="446">
        <v>524</v>
      </c>
      <c r="BV25" s="447">
        <v>15.299999999999999</v>
      </c>
      <c r="BW25" s="446">
        <v>481</v>
      </c>
      <c r="BX25" s="447">
        <v>15.1</v>
      </c>
      <c r="BY25" s="446">
        <v>242</v>
      </c>
      <c r="BZ25" s="448">
        <v>8.1</v>
      </c>
      <c r="CA25" s="446">
        <v>335</v>
      </c>
      <c r="CB25" s="447">
        <v>11.4</v>
      </c>
      <c r="CC25" s="446">
        <v>283</v>
      </c>
      <c r="CD25" s="447">
        <v>7.1</v>
      </c>
      <c r="CE25" s="446">
        <v>429</v>
      </c>
      <c r="CF25" s="447">
        <v>11.3</v>
      </c>
      <c r="CG25" s="446">
        <v>326</v>
      </c>
      <c r="CH25" s="448">
        <v>8.4</v>
      </c>
      <c r="CI25" s="446">
        <v>461</v>
      </c>
      <c r="CJ25" s="447">
        <v>12.1</v>
      </c>
      <c r="CK25" s="446">
        <v>376</v>
      </c>
      <c r="CL25" s="447">
        <v>10.299999999999999</v>
      </c>
    </row>
    <row r="26" spans="1:90" ht="13">
      <c r="A26" s="395" t="s">
        <v>476</v>
      </c>
      <c r="B26" s="265"/>
      <c r="C26" s="449">
        <v>0.2</v>
      </c>
      <c r="D26" s="446"/>
      <c r="E26" s="449">
        <v>0.8</v>
      </c>
      <c r="F26" s="446">
        <v>50</v>
      </c>
      <c r="G26" s="449">
        <v>-0.4</v>
      </c>
      <c r="H26" s="446">
        <v>7</v>
      </c>
      <c r="I26" s="449">
        <v>0.5</v>
      </c>
      <c r="J26" s="446">
        <v>-152</v>
      </c>
      <c r="K26" s="449">
        <v>-0.70000000000000007</v>
      </c>
      <c r="L26" s="446">
        <v>613</v>
      </c>
      <c r="M26" s="449">
        <v>4.3</v>
      </c>
      <c r="N26" s="446">
        <v>99</v>
      </c>
      <c r="O26" s="449">
        <v>0</v>
      </c>
      <c r="P26" s="446">
        <v>-356</v>
      </c>
      <c r="Q26" s="449">
        <v>-2.4</v>
      </c>
      <c r="R26" s="446">
        <v>-305</v>
      </c>
      <c r="S26" s="449">
        <v>-1.4000000000000001</v>
      </c>
      <c r="T26" s="446">
        <v>227</v>
      </c>
      <c r="U26" s="449">
        <v>1.5</v>
      </c>
      <c r="V26" s="265"/>
      <c r="W26" s="446">
        <v>-17</v>
      </c>
      <c r="X26" s="449">
        <v>-1.6</v>
      </c>
      <c r="Y26" s="446">
        <v>-21</v>
      </c>
      <c r="Z26" s="449">
        <v>-1.5</v>
      </c>
      <c r="AA26" s="446">
        <v>17</v>
      </c>
      <c r="AB26" s="449">
        <v>0.1</v>
      </c>
      <c r="AC26" s="446">
        <v>71</v>
      </c>
      <c r="AD26" s="450">
        <v>2</v>
      </c>
      <c r="AE26" s="446">
        <v>59</v>
      </c>
      <c r="AF26" s="449">
        <v>1.5</v>
      </c>
      <c r="AG26" s="446">
        <v>70</v>
      </c>
      <c r="AH26" s="449">
        <v>1.9</v>
      </c>
      <c r="AI26" s="446">
        <v>-88</v>
      </c>
      <c r="AJ26" s="449">
        <v>-2</v>
      </c>
      <c r="AK26" s="446">
        <v>-34</v>
      </c>
      <c r="AL26" s="450">
        <v>0.2</v>
      </c>
      <c r="AM26" s="446">
        <v>-69</v>
      </c>
      <c r="AN26" s="449">
        <v>-2</v>
      </c>
      <c r="AO26" s="446">
        <v>-201</v>
      </c>
      <c r="AP26" s="449">
        <v>-5.0999999999999996</v>
      </c>
      <c r="AQ26" s="446">
        <v>-40</v>
      </c>
      <c r="AR26" s="449">
        <v>-2.5</v>
      </c>
      <c r="AS26" s="446">
        <v>160</v>
      </c>
      <c r="AT26" s="450">
        <v>6.3</v>
      </c>
      <c r="AU26" s="446">
        <v>74</v>
      </c>
      <c r="AV26" s="449">
        <v>2.5</v>
      </c>
      <c r="AW26" s="446">
        <v>249</v>
      </c>
      <c r="AX26" s="449">
        <v>8</v>
      </c>
      <c r="AY26" s="446">
        <v>250</v>
      </c>
      <c r="AZ26" s="449">
        <v>7.3999999999999995</v>
      </c>
      <c r="BA26" s="446">
        <v>38</v>
      </c>
      <c r="BB26" s="450">
        <v>0.3</v>
      </c>
      <c r="BC26" s="446">
        <v>64</v>
      </c>
      <c r="BD26" s="449">
        <v>0.89999999999999991</v>
      </c>
      <c r="BE26" s="446">
        <v>66</v>
      </c>
      <c r="BF26" s="449">
        <v>0.89999999999999991</v>
      </c>
      <c r="BG26" s="446">
        <v>2</v>
      </c>
      <c r="BH26" s="449">
        <v>0.2</v>
      </c>
      <c r="BI26" s="446">
        <v>-38</v>
      </c>
      <c r="BJ26" s="450">
        <v>-1.4</v>
      </c>
      <c r="BK26" s="446">
        <v>15</v>
      </c>
      <c r="BL26" s="449">
        <v>0.1</v>
      </c>
      <c r="BM26" s="446">
        <v>-28</v>
      </c>
      <c r="BN26" s="449">
        <v>-0.3</v>
      </c>
      <c r="BO26" s="446">
        <v>-185</v>
      </c>
      <c r="BP26" s="449">
        <v>-5.7</v>
      </c>
      <c r="BQ26" s="446">
        <v>-151</v>
      </c>
      <c r="BR26" s="450">
        <v>-3.8</v>
      </c>
      <c r="BS26" s="446">
        <v>-73</v>
      </c>
      <c r="BT26" s="449">
        <v>-0.8</v>
      </c>
      <c r="BU26" s="446">
        <v>-184</v>
      </c>
      <c r="BV26" s="449">
        <v>-1.5</v>
      </c>
      <c r="BW26" s="446">
        <v>-6</v>
      </c>
      <c r="BX26" s="449">
        <v>0.6</v>
      </c>
      <c r="BY26" s="446">
        <v>-41</v>
      </c>
      <c r="BZ26" s="450">
        <v>-1</v>
      </c>
      <c r="CA26" s="446">
        <v>-102</v>
      </c>
      <c r="CB26" s="449">
        <v>-3.1</v>
      </c>
      <c r="CC26" s="446">
        <v>68</v>
      </c>
      <c r="CD26" s="449">
        <v>2.1</v>
      </c>
      <c r="CE26" s="446">
        <v>59</v>
      </c>
      <c r="CF26" s="449">
        <v>1</v>
      </c>
      <c r="CG26" s="446">
        <v>202</v>
      </c>
      <c r="CH26" s="450">
        <v>5.2</v>
      </c>
      <c r="CI26" s="446">
        <v>13</v>
      </c>
      <c r="CJ26" s="449">
        <v>-0.2</v>
      </c>
      <c r="CK26" s="446">
        <v>73</v>
      </c>
      <c r="CL26" s="449">
        <v>0.89999999999999991</v>
      </c>
    </row>
    <row r="27" spans="1:90" ht="13">
      <c r="A27" s="395" t="s">
        <v>477</v>
      </c>
      <c r="B27" s="265"/>
      <c r="C27" s="449">
        <v>-7.4689999999999396E-2</v>
      </c>
      <c r="D27" s="446"/>
      <c r="E27" s="449">
        <v>0.88816999999999946</v>
      </c>
      <c r="F27" s="446">
        <v>35</v>
      </c>
      <c r="G27" s="449">
        <v>0.31183346679321844</v>
      </c>
      <c r="H27" s="446">
        <v>133</v>
      </c>
      <c r="I27" s="449">
        <v>0.89999999999999991</v>
      </c>
      <c r="J27" s="446">
        <v>-143</v>
      </c>
      <c r="K27" s="449">
        <v>-0.70000000000000007</v>
      </c>
      <c r="L27" s="446">
        <v>-6</v>
      </c>
      <c r="M27" s="449">
        <v>0.4</v>
      </c>
      <c r="N27" s="446">
        <v>250</v>
      </c>
      <c r="O27" s="449">
        <v>0.6</v>
      </c>
      <c r="P27" s="446">
        <v>82</v>
      </c>
      <c r="Q27" s="449">
        <v>0.3</v>
      </c>
      <c r="R27" s="446">
        <v>24</v>
      </c>
      <c r="S27" s="449">
        <v>0.4</v>
      </c>
      <c r="T27" s="446">
        <v>-107</v>
      </c>
      <c r="U27" s="449">
        <v>0.1</v>
      </c>
      <c r="V27" s="265"/>
      <c r="W27" s="446">
        <v>-21</v>
      </c>
      <c r="X27" s="449">
        <v>-0.3</v>
      </c>
      <c r="Y27" s="446">
        <v>-3</v>
      </c>
      <c r="Z27" s="449">
        <v>-0.3</v>
      </c>
      <c r="AA27" s="446">
        <v>25</v>
      </c>
      <c r="AB27" s="449">
        <v>0.5</v>
      </c>
      <c r="AC27" s="446">
        <v>34</v>
      </c>
      <c r="AD27" s="450">
        <v>1.0999999999999999</v>
      </c>
      <c r="AE27" s="446">
        <v>23</v>
      </c>
      <c r="AF27" s="449">
        <v>0.4</v>
      </c>
      <c r="AG27" s="446">
        <v>25</v>
      </c>
      <c r="AH27" s="449">
        <v>0.6</v>
      </c>
      <c r="AI27" s="446">
        <v>50</v>
      </c>
      <c r="AJ27" s="449">
        <v>1.4000000000000001</v>
      </c>
      <c r="AK27" s="446">
        <v>35</v>
      </c>
      <c r="AL27" s="450">
        <v>1.2</v>
      </c>
      <c r="AM27" s="446">
        <v>46</v>
      </c>
      <c r="AN27" s="449">
        <v>1.7</v>
      </c>
      <c r="AO27" s="446">
        <v>-26</v>
      </c>
      <c r="AP27" s="449">
        <v>-0.6</v>
      </c>
      <c r="AQ27" s="446">
        <v>-52</v>
      </c>
      <c r="AR27" s="449">
        <v>-0.70000000000000007</v>
      </c>
      <c r="AS27" s="446">
        <v>-113</v>
      </c>
      <c r="AT27" s="450">
        <v>-3.3000000000000003</v>
      </c>
      <c r="AU27" s="446">
        <v>-18</v>
      </c>
      <c r="AV27" s="449">
        <v>0.8</v>
      </c>
      <c r="AW27" s="446">
        <v>-18</v>
      </c>
      <c r="AX27" s="449">
        <v>-0.2</v>
      </c>
      <c r="AY27" s="446">
        <v>-17</v>
      </c>
      <c r="AZ27" s="449">
        <v>-0.70000000000000007</v>
      </c>
      <c r="BA27" s="446">
        <v>48</v>
      </c>
      <c r="BB27" s="450">
        <v>1.5</v>
      </c>
      <c r="BC27" s="446">
        <v>34</v>
      </c>
      <c r="BD27" s="449">
        <v>0.1</v>
      </c>
      <c r="BE27" s="446">
        <v>64</v>
      </c>
      <c r="BF27" s="449">
        <v>0.6</v>
      </c>
      <c r="BG27" s="446">
        <v>74</v>
      </c>
      <c r="BH27" s="449">
        <v>0.5</v>
      </c>
      <c r="BI27" s="446">
        <v>78</v>
      </c>
      <c r="BJ27" s="450">
        <v>0.8</v>
      </c>
      <c r="BK27" s="446">
        <v>33</v>
      </c>
      <c r="BL27" s="449">
        <v>0.2</v>
      </c>
      <c r="BM27" s="446">
        <v>-50</v>
      </c>
      <c r="BN27" s="449">
        <v>-2.4</v>
      </c>
      <c r="BO27" s="446">
        <v>62</v>
      </c>
      <c r="BP27" s="449">
        <v>2.1</v>
      </c>
      <c r="BQ27" s="446">
        <v>37</v>
      </c>
      <c r="BR27" s="450">
        <v>1.7000000000000002</v>
      </c>
      <c r="BS27" s="446">
        <v>-14</v>
      </c>
      <c r="BT27" s="449">
        <v>-0.1</v>
      </c>
      <c r="BU27" s="446">
        <v>64</v>
      </c>
      <c r="BV27" s="449">
        <v>2.1999999999999997</v>
      </c>
      <c r="BW27" s="446">
        <v>-33</v>
      </c>
      <c r="BX27" s="449">
        <v>-0.6</v>
      </c>
      <c r="BY27" s="446">
        <v>7</v>
      </c>
      <c r="BZ27" s="450">
        <v>0.1</v>
      </c>
      <c r="CA27" s="446">
        <v>64</v>
      </c>
      <c r="CB27" s="449">
        <v>2.2999999999999998</v>
      </c>
      <c r="CC27" s="446">
        <v>-42</v>
      </c>
      <c r="CD27" s="449">
        <v>-0.1</v>
      </c>
      <c r="CE27" s="446">
        <v>-53</v>
      </c>
      <c r="CF27" s="449">
        <v>-0.5</v>
      </c>
      <c r="CG27" s="446">
        <v>-76</v>
      </c>
      <c r="CH27" s="450">
        <v>-1.0999999999999999</v>
      </c>
      <c r="CI27" s="446">
        <v>-75</v>
      </c>
      <c r="CJ27" s="449">
        <v>-0.70000000000000007</v>
      </c>
      <c r="CK27" s="446">
        <v>-58</v>
      </c>
      <c r="CL27" s="449">
        <v>-1.2</v>
      </c>
    </row>
    <row r="28" spans="1:90" ht="13">
      <c r="A28" s="395" t="s">
        <v>478</v>
      </c>
      <c r="B28" s="265"/>
      <c r="C28" s="449">
        <v>-0.1</v>
      </c>
      <c r="D28" s="446"/>
      <c r="E28" s="449">
        <v>-0.4</v>
      </c>
      <c r="F28" s="446">
        <v>8</v>
      </c>
      <c r="G28" s="449">
        <v>-2.6314952151107414E-2</v>
      </c>
      <c r="H28" s="446">
        <v>-127</v>
      </c>
      <c r="I28" s="449">
        <v>-2.8000000000000003</v>
      </c>
      <c r="J28" s="446">
        <v>140</v>
      </c>
      <c r="K28" s="449">
        <v>2</v>
      </c>
      <c r="L28" s="446">
        <v>80</v>
      </c>
      <c r="M28" s="449">
        <v>0.6</v>
      </c>
      <c r="N28" s="446">
        <v>-19</v>
      </c>
      <c r="O28" s="449">
        <v>-0.6</v>
      </c>
      <c r="P28" s="446">
        <v>154</v>
      </c>
      <c r="Q28" s="449">
        <v>-1.5</v>
      </c>
      <c r="R28" s="446">
        <v>-126</v>
      </c>
      <c r="S28" s="449">
        <v>-3.5999999999999996</v>
      </c>
      <c r="T28" s="446">
        <v>317</v>
      </c>
      <c r="U28" s="449">
        <v>1.2</v>
      </c>
      <c r="V28" s="265"/>
      <c r="W28" s="446">
        <v>4</v>
      </c>
      <c r="X28" s="449">
        <v>0</v>
      </c>
      <c r="Y28" s="446">
        <v>0</v>
      </c>
      <c r="Z28" s="449">
        <v>-0.1</v>
      </c>
      <c r="AA28" s="446">
        <v>3</v>
      </c>
      <c r="AB28" s="449">
        <v>0</v>
      </c>
      <c r="AC28" s="446">
        <v>1</v>
      </c>
      <c r="AD28" s="450">
        <v>0</v>
      </c>
      <c r="AE28" s="446">
        <v>2</v>
      </c>
      <c r="AF28" s="449">
        <v>-0.5</v>
      </c>
      <c r="AG28" s="446">
        <v>30</v>
      </c>
      <c r="AH28" s="449">
        <v>-0.3</v>
      </c>
      <c r="AI28" s="446">
        <v>-129</v>
      </c>
      <c r="AJ28" s="449">
        <v>-7.3</v>
      </c>
      <c r="AK28" s="446">
        <v>-30</v>
      </c>
      <c r="AL28" s="450">
        <v>-2.9000000000000004</v>
      </c>
      <c r="AM28" s="446">
        <v>-11</v>
      </c>
      <c r="AN28" s="449">
        <v>-0.4</v>
      </c>
      <c r="AO28" s="446">
        <v>-59</v>
      </c>
      <c r="AP28" s="449">
        <v>-1.9</v>
      </c>
      <c r="AQ28" s="396">
        <v>189</v>
      </c>
      <c r="AR28" s="449">
        <v>9.1</v>
      </c>
      <c r="AS28" s="396">
        <v>21</v>
      </c>
      <c r="AT28" s="450">
        <v>1.0999999999999999</v>
      </c>
      <c r="AU28" s="446">
        <v>-7</v>
      </c>
      <c r="AV28" s="449">
        <v>-0.3</v>
      </c>
      <c r="AW28" s="446">
        <v>42</v>
      </c>
      <c r="AX28" s="449">
        <v>1.7000000000000002</v>
      </c>
      <c r="AY28" s="446">
        <v>15</v>
      </c>
      <c r="AZ28" s="449">
        <v>0.3</v>
      </c>
      <c r="BA28" s="396">
        <v>31</v>
      </c>
      <c r="BB28" s="450">
        <v>0.5</v>
      </c>
      <c r="BC28" s="446">
        <v>36</v>
      </c>
      <c r="BD28" s="449">
        <v>0.6</v>
      </c>
      <c r="BE28" s="446">
        <v>-46</v>
      </c>
      <c r="BF28" s="449">
        <v>-2.1</v>
      </c>
      <c r="BG28" s="446">
        <v>-7</v>
      </c>
      <c r="BH28" s="449">
        <v>-0.5</v>
      </c>
      <c r="BI28" s="396">
        <v>3</v>
      </c>
      <c r="BJ28" s="450">
        <v>-0.1</v>
      </c>
      <c r="BK28" s="446">
        <v>10</v>
      </c>
      <c r="BL28" s="449">
        <v>-1.6</v>
      </c>
      <c r="BM28" s="446">
        <v>166</v>
      </c>
      <c r="BN28" s="449">
        <v>2.4</v>
      </c>
      <c r="BO28" s="446">
        <v>90</v>
      </c>
      <c r="BP28" s="449">
        <v>-0.3</v>
      </c>
      <c r="BQ28" s="396">
        <v>-119</v>
      </c>
      <c r="BR28" s="450">
        <v>-7.3</v>
      </c>
      <c r="BS28" s="446">
        <v>-110</v>
      </c>
      <c r="BT28" s="449">
        <v>-4.7</v>
      </c>
      <c r="BU28" s="446">
        <v>-121</v>
      </c>
      <c r="BV28" s="449">
        <v>-8.9</v>
      </c>
      <c r="BW28" s="446">
        <v>-13</v>
      </c>
      <c r="BX28" s="449">
        <v>-3.8</v>
      </c>
      <c r="BY28" s="396">
        <v>118</v>
      </c>
      <c r="BZ28" s="450">
        <v>1.2</v>
      </c>
      <c r="CA28" s="446">
        <v>164</v>
      </c>
      <c r="CB28" s="449">
        <v>1.5</v>
      </c>
      <c r="CC28" s="446">
        <v>67</v>
      </c>
      <c r="CD28" s="449">
        <v>1.2</v>
      </c>
      <c r="CE28" s="446">
        <v>1</v>
      </c>
      <c r="CF28" s="449">
        <v>0</v>
      </c>
      <c r="CG28" s="396">
        <v>85</v>
      </c>
      <c r="CH28" s="450">
        <v>2.4</v>
      </c>
      <c r="CI28" s="446">
        <v>5</v>
      </c>
      <c r="CJ28" s="449">
        <v>0.1</v>
      </c>
      <c r="CK28" s="446">
        <v>97</v>
      </c>
      <c r="CL28" s="449">
        <v>2.7</v>
      </c>
    </row>
    <row r="29" spans="1:90" ht="13">
      <c r="A29" s="399" t="s">
        <v>546</v>
      </c>
      <c r="B29" s="459"/>
      <c r="C29" s="451">
        <v>2.531000000000061E-2</v>
      </c>
      <c r="D29" s="452"/>
      <c r="E29" s="451">
        <v>1.2881699999999996</v>
      </c>
      <c r="F29" s="452">
        <v>93</v>
      </c>
      <c r="G29" s="451">
        <v>-0.10000000000000009</v>
      </c>
      <c r="H29" s="452">
        <v>13</v>
      </c>
      <c r="I29" s="451">
        <v>-1.4000000000000001</v>
      </c>
      <c r="J29" s="452">
        <v>-155</v>
      </c>
      <c r="K29" s="451">
        <v>0.6</v>
      </c>
      <c r="L29" s="452">
        <v>687</v>
      </c>
      <c r="M29" s="451">
        <v>5.3</v>
      </c>
      <c r="N29" s="452">
        <v>330</v>
      </c>
      <c r="O29" s="451">
        <v>0</v>
      </c>
      <c r="P29" s="452">
        <v>-120</v>
      </c>
      <c r="Q29" s="451">
        <v>-3.5999999999999996</v>
      </c>
      <c r="R29" s="452">
        <v>-407</v>
      </c>
      <c r="S29" s="451">
        <v>-4.5999999999999996</v>
      </c>
      <c r="T29" s="452">
        <v>437</v>
      </c>
      <c r="U29" s="451">
        <v>2.8000000000000003</v>
      </c>
      <c r="V29" s="265"/>
      <c r="W29" s="452">
        <v>-34</v>
      </c>
      <c r="X29" s="451">
        <v>-2</v>
      </c>
      <c r="Y29" s="452">
        <v>-24</v>
      </c>
      <c r="Z29" s="451">
        <v>-1.9</v>
      </c>
      <c r="AA29" s="452">
        <v>45</v>
      </c>
      <c r="AB29" s="451">
        <v>0.6</v>
      </c>
      <c r="AC29" s="452">
        <v>106</v>
      </c>
      <c r="AD29" s="453">
        <v>3.1</v>
      </c>
      <c r="AE29" s="452">
        <v>84</v>
      </c>
      <c r="AF29" s="451">
        <v>1.4000000000000001</v>
      </c>
      <c r="AG29" s="452">
        <v>125</v>
      </c>
      <c r="AH29" s="451">
        <v>2.1999999999999997</v>
      </c>
      <c r="AI29" s="452">
        <v>-167</v>
      </c>
      <c r="AJ29" s="451">
        <v>-7.9</v>
      </c>
      <c r="AK29" s="452">
        <v>-29</v>
      </c>
      <c r="AL29" s="453">
        <v>-1.5</v>
      </c>
      <c r="AM29" s="452">
        <v>-34</v>
      </c>
      <c r="AN29" s="451">
        <v>-0.7</v>
      </c>
      <c r="AO29" s="452">
        <v>-286</v>
      </c>
      <c r="AP29" s="451">
        <v>-7.6</v>
      </c>
      <c r="AQ29" s="452">
        <v>97</v>
      </c>
      <c r="AR29" s="451">
        <v>5.8999999999999995</v>
      </c>
      <c r="AS29" s="452">
        <v>68</v>
      </c>
      <c r="AT29" s="453">
        <v>4.1000000000000005</v>
      </c>
      <c r="AU29" s="452">
        <v>49</v>
      </c>
      <c r="AV29" s="451">
        <v>3</v>
      </c>
      <c r="AW29" s="452">
        <v>273</v>
      </c>
      <c r="AX29" s="451">
        <v>9.5</v>
      </c>
      <c r="AY29" s="452">
        <v>248</v>
      </c>
      <c r="AZ29" s="451">
        <v>7.0000000000000009</v>
      </c>
      <c r="BA29" s="452">
        <v>117</v>
      </c>
      <c r="BB29" s="453">
        <v>2.2999999999999998</v>
      </c>
      <c r="BC29" s="452">
        <v>134</v>
      </c>
      <c r="BD29" s="451">
        <v>1.6</v>
      </c>
      <c r="BE29" s="452">
        <v>84</v>
      </c>
      <c r="BF29" s="451">
        <v>-0.6</v>
      </c>
      <c r="BG29" s="452">
        <v>69</v>
      </c>
      <c r="BH29" s="451">
        <v>0.2</v>
      </c>
      <c r="BI29" s="452">
        <v>43</v>
      </c>
      <c r="BJ29" s="453">
        <v>-0.7</v>
      </c>
      <c r="BK29" s="452">
        <v>58</v>
      </c>
      <c r="BL29" s="451">
        <v>-1.3</v>
      </c>
      <c r="BM29" s="452">
        <v>88</v>
      </c>
      <c r="BN29" s="451">
        <v>-0.3</v>
      </c>
      <c r="BO29" s="452">
        <v>-33</v>
      </c>
      <c r="BP29" s="451">
        <v>-3.9</v>
      </c>
      <c r="BQ29" s="452">
        <v>-233</v>
      </c>
      <c r="BR29" s="453">
        <v>-9.4</v>
      </c>
      <c r="BS29" s="452">
        <v>-197</v>
      </c>
      <c r="BT29" s="451">
        <v>-5.6000000000000005</v>
      </c>
      <c r="BU29" s="452">
        <v>-241</v>
      </c>
      <c r="BV29" s="451">
        <v>-8.2000000000000011</v>
      </c>
      <c r="BW29" s="452">
        <v>-52</v>
      </c>
      <c r="BX29" s="451">
        <v>-3.8</v>
      </c>
      <c r="BY29" s="452">
        <v>84</v>
      </c>
      <c r="BZ29" s="453">
        <v>0.3</v>
      </c>
      <c r="CA29" s="452">
        <v>126</v>
      </c>
      <c r="CB29" s="451">
        <v>0.70000000000000007</v>
      </c>
      <c r="CC29" s="452">
        <v>93</v>
      </c>
      <c r="CD29" s="451">
        <v>3.2</v>
      </c>
      <c r="CE29" s="452">
        <v>7</v>
      </c>
      <c r="CF29" s="451">
        <v>0.5</v>
      </c>
      <c r="CG29" s="452">
        <v>211</v>
      </c>
      <c r="CH29" s="453">
        <v>6.5</v>
      </c>
      <c r="CI29" s="452">
        <v>-57</v>
      </c>
      <c r="CJ29" s="451">
        <v>-0.8</v>
      </c>
      <c r="CK29" s="452">
        <v>112</v>
      </c>
      <c r="CL29" s="451">
        <v>2.4</v>
      </c>
    </row>
    <row r="30" spans="1:90" ht="13">
      <c r="A30" s="395" t="s">
        <v>480</v>
      </c>
      <c r="B30" s="446">
        <v>937</v>
      </c>
      <c r="C30" s="447">
        <v>11.8</v>
      </c>
      <c r="D30" s="446">
        <v>1146</v>
      </c>
      <c r="E30" s="447">
        <v>13.113479999999999</v>
      </c>
      <c r="F30" s="446">
        <v>1239</v>
      </c>
      <c r="G30" s="447">
        <v>13.011790000000001</v>
      </c>
      <c r="H30" s="446">
        <v>1252</v>
      </c>
      <c r="I30" s="447">
        <v>11.600000000000001</v>
      </c>
      <c r="J30" s="446">
        <v>1097</v>
      </c>
      <c r="K30" s="447">
        <v>12.2</v>
      </c>
      <c r="L30" s="446">
        <v>1784</v>
      </c>
      <c r="M30" s="447">
        <v>17.5</v>
      </c>
      <c r="N30" s="446">
        <v>2114</v>
      </c>
      <c r="O30" s="447">
        <v>17.5</v>
      </c>
      <c r="P30" s="446">
        <v>1780</v>
      </c>
      <c r="Q30" s="447">
        <v>14.000000000000002</v>
      </c>
      <c r="R30" s="446">
        <v>1373</v>
      </c>
      <c r="S30" s="447">
        <v>9.4</v>
      </c>
      <c r="T30" s="446">
        <v>1810</v>
      </c>
      <c r="U30" s="447">
        <v>12.2</v>
      </c>
      <c r="V30" s="265"/>
      <c r="W30" s="446">
        <v>287</v>
      </c>
      <c r="X30" s="447">
        <v>12.8</v>
      </c>
      <c r="Y30" s="446">
        <v>304</v>
      </c>
      <c r="Z30" s="447">
        <v>12.4</v>
      </c>
      <c r="AA30" s="446">
        <v>324</v>
      </c>
      <c r="AB30" s="447">
        <v>13.600000000000001</v>
      </c>
      <c r="AC30" s="446">
        <v>324</v>
      </c>
      <c r="AD30" s="448">
        <v>13.3</v>
      </c>
      <c r="AE30" s="446">
        <v>371</v>
      </c>
      <c r="AF30" s="447">
        <v>14.2</v>
      </c>
      <c r="AG30" s="446">
        <v>429</v>
      </c>
      <c r="AH30" s="447">
        <v>14.6</v>
      </c>
      <c r="AI30" s="446">
        <v>157</v>
      </c>
      <c r="AJ30" s="447">
        <v>5.7</v>
      </c>
      <c r="AK30" s="446">
        <v>295</v>
      </c>
      <c r="AL30" s="448">
        <v>11.799999999999999</v>
      </c>
      <c r="AM30" s="446">
        <v>337</v>
      </c>
      <c r="AN30" s="447">
        <v>13.5</v>
      </c>
      <c r="AO30" s="446">
        <v>143</v>
      </c>
      <c r="AP30" s="447">
        <v>7.0000000000000009</v>
      </c>
      <c r="AQ30" s="446">
        <v>254</v>
      </c>
      <c r="AR30" s="447">
        <v>11.600000000000001</v>
      </c>
      <c r="AS30" s="446">
        <v>363</v>
      </c>
      <c r="AT30" s="448">
        <v>15.9</v>
      </c>
      <c r="AU30" s="446">
        <v>386</v>
      </c>
      <c r="AV30" s="447">
        <v>16.5</v>
      </c>
      <c r="AW30" s="446">
        <v>416</v>
      </c>
      <c r="AX30" s="447">
        <v>16.5</v>
      </c>
      <c r="AY30" s="446">
        <v>502</v>
      </c>
      <c r="AZ30" s="447">
        <v>18.600000000000001</v>
      </c>
      <c r="BA30" s="446">
        <v>480</v>
      </c>
      <c r="BB30" s="448">
        <v>18.2</v>
      </c>
      <c r="BC30" s="446">
        <v>520</v>
      </c>
      <c r="BD30" s="447">
        <v>18.099999999999998</v>
      </c>
      <c r="BE30" s="446">
        <v>500</v>
      </c>
      <c r="BF30" s="447">
        <v>15.9</v>
      </c>
      <c r="BG30" s="446">
        <v>571</v>
      </c>
      <c r="BH30" s="447">
        <v>18.8</v>
      </c>
      <c r="BI30" s="446">
        <v>523</v>
      </c>
      <c r="BJ30" s="448">
        <v>17.5</v>
      </c>
      <c r="BK30" s="446">
        <v>532</v>
      </c>
      <c r="BL30" s="447">
        <v>17</v>
      </c>
      <c r="BM30" s="446">
        <v>524</v>
      </c>
      <c r="BN30" s="447">
        <v>15.3</v>
      </c>
      <c r="BO30" s="446">
        <v>481</v>
      </c>
      <c r="BP30" s="447">
        <v>15.1</v>
      </c>
      <c r="BQ30" s="446">
        <v>243</v>
      </c>
      <c r="BR30" s="448">
        <v>8.1</v>
      </c>
      <c r="BS30" s="446">
        <v>335</v>
      </c>
      <c r="BT30" s="447">
        <v>11.4</v>
      </c>
      <c r="BU30" s="446">
        <v>283</v>
      </c>
      <c r="BV30" s="447">
        <v>7.1</v>
      </c>
      <c r="BW30" s="446">
        <v>429</v>
      </c>
      <c r="BX30" s="447">
        <v>11.3</v>
      </c>
      <c r="BY30" s="446">
        <v>326</v>
      </c>
      <c r="BZ30" s="448">
        <v>8.4</v>
      </c>
      <c r="CA30" s="446">
        <v>461</v>
      </c>
      <c r="CB30" s="447">
        <v>12.1</v>
      </c>
      <c r="CC30" s="446">
        <v>376</v>
      </c>
      <c r="CD30" s="447">
        <v>10.299999999999999</v>
      </c>
      <c r="CE30" s="446">
        <v>436</v>
      </c>
      <c r="CF30" s="447">
        <v>11.799999999999999</v>
      </c>
      <c r="CG30" s="446">
        <v>537</v>
      </c>
      <c r="CH30" s="448">
        <v>14.899999999999999</v>
      </c>
      <c r="CI30" s="446">
        <v>404</v>
      </c>
      <c r="CJ30" s="447">
        <v>11.3</v>
      </c>
      <c r="CK30" s="446">
        <v>488</v>
      </c>
      <c r="CL30" s="447">
        <v>12.7</v>
      </c>
    </row>
    <row r="31" spans="1:90" ht="13">
      <c r="A31" s="462"/>
      <c r="B31" s="265"/>
      <c r="C31" s="265"/>
      <c r="D31" s="446"/>
      <c r="E31" s="447"/>
      <c r="F31" s="446"/>
      <c r="G31" s="447"/>
      <c r="H31" s="446"/>
      <c r="I31" s="447"/>
      <c r="J31" s="446"/>
      <c r="K31" s="447"/>
      <c r="L31" s="446"/>
      <c r="M31" s="447"/>
      <c r="N31" s="446"/>
      <c r="O31" s="447"/>
      <c r="P31" s="446"/>
      <c r="Q31" s="447"/>
      <c r="R31" s="446"/>
      <c r="S31" s="447"/>
      <c r="T31" s="446"/>
      <c r="U31" s="447"/>
      <c r="V31" s="447"/>
      <c r="W31" s="447"/>
      <c r="X31" s="447"/>
      <c r="Y31" s="447"/>
      <c r="Z31" s="447"/>
      <c r="AA31" s="447"/>
      <c r="AB31" s="447"/>
      <c r="AC31" s="447"/>
      <c r="AD31" s="448"/>
      <c r="AE31" s="447"/>
      <c r="AF31" s="265"/>
      <c r="AG31" s="265"/>
      <c r="AH31" s="265"/>
      <c r="AI31" s="265"/>
      <c r="AJ31" s="265"/>
      <c r="AK31" s="265"/>
      <c r="AL31" s="267"/>
      <c r="AM31" s="265"/>
      <c r="AN31" s="265"/>
      <c r="AO31" s="265"/>
      <c r="AP31" s="265"/>
      <c r="AQ31" s="265"/>
      <c r="AR31" s="265"/>
      <c r="AS31" s="265"/>
      <c r="AT31" s="267"/>
      <c r="AU31" s="265"/>
      <c r="AV31" s="265"/>
      <c r="AW31" s="265"/>
      <c r="AX31" s="265"/>
      <c r="AY31" s="265"/>
      <c r="AZ31" s="265"/>
      <c r="BA31" s="265"/>
      <c r="BB31" s="267"/>
      <c r="BC31" s="265"/>
      <c r="BD31" s="265"/>
      <c r="BE31" s="265"/>
      <c r="BF31" s="265"/>
      <c r="BG31" s="265"/>
      <c r="BH31" s="265"/>
      <c r="BI31" s="265"/>
      <c r="BJ31" s="267"/>
      <c r="BK31" s="265"/>
      <c r="BL31" s="265"/>
      <c r="BM31" s="265"/>
      <c r="BN31" s="265"/>
      <c r="BO31" s="265"/>
      <c r="BP31" s="265"/>
      <c r="BQ31" s="265"/>
      <c r="BR31" s="267"/>
      <c r="BS31" s="265"/>
      <c r="BT31" s="265"/>
      <c r="BU31" s="265"/>
      <c r="BV31" s="265"/>
      <c r="BW31" s="265"/>
      <c r="BX31" s="265"/>
      <c r="BY31" s="265"/>
      <c r="BZ31" s="267"/>
      <c r="CA31" s="265"/>
      <c r="CB31" s="265"/>
      <c r="CC31" s="265"/>
      <c r="CD31" s="265"/>
      <c r="CE31" s="265"/>
      <c r="CF31" s="265"/>
      <c r="CG31" s="265"/>
      <c r="CH31" s="267"/>
      <c r="CI31" s="265"/>
      <c r="CJ31" s="265"/>
      <c r="CK31" s="265"/>
      <c r="CL31" s="265"/>
    </row>
    <row r="32" spans="1:90" ht="13">
      <c r="A32" s="462"/>
      <c r="B32" s="265"/>
      <c r="C32" s="265"/>
      <c r="D32" s="265"/>
      <c r="E32" s="265"/>
      <c r="F32" s="463"/>
      <c r="G32" s="464"/>
      <c r="H32" s="463"/>
      <c r="I32" s="464"/>
      <c r="J32" s="463"/>
      <c r="K32" s="447"/>
      <c r="L32" s="463"/>
      <c r="M32" s="447"/>
      <c r="N32" s="463"/>
      <c r="O32" s="447"/>
      <c r="P32" s="463"/>
      <c r="Q32" s="447"/>
      <c r="R32" s="463"/>
      <c r="S32" s="447"/>
      <c r="T32" s="463"/>
      <c r="U32" s="447"/>
      <c r="V32" s="447"/>
      <c r="W32" s="447"/>
      <c r="X32" s="447"/>
      <c r="Y32" s="447"/>
      <c r="Z32" s="447"/>
      <c r="AA32" s="447"/>
      <c r="AB32" s="447"/>
      <c r="AC32" s="447"/>
      <c r="AD32" s="448"/>
      <c r="AE32" s="447"/>
      <c r="AF32" s="464"/>
      <c r="AG32" s="463"/>
      <c r="AH32" s="464"/>
      <c r="AI32" s="463"/>
      <c r="AJ32" s="464"/>
      <c r="AK32" s="463"/>
      <c r="AL32" s="465"/>
      <c r="AM32" s="463"/>
      <c r="AN32" s="464"/>
      <c r="AO32" s="265"/>
      <c r="AP32" s="265"/>
      <c r="AQ32" s="265"/>
      <c r="AR32" s="265"/>
      <c r="AS32" s="265"/>
      <c r="AT32" s="267"/>
      <c r="AU32" s="466"/>
      <c r="AV32" s="464"/>
      <c r="AW32" s="265"/>
      <c r="AX32" s="265"/>
      <c r="AY32" s="265"/>
      <c r="AZ32" s="265"/>
      <c r="BA32" s="265"/>
      <c r="BB32" s="267"/>
      <c r="BC32" s="466"/>
      <c r="BD32" s="464"/>
      <c r="BE32" s="265"/>
      <c r="BF32" s="265"/>
      <c r="BG32" s="265"/>
      <c r="BH32" s="265"/>
      <c r="BI32" s="265"/>
      <c r="BJ32" s="267"/>
      <c r="BK32" s="466"/>
      <c r="BL32" s="464"/>
      <c r="BM32" s="265"/>
      <c r="BN32" s="265"/>
      <c r="BO32" s="265"/>
      <c r="BP32" s="265"/>
      <c r="BQ32" s="265"/>
      <c r="BR32" s="267"/>
      <c r="BS32" s="466"/>
      <c r="BT32" s="464"/>
      <c r="BU32" s="265"/>
      <c r="BV32" s="265"/>
      <c r="BW32" s="265"/>
      <c r="BX32" s="265"/>
      <c r="BY32" s="265"/>
      <c r="BZ32" s="267"/>
      <c r="CA32" s="466"/>
      <c r="CB32" s="464"/>
      <c r="CC32" s="265"/>
      <c r="CD32" s="265"/>
      <c r="CE32" s="265"/>
      <c r="CF32" s="265"/>
      <c r="CG32" s="265"/>
      <c r="CH32" s="267"/>
      <c r="CI32" s="466"/>
      <c r="CJ32" s="464"/>
      <c r="CK32" s="265"/>
      <c r="CL32" s="265"/>
    </row>
    <row r="33" spans="1:90" ht="13">
      <c r="A33" s="102" t="s">
        <v>548</v>
      </c>
      <c r="B33" s="265"/>
      <c r="C33" s="265"/>
      <c r="D33" s="265"/>
      <c r="E33" s="265"/>
      <c r="F33" s="265"/>
      <c r="G33" s="265"/>
      <c r="H33" s="265"/>
      <c r="I33" s="265"/>
      <c r="J33" s="265"/>
      <c r="K33" s="447"/>
      <c r="L33" s="265"/>
      <c r="M33" s="447"/>
      <c r="N33" s="265"/>
      <c r="O33" s="447"/>
      <c r="P33" s="265"/>
      <c r="Q33" s="447"/>
      <c r="R33" s="265"/>
      <c r="S33" s="447"/>
      <c r="T33" s="265"/>
      <c r="U33" s="447"/>
      <c r="V33" s="447"/>
      <c r="W33" s="447"/>
      <c r="X33" s="447"/>
      <c r="Y33" s="447"/>
      <c r="Z33" s="447"/>
      <c r="AA33" s="447"/>
      <c r="AB33" s="447"/>
      <c r="AC33" s="447"/>
      <c r="AD33" s="448"/>
      <c r="AE33" s="447"/>
      <c r="AF33" s="265"/>
      <c r="AG33" s="265"/>
      <c r="AH33" s="265"/>
      <c r="AI33" s="265"/>
      <c r="AJ33" s="265"/>
      <c r="AK33" s="265"/>
      <c r="AL33" s="267"/>
      <c r="AM33" s="265"/>
      <c r="AN33" s="265"/>
      <c r="AO33" s="265"/>
      <c r="AP33" s="265"/>
      <c r="AQ33" s="265"/>
      <c r="AR33" s="265"/>
      <c r="AS33" s="265"/>
      <c r="AT33" s="267"/>
      <c r="AU33" s="265"/>
      <c r="AV33" s="265"/>
      <c r="AW33" s="265"/>
      <c r="AX33" s="265"/>
      <c r="AY33" s="265"/>
      <c r="AZ33" s="265"/>
      <c r="BA33" s="265"/>
      <c r="BB33" s="267"/>
      <c r="BC33" s="265"/>
      <c r="BD33" s="265"/>
      <c r="BE33" s="265"/>
      <c r="BF33" s="265"/>
      <c r="BG33" s="265"/>
      <c r="BH33" s="265"/>
      <c r="BI33" s="265"/>
      <c r="BJ33" s="267"/>
      <c r="BK33" s="265"/>
      <c r="BL33" s="265"/>
      <c r="BM33" s="265"/>
      <c r="BN33" s="265"/>
      <c r="BO33" s="265"/>
      <c r="BP33" s="265"/>
      <c r="BQ33" s="265"/>
      <c r="BR33" s="267"/>
      <c r="BS33" s="265"/>
      <c r="BT33" s="265"/>
      <c r="BU33" s="265"/>
      <c r="BV33" s="265"/>
      <c r="BW33" s="265"/>
      <c r="BX33" s="265"/>
      <c r="BY33" s="265"/>
      <c r="BZ33" s="267"/>
      <c r="CA33" s="265"/>
      <c r="CB33" s="265"/>
      <c r="CC33" s="265"/>
      <c r="CD33" s="265"/>
      <c r="CE33" s="265"/>
      <c r="CF33" s="265"/>
      <c r="CG33" s="265"/>
      <c r="CH33" s="267"/>
      <c r="CI33" s="265"/>
      <c r="CJ33" s="265"/>
      <c r="CK33" s="265"/>
      <c r="CL33" s="265"/>
    </row>
  </sheetData>
  <mergeCells count="132">
    <mergeCell ref="CI3:CJ3"/>
    <mergeCell ref="CI13:CJ13"/>
    <mergeCell ref="CI23:CJ23"/>
    <mergeCell ref="BY23:BZ23"/>
    <mergeCell ref="CA23:CB23"/>
    <mergeCell ref="CC23:CD23"/>
    <mergeCell ref="CE23:CF23"/>
    <mergeCell ref="BM23:BN23"/>
    <mergeCell ref="BO23:BP23"/>
    <mergeCell ref="BQ23:BR23"/>
    <mergeCell ref="BS23:BT23"/>
    <mergeCell ref="BU23:BV23"/>
    <mergeCell ref="BW23:BX23"/>
    <mergeCell ref="BY13:BZ13"/>
    <mergeCell ref="CA13:CB13"/>
    <mergeCell ref="CC13:CD13"/>
    <mergeCell ref="CE13:CF13"/>
    <mergeCell ref="BS13:BT13"/>
    <mergeCell ref="BU13:BV13"/>
    <mergeCell ref="BW13:BX13"/>
    <mergeCell ref="BY3:BZ3"/>
    <mergeCell ref="CA3:CB3"/>
    <mergeCell ref="CC3:CD3"/>
    <mergeCell ref="CG3:CH3"/>
    <mergeCell ref="N23:O23"/>
    <mergeCell ref="P23:Q23"/>
    <mergeCell ref="R23:S23"/>
    <mergeCell ref="W23:X23"/>
    <mergeCell ref="Y23:Z23"/>
    <mergeCell ref="AA23:AB23"/>
    <mergeCell ref="BA23:BB23"/>
    <mergeCell ref="BC23:BD23"/>
    <mergeCell ref="BE23:BF23"/>
    <mergeCell ref="AO23:AP23"/>
    <mergeCell ref="AQ23:AR23"/>
    <mergeCell ref="AS23:AT23"/>
    <mergeCell ref="AU23:AV23"/>
    <mergeCell ref="AW23:AX23"/>
    <mergeCell ref="AY23:AZ23"/>
    <mergeCell ref="T23:U23"/>
    <mergeCell ref="AG23:AH23"/>
    <mergeCell ref="AI23:AJ23"/>
    <mergeCell ref="AK23:AL23"/>
    <mergeCell ref="AM23:AN23"/>
    <mergeCell ref="BG23:BH23"/>
    <mergeCell ref="BI23:BJ23"/>
    <mergeCell ref="BK23:BL23"/>
    <mergeCell ref="AG13:AH13"/>
    <mergeCell ref="AI13:AJ13"/>
    <mergeCell ref="AK13:AL13"/>
    <mergeCell ref="AM13:AN13"/>
    <mergeCell ref="AU13:AV13"/>
    <mergeCell ref="AW13:AX13"/>
    <mergeCell ref="AY13:AZ13"/>
    <mergeCell ref="BI13:BJ13"/>
    <mergeCell ref="B23:C23"/>
    <mergeCell ref="D23:E23"/>
    <mergeCell ref="F23:G23"/>
    <mergeCell ref="H23:I23"/>
    <mergeCell ref="J23:K23"/>
    <mergeCell ref="L23:M23"/>
    <mergeCell ref="BM13:BN13"/>
    <mergeCell ref="BO13:BP13"/>
    <mergeCell ref="BQ13:BR13"/>
    <mergeCell ref="BA13:BB13"/>
    <mergeCell ref="BC13:BD13"/>
    <mergeCell ref="BE13:BF13"/>
    <mergeCell ref="BG13:BH13"/>
    <mergeCell ref="N13:O13"/>
    <mergeCell ref="P13:Q13"/>
    <mergeCell ref="R13:S13"/>
    <mergeCell ref="W13:X13"/>
    <mergeCell ref="Y13:Z13"/>
    <mergeCell ref="AA13:AB13"/>
    <mergeCell ref="BK13:BL13"/>
    <mergeCell ref="AO13:AP13"/>
    <mergeCell ref="AQ13:AR13"/>
    <mergeCell ref="AC23:AD23"/>
    <mergeCell ref="AE23:AF23"/>
    <mergeCell ref="BK3:BL3"/>
    <mergeCell ref="AO3:AP3"/>
    <mergeCell ref="AQ3:AR3"/>
    <mergeCell ref="AS3:AT3"/>
    <mergeCell ref="AU3:AV3"/>
    <mergeCell ref="AW3:AX3"/>
    <mergeCell ref="BE3:BF3"/>
    <mergeCell ref="BG3:BH3"/>
    <mergeCell ref="BI3:BJ3"/>
    <mergeCell ref="BA3:BB3"/>
    <mergeCell ref="BC3:BD3"/>
    <mergeCell ref="AY3:AZ3"/>
    <mergeCell ref="N3:O3"/>
    <mergeCell ref="P3:Q3"/>
    <mergeCell ref="R3:S3"/>
    <mergeCell ref="W3:X3"/>
    <mergeCell ref="Y3:Z3"/>
    <mergeCell ref="AA3:AB3"/>
    <mergeCell ref="AS13:AT13"/>
    <mergeCell ref="AC13:AD13"/>
    <mergeCell ref="AE13:AF13"/>
    <mergeCell ref="T3:U3"/>
    <mergeCell ref="T13:U13"/>
    <mergeCell ref="AC3:AD3"/>
    <mergeCell ref="AE3:AF3"/>
    <mergeCell ref="AG3:AH3"/>
    <mergeCell ref="AI3:AJ3"/>
    <mergeCell ref="AK3:AL3"/>
    <mergeCell ref="AM3:AN3"/>
    <mergeCell ref="CK3:CL3"/>
    <mergeCell ref="CK13:CL13"/>
    <mergeCell ref="CK23:CL23"/>
    <mergeCell ref="CG13:CH13"/>
    <mergeCell ref="CG23:CH23"/>
    <mergeCell ref="B3:C3"/>
    <mergeCell ref="D3:E3"/>
    <mergeCell ref="F3:G3"/>
    <mergeCell ref="H3:I3"/>
    <mergeCell ref="J3:K3"/>
    <mergeCell ref="L3:M3"/>
    <mergeCell ref="CE3:CF3"/>
    <mergeCell ref="B13:C13"/>
    <mergeCell ref="D13:E13"/>
    <mergeCell ref="F13:G13"/>
    <mergeCell ref="H13:I13"/>
    <mergeCell ref="J13:K13"/>
    <mergeCell ref="L13:M13"/>
    <mergeCell ref="BM3:BN3"/>
    <mergeCell ref="BO3:BP3"/>
    <mergeCell ref="BQ3:BR3"/>
    <mergeCell ref="BS3:BT3"/>
    <mergeCell ref="BU3:BV3"/>
    <mergeCell ref="BW3:BX3"/>
  </mergeCells>
  <hyperlinks>
    <hyperlink ref="A2" location="'START PAGE'!A1" display="Back to start page" xr:uid="{59CA733D-B743-49EE-9EB7-76B099562148}"/>
  </hyperlinks>
  <pageMargins left="0.7" right="0.7" top="0.75" bottom="0.75" header="0.3" footer="0.3"/>
  <pageSetup paperSize="9" scale="32"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E10-DF98-4E9D-9D93-3D9937E9ADEA}">
  <sheetPr>
    <tabColor rgb="FFFFCD00"/>
  </sheetPr>
  <dimension ref="A1:AO183"/>
  <sheetViews>
    <sheetView showGridLines="0" zoomScaleNormal="100" workbookViewId="0"/>
  </sheetViews>
  <sheetFormatPr baseColWidth="10" defaultColWidth="8.5" defaultRowHeight="13.5" customHeight="1"/>
  <cols>
    <col min="1" max="1" width="20.33203125" bestFit="1" customWidth="1"/>
    <col min="2" max="2" width="10" bestFit="1" customWidth="1"/>
    <col min="6" max="6" width="20.33203125" customWidth="1"/>
    <col min="11" max="11" width="20.33203125" bestFit="1" customWidth="1"/>
    <col min="12" max="25" width="10" customWidth="1"/>
    <col min="26" max="26" width="8.5" customWidth="1"/>
    <col min="27" max="27" width="20.33203125" bestFit="1" customWidth="1"/>
    <col min="28" max="38" width="8.5" customWidth="1"/>
  </cols>
  <sheetData>
    <row r="1" spans="1:41" ht="17" thickBot="1">
      <c r="A1" s="467" t="s">
        <v>11</v>
      </c>
      <c r="B1" s="468" t="s">
        <v>549</v>
      </c>
      <c r="C1" s="469"/>
      <c r="D1" s="469"/>
      <c r="E1" s="470"/>
      <c r="F1" s="468" t="s">
        <v>550</v>
      </c>
      <c r="G1" s="471"/>
      <c r="H1" s="469"/>
      <c r="I1" s="469"/>
      <c r="J1" s="472"/>
      <c r="K1" s="468" t="s">
        <v>551</v>
      </c>
      <c r="L1" s="469"/>
      <c r="M1" s="469"/>
      <c r="N1" s="469"/>
      <c r="O1" s="471"/>
      <c r="P1" s="469"/>
      <c r="Q1" s="469"/>
      <c r="R1" s="469"/>
      <c r="S1" s="469"/>
      <c r="T1" s="469"/>
      <c r="U1" s="469"/>
      <c r="V1" s="469"/>
      <c r="W1" s="469"/>
      <c r="X1" s="469"/>
      <c r="Y1" s="469"/>
      <c r="Z1" s="470"/>
      <c r="AA1" s="468" t="s">
        <v>552</v>
      </c>
      <c r="AB1" s="469"/>
      <c r="AC1" s="469"/>
      <c r="AD1" s="469"/>
      <c r="AE1" s="469"/>
      <c r="AF1" s="469"/>
      <c r="AG1" s="469"/>
      <c r="AH1" s="469"/>
      <c r="AI1" s="469"/>
      <c r="AJ1" s="469"/>
      <c r="AK1" s="469"/>
      <c r="AL1" s="469"/>
      <c r="AM1" s="469"/>
      <c r="AN1" s="469"/>
      <c r="AO1" s="469"/>
    </row>
    <row r="2" spans="1:41" ht="15" thickTop="1" thickBot="1">
      <c r="A2" s="18" t="s">
        <v>30</v>
      </c>
      <c r="B2" s="473"/>
      <c r="C2" s="473"/>
      <c r="D2" s="473"/>
      <c r="E2" s="470"/>
      <c r="F2" s="474"/>
      <c r="G2" s="475"/>
      <c r="H2" s="473"/>
      <c r="I2" s="473"/>
      <c r="J2" s="472"/>
      <c r="K2" s="474"/>
      <c r="L2" s="473"/>
      <c r="M2" s="473"/>
      <c r="N2" s="473"/>
      <c r="O2" s="475"/>
      <c r="P2" s="473"/>
      <c r="Q2" s="473"/>
      <c r="R2" s="473"/>
      <c r="S2" s="473"/>
      <c r="T2" s="473"/>
      <c r="U2" s="473"/>
      <c r="V2" s="473"/>
      <c r="W2" s="473"/>
      <c r="X2" s="473"/>
      <c r="Y2" s="473"/>
      <c r="Z2" s="470"/>
      <c r="AA2" s="474"/>
      <c r="AB2" s="473"/>
      <c r="AC2" s="473"/>
      <c r="AD2" s="473"/>
      <c r="AE2" s="473"/>
      <c r="AF2" s="473"/>
      <c r="AG2" s="473"/>
      <c r="AH2" s="473"/>
      <c r="AI2" s="473"/>
      <c r="AJ2" s="473"/>
      <c r="AK2" s="473"/>
    </row>
    <row r="3" spans="1:41" ht="14" thickTop="1">
      <c r="A3" s="476" t="s">
        <v>474</v>
      </c>
      <c r="B3" s="476"/>
      <c r="C3" s="476"/>
      <c r="D3" s="476"/>
      <c r="E3" s="470"/>
      <c r="F3" s="476" t="s">
        <v>474</v>
      </c>
      <c r="G3" s="477"/>
      <c r="H3" s="476"/>
      <c r="I3" s="476"/>
      <c r="J3" s="472"/>
      <c r="K3" s="476" t="str">
        <f t="shared" ref="K3:K14" si="0">A3</f>
        <v>Orders received</v>
      </c>
      <c r="L3" s="476"/>
      <c r="M3" s="476"/>
      <c r="N3" s="476"/>
      <c r="O3" s="477"/>
      <c r="P3" s="476"/>
      <c r="Q3" s="476"/>
      <c r="R3" s="476"/>
      <c r="S3" s="476"/>
      <c r="T3" s="476"/>
      <c r="U3" s="476"/>
      <c r="V3" s="476"/>
      <c r="W3" s="476"/>
      <c r="X3" s="476"/>
      <c r="Y3" s="476"/>
      <c r="Z3" s="470"/>
      <c r="AA3" s="476" t="str">
        <f t="shared" ref="AA3:AA14" si="1">F3</f>
        <v>Orders received</v>
      </c>
      <c r="AB3" s="476"/>
      <c r="AC3" s="476"/>
      <c r="AD3" s="476"/>
      <c r="AE3" s="477"/>
      <c r="AF3" s="478"/>
      <c r="AG3" s="476"/>
      <c r="AH3" s="476"/>
      <c r="AI3" s="476"/>
      <c r="AJ3" s="476"/>
      <c r="AK3" s="476"/>
      <c r="AL3" s="476"/>
      <c r="AM3" s="476"/>
      <c r="AN3" s="476"/>
      <c r="AO3" s="476"/>
    </row>
    <row r="4" spans="1:41" ht="13">
      <c r="A4" s="315" t="s">
        <v>298</v>
      </c>
      <c r="B4" s="315">
        <v>2023</v>
      </c>
      <c r="C4" s="315">
        <v>2024</v>
      </c>
      <c r="D4" s="315">
        <v>2025</v>
      </c>
      <c r="E4" s="470"/>
      <c r="F4" s="315" t="s">
        <v>298</v>
      </c>
      <c r="G4" s="479">
        <v>2023</v>
      </c>
      <c r="H4" s="315">
        <v>2024</v>
      </c>
      <c r="I4" s="315">
        <v>2025</v>
      </c>
      <c r="J4" s="472"/>
      <c r="K4" s="315" t="str">
        <f t="shared" si="0"/>
        <v>Epiroc Group</v>
      </c>
      <c r="L4" s="315" t="s">
        <v>148</v>
      </c>
      <c r="M4" s="315" t="s">
        <v>149</v>
      </c>
      <c r="N4" s="315" t="s">
        <v>150</v>
      </c>
      <c r="O4" s="479" t="s">
        <v>151</v>
      </c>
      <c r="P4" s="315" t="s">
        <v>152</v>
      </c>
      <c r="Q4" s="315" t="s">
        <v>153</v>
      </c>
      <c r="R4" s="315" t="s">
        <v>154</v>
      </c>
      <c r="S4" s="315" t="s">
        <v>155</v>
      </c>
      <c r="T4" s="315" t="s">
        <v>156</v>
      </c>
      <c r="U4" s="315" t="s">
        <v>157</v>
      </c>
      <c r="V4" s="315" t="s">
        <v>158</v>
      </c>
      <c r="W4" s="315" t="s">
        <v>820</v>
      </c>
      <c r="X4" s="315" t="s">
        <v>1275</v>
      </c>
      <c r="Y4" s="315" t="s">
        <v>1344</v>
      </c>
      <c r="Z4" s="470"/>
      <c r="AA4" s="315" t="str">
        <f t="shared" si="1"/>
        <v>Epiroc Group</v>
      </c>
      <c r="AB4" s="315" t="s">
        <v>148</v>
      </c>
      <c r="AC4" s="315" t="s">
        <v>149</v>
      </c>
      <c r="AD4" s="315" t="s">
        <v>150</v>
      </c>
      <c r="AE4" s="479" t="s">
        <v>151</v>
      </c>
      <c r="AF4" s="480" t="s">
        <v>152</v>
      </c>
      <c r="AG4" s="315" t="s">
        <v>153</v>
      </c>
      <c r="AH4" s="315" t="s">
        <v>154</v>
      </c>
      <c r="AI4" s="315" t="s">
        <v>155</v>
      </c>
      <c r="AJ4" s="315" t="s">
        <v>156</v>
      </c>
      <c r="AK4" s="315" t="s">
        <v>157</v>
      </c>
      <c r="AL4" s="315" t="s">
        <v>158</v>
      </c>
      <c r="AM4" s="315" t="s">
        <v>820</v>
      </c>
      <c r="AN4" s="315" t="s">
        <v>1275</v>
      </c>
      <c r="AO4" s="315" t="s">
        <v>1344</v>
      </c>
    </row>
    <row r="5" spans="1:41" ht="13">
      <c r="A5" s="481" t="s">
        <v>553</v>
      </c>
      <c r="B5" s="482">
        <v>53222.004318845095</v>
      </c>
      <c r="C5" s="482">
        <v>59332.319326864992</v>
      </c>
      <c r="D5" s="482">
        <v>62212.853243553996</v>
      </c>
      <c r="E5" s="470"/>
      <c r="F5" s="481" t="s">
        <v>553</v>
      </c>
      <c r="G5" s="483">
        <v>53222.004318845095</v>
      </c>
      <c r="H5" s="482">
        <v>59332.319326864992</v>
      </c>
      <c r="I5" s="482">
        <v>62212.853243553996</v>
      </c>
      <c r="J5" s="472"/>
      <c r="K5" s="481" t="str">
        <f t="shared" si="0"/>
        <v>Reported opening balance</v>
      </c>
      <c r="L5" s="482">
        <v>13817.9803940854</v>
      </c>
      <c r="M5" s="482">
        <v>13377.400910480101</v>
      </c>
      <c r="N5" s="482">
        <v>12322.0537678564</v>
      </c>
      <c r="O5" s="483">
        <v>13704.5692464232</v>
      </c>
      <c r="P5" s="482">
        <v>15147.6012657668</v>
      </c>
      <c r="Q5" s="482">
        <v>15436.263962106101</v>
      </c>
      <c r="R5" s="482">
        <v>14359.8582558573</v>
      </c>
      <c r="S5" s="482">
        <v>14387.595843134801</v>
      </c>
      <c r="T5" s="482">
        <v>14161.679516402201</v>
      </c>
      <c r="U5" s="482">
        <v>16349.3402820848</v>
      </c>
      <c r="V5" s="482">
        <v>15519.6168080796</v>
      </c>
      <c r="W5" s="482">
        <v>16182.216636987399</v>
      </c>
      <c r="X5" s="482">
        <v>16585.737469056599</v>
      </c>
      <c r="Y5" s="482">
        <v>15276.307273009501</v>
      </c>
      <c r="Z5" s="470"/>
      <c r="AA5" s="481" t="str">
        <f t="shared" si="1"/>
        <v>Reported opening balance</v>
      </c>
      <c r="AB5" s="482">
        <v>13817.9803940854</v>
      </c>
      <c r="AC5" s="482">
        <v>13377.400910480101</v>
      </c>
      <c r="AD5" s="482">
        <v>12322.0537678564</v>
      </c>
      <c r="AE5" s="483">
        <v>13704.5692464232</v>
      </c>
      <c r="AF5" s="484">
        <v>15147.6012657668</v>
      </c>
      <c r="AG5" s="482">
        <v>15436.263962106101</v>
      </c>
      <c r="AH5" s="482">
        <v>14359.8582558573</v>
      </c>
      <c r="AI5" s="482">
        <v>14387.595843134801</v>
      </c>
      <c r="AJ5" s="482">
        <v>14161.679516402201</v>
      </c>
      <c r="AK5" s="482">
        <v>16349.3402820848</v>
      </c>
      <c r="AL5" s="482">
        <v>15519.6168080796</v>
      </c>
      <c r="AM5" s="482">
        <v>16182.216636987399</v>
      </c>
      <c r="AN5" s="482">
        <v>16585.737469056599</v>
      </c>
      <c r="AO5" s="482">
        <v>15276.307273009501</v>
      </c>
    </row>
    <row r="6" spans="1:41" ht="13">
      <c r="A6" s="470" t="s">
        <v>554</v>
      </c>
      <c r="B6" s="485">
        <v>-805</v>
      </c>
      <c r="C6" s="485">
        <v>-574.59999999999991</v>
      </c>
      <c r="D6" s="485">
        <v>0</v>
      </c>
      <c r="E6" s="470"/>
      <c r="F6" s="470" t="s">
        <v>554</v>
      </c>
      <c r="G6" s="487">
        <v>-1.5125322886702368</v>
      </c>
      <c r="H6" s="485">
        <v>-0.96844351698860287</v>
      </c>
      <c r="I6" s="485">
        <v>0</v>
      </c>
      <c r="J6" s="472"/>
      <c r="K6" s="470" t="str">
        <f t="shared" si="0"/>
        <v>Adjustment OOH</v>
      </c>
      <c r="L6" s="485">
        <v>0</v>
      </c>
      <c r="M6" s="485">
        <v>0</v>
      </c>
      <c r="N6" s="485">
        <v>0</v>
      </c>
      <c r="O6" s="488">
        <v>-805</v>
      </c>
      <c r="P6" s="485">
        <v>-432.9</v>
      </c>
      <c r="Q6" s="485">
        <v>-141.69999999999999</v>
      </c>
      <c r="R6" s="485">
        <v>0</v>
      </c>
      <c r="S6" s="485">
        <v>0</v>
      </c>
      <c r="T6" s="485">
        <v>0</v>
      </c>
      <c r="U6" s="485">
        <v>0</v>
      </c>
      <c r="V6" s="485">
        <v>0</v>
      </c>
      <c r="W6" s="485">
        <v>0</v>
      </c>
      <c r="X6" s="485">
        <v>0</v>
      </c>
      <c r="Y6" s="485">
        <v>0</v>
      </c>
      <c r="Z6" s="470"/>
      <c r="AA6" s="470" t="str">
        <f t="shared" si="1"/>
        <v>Adjustment OOH</v>
      </c>
      <c r="AB6" s="486">
        <v>0</v>
      </c>
      <c r="AC6" s="486">
        <v>0</v>
      </c>
      <c r="AD6" s="486">
        <v>0</v>
      </c>
      <c r="AE6" s="489">
        <v>-5.8739533182343511</v>
      </c>
      <c r="AF6" s="490">
        <v>-2.8578782369875495</v>
      </c>
      <c r="AG6" s="486">
        <v>-0.91796823601782096</v>
      </c>
      <c r="AH6" s="486">
        <v>0</v>
      </c>
      <c r="AI6" s="486">
        <v>0</v>
      </c>
      <c r="AJ6" s="486">
        <v>0</v>
      </c>
      <c r="AK6" s="486">
        <v>0</v>
      </c>
      <c r="AL6" s="486">
        <v>0</v>
      </c>
      <c r="AM6" s="486">
        <v>0</v>
      </c>
      <c r="AN6" s="486">
        <v>0</v>
      </c>
      <c r="AO6" s="486">
        <v>0</v>
      </c>
    </row>
    <row r="7" spans="1:41" ht="13">
      <c r="A7" s="481" t="s">
        <v>555</v>
      </c>
      <c r="B7" s="482">
        <v>52417.004318845095</v>
      </c>
      <c r="C7" s="482">
        <v>58756.719326865001</v>
      </c>
      <c r="D7" s="482">
        <v>62212.853243553996</v>
      </c>
      <c r="E7" s="470"/>
      <c r="F7" s="481" t="s">
        <v>555</v>
      </c>
      <c r="G7" s="483">
        <v>52417.004318845095</v>
      </c>
      <c r="H7" s="482">
        <v>58757</v>
      </c>
      <c r="I7" s="482">
        <v>62212.853243553996</v>
      </c>
      <c r="J7" s="472"/>
      <c r="K7" s="481" t="str">
        <f t="shared" si="0"/>
        <v>Adjusted opening balance</v>
      </c>
      <c r="L7" s="482">
        <v>13817.9803940854</v>
      </c>
      <c r="M7" s="482">
        <v>13377.400910480101</v>
      </c>
      <c r="N7" s="482">
        <v>12322.0537678564</v>
      </c>
      <c r="O7" s="483">
        <v>12899.5692464232</v>
      </c>
      <c r="P7" s="482">
        <v>14714.7012657668</v>
      </c>
      <c r="Q7" s="482">
        <v>15294.5639621061</v>
      </c>
      <c r="R7" s="482">
        <v>14359.8582558573</v>
      </c>
      <c r="S7" s="482">
        <v>14387.595843134801</v>
      </c>
      <c r="T7" s="482">
        <v>14161.679516402201</v>
      </c>
      <c r="U7" s="482">
        <v>16349.3402820848</v>
      </c>
      <c r="V7" s="482">
        <v>15519.6168080796</v>
      </c>
      <c r="W7" s="482">
        <v>16182.216636987399</v>
      </c>
      <c r="X7" s="482">
        <v>16585.737469056599</v>
      </c>
      <c r="Y7" s="482">
        <v>15276.307273009501</v>
      </c>
      <c r="Z7" s="470"/>
      <c r="AA7" s="481" t="str">
        <f t="shared" si="1"/>
        <v>Adjusted opening balance</v>
      </c>
      <c r="AB7" s="482">
        <v>13817.9803940854</v>
      </c>
      <c r="AC7" s="482">
        <v>13377.400910480101</v>
      </c>
      <c r="AD7" s="482">
        <v>12322.0537678564</v>
      </c>
      <c r="AE7" s="483">
        <v>12899.5692464232</v>
      </c>
      <c r="AF7" s="484">
        <v>14714.7012657668</v>
      </c>
      <c r="AG7" s="482">
        <v>15294.5639621061</v>
      </c>
      <c r="AH7" s="482">
        <v>14359.8582558573</v>
      </c>
      <c r="AI7" s="482">
        <v>14387.595843134801</v>
      </c>
      <c r="AJ7" s="482">
        <v>14161.679516402201</v>
      </c>
      <c r="AK7" s="482">
        <v>16349.3402820848</v>
      </c>
      <c r="AL7" s="482">
        <v>15519.6168080796</v>
      </c>
      <c r="AM7" s="482">
        <v>16182.216636987399</v>
      </c>
      <c r="AN7" s="482">
        <v>16585.737469056599</v>
      </c>
      <c r="AO7" s="482">
        <v>15276.307273009501</v>
      </c>
    </row>
    <row r="8" spans="1:41" ht="13">
      <c r="A8" s="470" t="s">
        <v>556</v>
      </c>
      <c r="B8" s="472">
        <v>972.28492776990004</v>
      </c>
      <c r="C8" s="472">
        <v>1441.6303482152</v>
      </c>
      <c r="D8" s="472">
        <v>4359.8585880937999</v>
      </c>
      <c r="E8" s="470"/>
      <c r="F8" s="470" t="s">
        <v>556</v>
      </c>
      <c r="G8" s="487">
        <v>1</v>
      </c>
      <c r="H8" s="472">
        <v>3</v>
      </c>
      <c r="I8" s="472">
        <v>7</v>
      </c>
      <c r="J8" s="472"/>
      <c r="K8" s="470" t="str">
        <f t="shared" si="0"/>
        <v>Organic</v>
      </c>
      <c r="L8" s="472">
        <v>-891.17597446989998</v>
      </c>
      <c r="M8" s="472">
        <v>-60.418893165199997</v>
      </c>
      <c r="N8" s="472">
        <v>990.61261648200002</v>
      </c>
      <c r="O8" s="487">
        <v>933.26717892299996</v>
      </c>
      <c r="P8" s="472">
        <v>-357.9690913563</v>
      </c>
      <c r="Q8" s="472">
        <v>221.63431114209999</v>
      </c>
      <c r="R8" s="472">
        <v>872.6296583523</v>
      </c>
      <c r="S8" s="472">
        <v>705.33547007710001</v>
      </c>
      <c r="T8" s="472">
        <v>1373.7159717606</v>
      </c>
      <c r="U8" s="472">
        <v>356.69939713590003</v>
      </c>
      <c r="V8" s="472">
        <v>924.48408642039999</v>
      </c>
      <c r="W8" s="472">
        <v>1704.9591327769001</v>
      </c>
      <c r="X8" s="472">
        <v>3767.1374275914</v>
      </c>
      <c r="Y8" s="472">
        <v>2093.0640850299001</v>
      </c>
      <c r="Z8" s="470"/>
      <c r="AA8" s="470" t="str">
        <f t="shared" si="1"/>
        <v>Organic</v>
      </c>
      <c r="AB8" s="472">
        <v>-7</v>
      </c>
      <c r="AC8" s="472">
        <v>-1</v>
      </c>
      <c r="AD8" s="472">
        <v>9</v>
      </c>
      <c r="AE8" s="487">
        <v>7</v>
      </c>
      <c r="AF8" s="491">
        <v>-3</v>
      </c>
      <c r="AG8" s="472">
        <v>1</v>
      </c>
      <c r="AH8" s="472">
        <v>6</v>
      </c>
      <c r="AI8" s="472">
        <v>5</v>
      </c>
      <c r="AJ8" s="472">
        <v>10</v>
      </c>
      <c r="AK8" s="472">
        <v>2</v>
      </c>
      <c r="AL8" s="472">
        <v>7</v>
      </c>
      <c r="AM8" s="472">
        <v>11</v>
      </c>
      <c r="AN8" s="472">
        <v>23</v>
      </c>
      <c r="AO8" s="472">
        <v>13</v>
      </c>
    </row>
    <row r="9" spans="1:41" ht="13">
      <c r="A9" s="470" t="s">
        <v>557</v>
      </c>
      <c r="B9" s="472">
        <v>1401.8775018693002</v>
      </c>
      <c r="C9" s="472">
        <v>-1106.3753048172</v>
      </c>
      <c r="D9" s="472">
        <v>-4756.4295237959004</v>
      </c>
      <c r="E9" s="470"/>
      <c r="F9" s="470" t="s">
        <v>557</v>
      </c>
      <c r="G9" s="487">
        <v>2.6744708517523841</v>
      </c>
      <c r="H9" s="472">
        <v>-1.9319024969373286</v>
      </c>
      <c r="I9" s="472">
        <v>-7.6470203113354671</v>
      </c>
      <c r="J9" s="472"/>
      <c r="K9" s="470" t="str">
        <f t="shared" si="0"/>
        <v>Currency</v>
      </c>
      <c r="L9" s="472">
        <v>827.28344155479999</v>
      </c>
      <c r="M9" s="472">
        <v>500.30549079529999</v>
      </c>
      <c r="N9" s="472">
        <v>179.23016228770001</v>
      </c>
      <c r="O9" s="487">
        <v>-104.9415927685</v>
      </c>
      <c r="P9" s="472">
        <v>-425.10537125910002</v>
      </c>
      <c r="Q9" s="472">
        <v>-189.36944919129999</v>
      </c>
      <c r="R9" s="472">
        <v>-557.3851691026</v>
      </c>
      <c r="S9" s="472">
        <v>65.484684735800002</v>
      </c>
      <c r="T9" s="472">
        <v>11.6656507425</v>
      </c>
      <c r="U9" s="472">
        <v>-1511.1123310521</v>
      </c>
      <c r="V9" s="472">
        <v>-1341.4769367857</v>
      </c>
      <c r="W9" s="472">
        <v>-1916.2059067006001</v>
      </c>
      <c r="X9" s="472">
        <v>-2013.4209650370001</v>
      </c>
      <c r="Y9" s="472">
        <v>-63.824867504700002</v>
      </c>
      <c r="Z9" s="470"/>
      <c r="AA9" s="470" t="str">
        <f t="shared" si="1"/>
        <v>Currency</v>
      </c>
      <c r="AB9" s="472">
        <v>5.9870069138968205</v>
      </c>
      <c r="AC9" s="472">
        <v>3.739930455424652</v>
      </c>
      <c r="AD9" s="472">
        <v>1.454547802374017</v>
      </c>
      <c r="AE9" s="487">
        <v>-0.8135278842555016</v>
      </c>
      <c r="AF9" s="491">
        <v>-2.8889840410698091</v>
      </c>
      <c r="AG9" s="472">
        <v>-1.2381487282702719</v>
      </c>
      <c r="AH9" s="472">
        <v>-3.8815506335185859</v>
      </c>
      <c r="AI9" s="472">
        <v>0.45514681848007799</v>
      </c>
      <c r="AJ9" s="472">
        <v>8.2374768677604418E-2</v>
      </c>
      <c r="AK9" s="472">
        <v>-9.2444851289092558</v>
      </c>
      <c r="AL9" s="472">
        <v>-8.6437503797601476</v>
      </c>
      <c r="AM9" s="472">
        <v>-11.841430316294018</v>
      </c>
      <c r="AN9" s="472">
        <v>-12.139472054187312</v>
      </c>
      <c r="AO9" s="472">
        <v>-0.41780298316902226</v>
      </c>
    </row>
    <row r="10" spans="1:41" ht="13">
      <c r="A10" s="492" t="s">
        <v>558</v>
      </c>
      <c r="B10" s="493">
        <v>4107.7525783807005</v>
      </c>
      <c r="C10" s="493">
        <v>3120.8788732909002</v>
      </c>
      <c r="D10" s="493">
        <v>1156.5677451961001</v>
      </c>
      <c r="E10" s="470"/>
      <c r="F10" s="492" t="s">
        <v>558</v>
      </c>
      <c r="G10" s="494">
        <v>7.8366793977653364</v>
      </c>
      <c r="H10" s="493">
        <v>6.0495374776516933</v>
      </c>
      <c r="I10" s="493">
        <v>1.8606568978027673</v>
      </c>
      <c r="J10" s="472"/>
      <c r="K10" s="492" t="str">
        <f t="shared" si="0"/>
        <v>Structure</v>
      </c>
      <c r="L10" s="493">
        <v>960.61340459660016</v>
      </c>
      <c r="M10" s="493">
        <v>1619.0764539955001</v>
      </c>
      <c r="N10" s="493">
        <v>868.36170923170005</v>
      </c>
      <c r="O10" s="494">
        <v>659.70101055690009</v>
      </c>
      <c r="P10" s="493">
        <v>230.05271325089996</v>
      </c>
      <c r="Q10" s="493">
        <v>1022.5114580280001</v>
      </c>
      <c r="R10" s="493">
        <v>844.51406297249991</v>
      </c>
      <c r="S10" s="493">
        <v>1023.8006390395</v>
      </c>
      <c r="T10" s="493">
        <v>1038.6763301515</v>
      </c>
      <c r="U10" s="493">
        <v>80.979924840599992</v>
      </c>
      <c r="V10" s="493">
        <v>38.9594461254</v>
      </c>
      <c r="W10" s="493">
        <v>-1.0479559213999998</v>
      </c>
      <c r="X10" s="493">
        <v>0.23519999999999999</v>
      </c>
      <c r="Y10" s="493">
        <v>-0.23519999799999999</v>
      </c>
      <c r="Z10" s="470"/>
      <c r="AA10" s="492" t="str">
        <f t="shared" si="1"/>
        <v>Structure</v>
      </c>
      <c r="AB10" s="493">
        <v>6.9519088694595181</v>
      </c>
      <c r="AC10" s="493">
        <v>12.103071925781084</v>
      </c>
      <c r="AD10" s="493">
        <v>7.0472157125050767</v>
      </c>
      <c r="AE10" s="494">
        <v>5.114132091967508</v>
      </c>
      <c r="AF10" s="495">
        <v>1.5634208883744651</v>
      </c>
      <c r="AG10" s="493">
        <v>6.6854567450329441</v>
      </c>
      <c r="AH10" s="493">
        <v>5.8810752023128616</v>
      </c>
      <c r="AI10" s="493">
        <v>7.1158562570272474</v>
      </c>
      <c r="AJ10" s="493">
        <v>7.3344148831252287</v>
      </c>
      <c r="AK10" s="493">
        <v>0.49531004580861143</v>
      </c>
      <c r="AL10" s="493">
        <v>0.25103355712440972</v>
      </c>
      <c r="AM10" s="493">
        <v>-6.4759726365589861E-3</v>
      </c>
      <c r="AN10" s="493">
        <v>1.4180858731111835E-3</v>
      </c>
      <c r="AO10" s="493">
        <v>-1.5396390881424352E-3</v>
      </c>
    </row>
    <row r="11" spans="1:41" ht="13">
      <c r="A11" s="470" t="s">
        <v>471</v>
      </c>
      <c r="B11" s="472">
        <v>6481.9150080199006</v>
      </c>
      <c r="C11" s="472">
        <v>3456.1339166888997</v>
      </c>
      <c r="D11" s="472">
        <v>761</v>
      </c>
      <c r="E11" s="470"/>
      <c r="F11" s="470" t="s">
        <v>471</v>
      </c>
      <c r="G11" s="487">
        <v>12</v>
      </c>
      <c r="H11" s="472">
        <v>6.6</v>
      </c>
      <c r="I11" s="472">
        <v>1</v>
      </c>
      <c r="J11" s="472"/>
      <c r="K11" s="470" t="str">
        <f t="shared" si="0"/>
        <v>Total</v>
      </c>
      <c r="L11" s="472">
        <v>896.72087168150017</v>
      </c>
      <c r="M11" s="472">
        <v>2058.9630516256002</v>
      </c>
      <c r="N11" s="472">
        <v>2038.2044880014</v>
      </c>
      <c r="O11" s="487">
        <v>1488.0265967114001</v>
      </c>
      <c r="P11" s="472">
        <v>-553.02174936450012</v>
      </c>
      <c r="Q11" s="472">
        <v>1054.7763199788001</v>
      </c>
      <c r="R11" s="472">
        <v>1159.7585522221998</v>
      </c>
      <c r="S11" s="472">
        <v>1794.6207938523999</v>
      </c>
      <c r="T11" s="472">
        <v>2424.0579526545998</v>
      </c>
      <c r="U11" s="472">
        <v>-1073.4330090756</v>
      </c>
      <c r="V11" s="472">
        <v>-378.03340423989999</v>
      </c>
      <c r="W11" s="472">
        <v>-212.29472984509994</v>
      </c>
      <c r="X11" s="472">
        <v>1753.9516625543999</v>
      </c>
      <c r="Y11" s="472">
        <v>2029.0040175271999</v>
      </c>
      <c r="Z11" s="470"/>
      <c r="AA11" s="470" t="str">
        <f t="shared" si="1"/>
        <v>Total</v>
      </c>
      <c r="AB11" s="472">
        <v>6</v>
      </c>
      <c r="AC11" s="472">
        <v>15</v>
      </c>
      <c r="AD11" s="472">
        <v>17</v>
      </c>
      <c r="AE11" s="487">
        <v>11</v>
      </c>
      <c r="AF11" s="491">
        <v>-4</v>
      </c>
      <c r="AG11" s="472">
        <v>7</v>
      </c>
      <c r="AH11" s="472">
        <v>8</v>
      </c>
      <c r="AI11" s="472">
        <v>12</v>
      </c>
      <c r="AJ11" s="472">
        <v>17</v>
      </c>
      <c r="AK11" s="472">
        <v>-7</v>
      </c>
      <c r="AL11" s="472">
        <v>-2</v>
      </c>
      <c r="AM11" s="472">
        <v>-1</v>
      </c>
      <c r="AN11" s="472">
        <v>11</v>
      </c>
      <c r="AO11" s="472">
        <v>13</v>
      </c>
    </row>
    <row r="12" spans="1:41" ht="13">
      <c r="A12" s="481" t="s">
        <v>559</v>
      </c>
      <c r="B12" s="482">
        <v>58898.919326865005</v>
      </c>
      <c r="C12" s="482">
        <v>62212.853243553895</v>
      </c>
      <c r="D12" s="482">
        <v>62973.550053047999</v>
      </c>
      <c r="E12" s="470"/>
      <c r="F12" s="481" t="s">
        <v>559</v>
      </c>
      <c r="G12" s="483">
        <v>58898.919326865005</v>
      </c>
      <c r="H12" s="482">
        <v>62212.853243553895</v>
      </c>
      <c r="I12" s="482">
        <v>62973.850053048001</v>
      </c>
      <c r="J12" s="472"/>
      <c r="K12" s="481" t="str">
        <f t="shared" si="0"/>
        <v>Operational closing balance</v>
      </c>
      <c r="L12" s="482">
        <v>14714.7012657669</v>
      </c>
      <c r="M12" s="482">
        <v>15436.363962105701</v>
      </c>
      <c r="N12" s="482">
        <v>14360.2582558578</v>
      </c>
      <c r="O12" s="483">
        <v>14387.595843134601</v>
      </c>
      <c r="P12" s="482">
        <v>14161.679516402301</v>
      </c>
      <c r="Q12" s="482">
        <v>16349.340282084901</v>
      </c>
      <c r="R12" s="482">
        <v>15519.6168080795</v>
      </c>
      <c r="S12" s="482">
        <v>16182.216636987201</v>
      </c>
      <c r="T12" s="482">
        <v>16585.737469056799</v>
      </c>
      <c r="U12" s="482">
        <v>15275.6072730092</v>
      </c>
      <c r="V12" s="482">
        <v>15141.583403839699</v>
      </c>
      <c r="W12" s="482">
        <v>15969.921907142299</v>
      </c>
      <c r="X12" s="482">
        <v>18339.689131610998</v>
      </c>
      <c r="Y12" s="482">
        <v>17305.311290536702</v>
      </c>
      <c r="Z12" s="470"/>
      <c r="AA12" s="481" t="str">
        <f t="shared" si="1"/>
        <v>Operational closing balance</v>
      </c>
      <c r="AB12" s="482">
        <v>14714.7012657669</v>
      </c>
      <c r="AC12" s="482">
        <v>15436.363962105701</v>
      </c>
      <c r="AD12" s="482">
        <v>14360.2582558578</v>
      </c>
      <c r="AE12" s="483">
        <v>14387.595843134601</v>
      </c>
      <c r="AF12" s="484">
        <v>14161.679516402301</v>
      </c>
      <c r="AG12" s="482">
        <v>16349.340282084901</v>
      </c>
      <c r="AH12" s="482">
        <v>15519.6168080795</v>
      </c>
      <c r="AI12" s="482">
        <v>16182.216636987201</v>
      </c>
      <c r="AJ12" s="482">
        <v>16585.737469056799</v>
      </c>
      <c r="AK12" s="482">
        <v>15275.6072730092</v>
      </c>
      <c r="AL12" s="482">
        <v>15141.583403839699</v>
      </c>
      <c r="AM12" s="482">
        <v>15969.921907142299</v>
      </c>
      <c r="AN12" s="482">
        <v>18339.689131610998</v>
      </c>
      <c r="AO12" s="482">
        <v>17305.311290536702</v>
      </c>
    </row>
    <row r="13" spans="1:41" ht="13">
      <c r="A13" s="470" t="s">
        <v>554</v>
      </c>
      <c r="B13" s="472">
        <v>432.9</v>
      </c>
      <c r="C13" s="472">
        <v>0</v>
      </c>
      <c r="D13" s="472">
        <v>0</v>
      </c>
      <c r="E13" s="470"/>
      <c r="F13" s="470" t="s">
        <v>554</v>
      </c>
      <c r="G13" s="487">
        <v>0.81338537610601924</v>
      </c>
      <c r="H13" s="472">
        <v>0</v>
      </c>
      <c r="I13" s="472">
        <v>0</v>
      </c>
      <c r="J13" s="472"/>
      <c r="K13" s="470" t="str">
        <f t="shared" si="0"/>
        <v>Adjustment OOH</v>
      </c>
      <c r="L13" s="472">
        <v>432.9</v>
      </c>
      <c r="M13" s="472">
        <v>0</v>
      </c>
      <c r="N13" s="472">
        <v>0</v>
      </c>
      <c r="O13" s="487">
        <v>0</v>
      </c>
      <c r="P13" s="472">
        <v>0</v>
      </c>
      <c r="Q13" s="472">
        <v>0</v>
      </c>
      <c r="R13" s="472">
        <v>0</v>
      </c>
      <c r="S13" s="472">
        <v>0</v>
      </c>
      <c r="T13" s="472">
        <v>0</v>
      </c>
      <c r="U13" s="472">
        <v>0</v>
      </c>
      <c r="V13" s="472">
        <v>0</v>
      </c>
      <c r="W13" s="472">
        <v>0</v>
      </c>
      <c r="X13" s="472">
        <v>0</v>
      </c>
      <c r="Y13" s="472">
        <v>0</v>
      </c>
      <c r="Z13" s="470"/>
      <c r="AA13" s="470" t="str">
        <f t="shared" si="1"/>
        <v>Adjustment OOH</v>
      </c>
      <c r="AB13" s="472">
        <v>3.1328746144790953</v>
      </c>
      <c r="AC13" s="472">
        <v>0</v>
      </c>
      <c r="AD13" s="472">
        <v>0</v>
      </c>
      <c r="AE13" s="487">
        <v>0</v>
      </c>
      <c r="AF13" s="491">
        <v>0</v>
      </c>
      <c r="AG13" s="472">
        <v>0</v>
      </c>
      <c r="AH13" s="472">
        <v>0</v>
      </c>
      <c r="AI13" s="472">
        <v>0</v>
      </c>
      <c r="AJ13" s="472">
        <v>0</v>
      </c>
      <c r="AK13" s="472">
        <v>0</v>
      </c>
      <c r="AL13" s="472">
        <v>0</v>
      </c>
      <c r="AM13" s="472">
        <v>0</v>
      </c>
      <c r="AN13" s="472">
        <v>0</v>
      </c>
      <c r="AO13" s="472">
        <v>0</v>
      </c>
    </row>
    <row r="14" spans="1:41" ht="13">
      <c r="A14" s="496" t="s">
        <v>560</v>
      </c>
      <c r="B14" s="497">
        <v>59332.319326864999</v>
      </c>
      <c r="C14" s="497">
        <v>62212.853243553895</v>
      </c>
      <c r="D14" s="497">
        <v>62973.850053047994</v>
      </c>
      <c r="E14" s="470"/>
      <c r="F14" s="496" t="s">
        <v>560</v>
      </c>
      <c r="G14" s="498">
        <v>59332.319326864999</v>
      </c>
      <c r="H14" s="497">
        <v>62212.853243553895</v>
      </c>
      <c r="I14" s="497">
        <v>62974.150053047997</v>
      </c>
      <c r="J14" s="472"/>
      <c r="K14" s="496" t="str">
        <f t="shared" si="0"/>
        <v>Reported closing balance</v>
      </c>
      <c r="L14" s="497">
        <v>15147.6012657669</v>
      </c>
      <c r="M14" s="497">
        <v>15436.263962105701</v>
      </c>
      <c r="N14" s="497">
        <v>14359.8582558578</v>
      </c>
      <c r="O14" s="498">
        <v>14387.595843134601</v>
      </c>
      <c r="P14" s="497">
        <v>14161.679516402301</v>
      </c>
      <c r="Q14" s="497">
        <v>16349.340282084901</v>
      </c>
      <c r="R14" s="497">
        <v>15519.6168080795</v>
      </c>
      <c r="S14" s="497">
        <v>16182.216636987199</v>
      </c>
      <c r="T14" s="497">
        <v>16585.737469056799</v>
      </c>
      <c r="U14" s="497">
        <v>15275.6072730092</v>
      </c>
      <c r="V14" s="497">
        <v>15141.8834038397</v>
      </c>
      <c r="W14" s="497">
        <v>15969.921907142299</v>
      </c>
      <c r="X14" s="497">
        <v>18339.689131611001</v>
      </c>
      <c r="Y14" s="497">
        <v>17305.311290536702</v>
      </c>
      <c r="Z14" s="470"/>
      <c r="AA14" s="496" t="str">
        <f t="shared" si="1"/>
        <v>Reported closing balance</v>
      </c>
      <c r="AB14" s="497">
        <v>15147.6012657669</v>
      </c>
      <c r="AC14" s="497">
        <v>15436.263962105701</v>
      </c>
      <c r="AD14" s="497">
        <v>14359.8582558578</v>
      </c>
      <c r="AE14" s="498">
        <v>14387.595843134601</v>
      </c>
      <c r="AF14" s="499">
        <v>14161.679516402301</v>
      </c>
      <c r="AG14" s="497">
        <v>16349.340282084901</v>
      </c>
      <c r="AH14" s="497">
        <v>15519.6168080795</v>
      </c>
      <c r="AI14" s="497">
        <v>16182.216636987199</v>
      </c>
      <c r="AJ14" s="497">
        <v>16585.737469056799</v>
      </c>
      <c r="AK14" s="497">
        <v>15275.6072730092</v>
      </c>
      <c r="AL14" s="497">
        <v>15141.8834038397</v>
      </c>
      <c r="AM14" s="497">
        <v>15969.921907142299</v>
      </c>
      <c r="AN14" s="497">
        <v>18339.689131611001</v>
      </c>
      <c r="AO14" s="497">
        <v>17305.311290536702</v>
      </c>
    </row>
    <row r="15" spans="1:41" ht="13">
      <c r="A15" s="470"/>
      <c r="B15" s="470"/>
      <c r="C15" s="470"/>
      <c r="D15" s="470"/>
      <c r="E15" s="470"/>
      <c r="F15" s="470"/>
      <c r="G15" s="500"/>
      <c r="H15" s="470"/>
      <c r="I15" s="470"/>
      <c r="J15" s="472"/>
      <c r="K15" s="470"/>
      <c r="L15" s="470"/>
      <c r="M15" s="470"/>
      <c r="N15" s="470"/>
      <c r="O15" s="500"/>
      <c r="P15" s="470"/>
      <c r="Q15" s="470"/>
      <c r="R15" s="470"/>
      <c r="S15" s="470"/>
      <c r="T15" s="470"/>
      <c r="U15" s="470"/>
      <c r="V15" s="470"/>
      <c r="W15" s="470"/>
      <c r="X15" s="470"/>
      <c r="Y15" s="470"/>
      <c r="Z15" s="470"/>
      <c r="AA15" s="470"/>
      <c r="AB15" s="470"/>
      <c r="AC15" s="470"/>
      <c r="AD15" s="470"/>
      <c r="AE15" s="470"/>
      <c r="AF15" s="470"/>
      <c r="AG15" s="470"/>
      <c r="AH15" s="470"/>
      <c r="AI15" s="470"/>
      <c r="AJ15" s="470"/>
      <c r="AK15" s="470"/>
    </row>
    <row r="16" spans="1:41" ht="13">
      <c r="A16" s="476" t="s">
        <v>474</v>
      </c>
      <c r="B16" s="476"/>
      <c r="C16" s="476"/>
      <c r="D16" s="476"/>
      <c r="E16" s="470"/>
      <c r="F16" s="476" t="s">
        <v>474</v>
      </c>
      <c r="G16" s="477"/>
      <c r="H16" s="476"/>
      <c r="I16" s="476"/>
      <c r="J16" s="472"/>
      <c r="K16" s="476" t="str">
        <f t="shared" ref="K16:K27" si="2">A16</f>
        <v>Orders received</v>
      </c>
      <c r="L16" s="476"/>
      <c r="M16" s="476"/>
      <c r="N16" s="476"/>
      <c r="O16" s="477"/>
      <c r="P16" s="476"/>
      <c r="Q16" s="476"/>
      <c r="R16" s="476"/>
      <c r="S16" s="476"/>
      <c r="T16" s="476"/>
      <c r="U16" s="476"/>
      <c r="V16" s="476"/>
      <c r="W16" s="476"/>
      <c r="X16" s="476"/>
      <c r="Y16" s="476"/>
      <c r="Z16" s="470"/>
      <c r="AA16" s="476" t="str">
        <f t="shared" ref="AA16:AA27" si="3">F16</f>
        <v>Orders received</v>
      </c>
      <c r="AB16" s="476"/>
      <c r="AC16" s="476"/>
      <c r="AD16" s="476"/>
      <c r="AE16" s="477"/>
      <c r="AF16" s="478"/>
      <c r="AG16" s="476"/>
      <c r="AH16" s="476"/>
      <c r="AI16" s="476"/>
      <c r="AJ16" s="476"/>
      <c r="AK16" s="476"/>
      <c r="AL16" s="476"/>
      <c r="AM16" s="476"/>
      <c r="AN16" s="476"/>
      <c r="AO16" s="476"/>
    </row>
    <row r="17" spans="1:41" ht="13">
      <c r="A17" s="315" t="s">
        <v>293</v>
      </c>
      <c r="B17" s="315">
        <v>2023</v>
      </c>
      <c r="C17" s="315">
        <v>2024</v>
      </c>
      <c r="D17" s="315">
        <v>2025</v>
      </c>
      <c r="E17" s="470"/>
      <c r="F17" s="315" t="s">
        <v>293</v>
      </c>
      <c r="G17" s="479">
        <v>2023</v>
      </c>
      <c r="H17" s="315">
        <v>2024</v>
      </c>
      <c r="I17" s="315">
        <v>2025</v>
      </c>
      <c r="J17" s="472"/>
      <c r="K17" s="315" t="str">
        <f t="shared" si="2"/>
        <v>Equipment &amp; Service</v>
      </c>
      <c r="L17" s="315" t="s">
        <v>148</v>
      </c>
      <c r="M17" s="315" t="s">
        <v>149</v>
      </c>
      <c r="N17" s="315" t="s">
        <v>150</v>
      </c>
      <c r="O17" s="479" t="s">
        <v>151</v>
      </c>
      <c r="P17" s="315" t="s">
        <v>152</v>
      </c>
      <c r="Q17" s="315" t="s">
        <v>153</v>
      </c>
      <c r="R17" s="315" t="s">
        <v>154</v>
      </c>
      <c r="S17" s="315" t="s">
        <v>155</v>
      </c>
      <c r="T17" s="315" t="s">
        <v>156</v>
      </c>
      <c r="U17" s="315" t="s">
        <v>157</v>
      </c>
      <c r="V17" s="315" t="s">
        <v>158</v>
      </c>
      <c r="W17" s="315" t="s">
        <v>820</v>
      </c>
      <c r="X17" s="315" t="s">
        <v>1275</v>
      </c>
      <c r="Y17" s="315" t="s">
        <v>1344</v>
      </c>
      <c r="Z17" s="470"/>
      <c r="AA17" s="315" t="str">
        <f t="shared" si="3"/>
        <v>Equipment &amp; Service</v>
      </c>
      <c r="AB17" s="315" t="s">
        <v>148</v>
      </c>
      <c r="AC17" s="315" t="s">
        <v>149</v>
      </c>
      <c r="AD17" s="315" t="s">
        <v>150</v>
      </c>
      <c r="AE17" s="479" t="s">
        <v>151</v>
      </c>
      <c r="AF17" s="480" t="s">
        <v>152</v>
      </c>
      <c r="AG17" s="315" t="s">
        <v>153</v>
      </c>
      <c r="AH17" s="315" t="s">
        <v>154</v>
      </c>
      <c r="AI17" s="315" t="s">
        <v>155</v>
      </c>
      <c r="AJ17" s="315" t="s">
        <v>156</v>
      </c>
      <c r="AK17" s="315" t="s">
        <v>157</v>
      </c>
      <c r="AL17" s="315" t="s">
        <v>158</v>
      </c>
      <c r="AM17" s="315" t="s">
        <v>820</v>
      </c>
      <c r="AN17" s="315" t="s">
        <v>1275</v>
      </c>
      <c r="AO17" s="315" t="s">
        <v>1344</v>
      </c>
    </row>
    <row r="18" spans="1:41" ht="13">
      <c r="A18" s="481" t="s">
        <v>553</v>
      </c>
      <c r="B18" s="482">
        <v>42690.962694802103</v>
      </c>
      <c r="C18" s="482">
        <v>46708.320281198103</v>
      </c>
      <c r="D18" s="482">
        <v>47422.780079417003</v>
      </c>
      <c r="E18" s="470"/>
      <c r="F18" s="481" t="s">
        <v>553</v>
      </c>
      <c r="G18" s="483">
        <v>42690.962694802103</v>
      </c>
      <c r="H18" s="482">
        <f>46707.3202811981+1</f>
        <v>46708.320281198103</v>
      </c>
      <c r="I18" s="482">
        <v>47422.780079417003</v>
      </c>
      <c r="J18" s="472"/>
      <c r="K18" s="481" t="str">
        <f t="shared" si="2"/>
        <v>Reported opening balance</v>
      </c>
      <c r="L18" s="482">
        <v>10839.9189195621</v>
      </c>
      <c r="M18" s="482">
        <v>10897.060602207899</v>
      </c>
      <c r="N18" s="482">
        <v>9790.7239444646002</v>
      </c>
      <c r="O18" s="483">
        <v>11163.2592285675</v>
      </c>
      <c r="P18" s="482">
        <v>11570.379972948</v>
      </c>
      <c r="Q18" s="482">
        <v>12275.685550455</v>
      </c>
      <c r="R18" s="482">
        <v>11310.67786046</v>
      </c>
      <c r="S18" s="482">
        <v>11550.576897335101</v>
      </c>
      <c r="T18" s="482">
        <v>11025.0502131555</v>
      </c>
      <c r="U18" s="482">
        <v>12387.9736662832</v>
      </c>
      <c r="V18" s="482">
        <v>11829.947638979</v>
      </c>
      <c r="W18" s="482">
        <v>12179.8085609993</v>
      </c>
      <c r="X18" s="482">
        <v>12377.2136426959</v>
      </c>
      <c r="Y18" s="482">
        <v>11505.5559033388</v>
      </c>
      <c r="Z18" s="470"/>
      <c r="AA18" s="481" t="str">
        <f t="shared" si="3"/>
        <v>Reported opening balance</v>
      </c>
      <c r="AB18" s="482">
        <v>10839.9189195621</v>
      </c>
      <c r="AC18" s="482">
        <v>10897.060602207899</v>
      </c>
      <c r="AD18" s="482">
        <v>9790.7239444646002</v>
      </c>
      <c r="AE18" s="483">
        <v>11163.2592285675</v>
      </c>
      <c r="AF18" s="484">
        <v>11570.379972948</v>
      </c>
      <c r="AG18" s="482">
        <v>12275.685550455</v>
      </c>
      <c r="AH18" s="482">
        <v>11310.67786046</v>
      </c>
      <c r="AI18" s="482">
        <v>11550.576897335101</v>
      </c>
      <c r="AJ18" s="482">
        <v>11025.0502131555</v>
      </c>
      <c r="AK18" s="482">
        <v>12387.9736662832</v>
      </c>
      <c r="AL18" s="482">
        <v>11829.947638979</v>
      </c>
      <c r="AM18" s="482">
        <v>12179.8085609993</v>
      </c>
      <c r="AN18" s="482">
        <v>12377.2136426959</v>
      </c>
      <c r="AO18" s="482">
        <v>11505.5559033388</v>
      </c>
    </row>
    <row r="19" spans="1:41" ht="13">
      <c r="A19" s="470" t="s">
        <v>554</v>
      </c>
      <c r="B19" s="485">
        <v>-778.3</v>
      </c>
      <c r="C19" s="485">
        <v>-172.2</v>
      </c>
      <c r="D19" s="485">
        <v>0</v>
      </c>
      <c r="E19" s="470"/>
      <c r="F19" s="470" t="s">
        <v>554</v>
      </c>
      <c r="G19" s="487">
        <v>-1.8231024808788465</v>
      </c>
      <c r="H19" s="485">
        <v>-0.36867882585274031</v>
      </c>
      <c r="I19" s="485">
        <v>0</v>
      </c>
      <c r="J19" s="472"/>
      <c r="K19" s="470" t="str">
        <f t="shared" si="2"/>
        <v>Adjustment OOH</v>
      </c>
      <c r="L19" s="485">
        <v>0</v>
      </c>
      <c r="M19" s="485">
        <v>0</v>
      </c>
      <c r="N19" s="485">
        <v>0</v>
      </c>
      <c r="O19" s="488">
        <v>-778.3</v>
      </c>
      <c r="P19" s="485">
        <v>-30.5</v>
      </c>
      <c r="Q19" s="485">
        <v>-141.69999999999999</v>
      </c>
      <c r="R19" s="485">
        <v>0</v>
      </c>
      <c r="S19" s="485">
        <v>0</v>
      </c>
      <c r="T19" s="485">
        <v>0</v>
      </c>
      <c r="U19" s="485">
        <v>0</v>
      </c>
      <c r="V19" s="485">
        <v>0</v>
      </c>
      <c r="W19" s="485">
        <v>0</v>
      </c>
      <c r="X19" s="485">
        <v>0</v>
      </c>
      <c r="Y19" s="485">
        <v>0</v>
      </c>
      <c r="Z19" s="470"/>
      <c r="AA19" s="470" t="str">
        <f t="shared" si="3"/>
        <v>Adjustment OOH</v>
      </c>
      <c r="AB19" s="485">
        <v>0</v>
      </c>
      <c r="AC19" s="485">
        <v>0</v>
      </c>
      <c r="AD19" s="485">
        <v>0</v>
      </c>
      <c r="AE19" s="488">
        <v>-6.9719782015657232</v>
      </c>
      <c r="AF19" s="501">
        <v>-0.26360413462055865</v>
      </c>
      <c r="AG19" s="485">
        <v>-1.1543143510608078</v>
      </c>
      <c r="AH19" s="485">
        <v>0</v>
      </c>
      <c r="AI19" s="485">
        <v>0</v>
      </c>
      <c r="AJ19" s="485">
        <v>0</v>
      </c>
      <c r="AK19" s="485">
        <v>0</v>
      </c>
      <c r="AL19" s="485">
        <v>0</v>
      </c>
      <c r="AM19" s="486">
        <v>0</v>
      </c>
      <c r="AN19" s="486">
        <v>0</v>
      </c>
      <c r="AO19" s="486">
        <v>0</v>
      </c>
    </row>
    <row r="20" spans="1:41" ht="13">
      <c r="A20" s="481" t="s">
        <v>555</v>
      </c>
      <c r="B20" s="482">
        <v>41912.6626948021</v>
      </c>
      <c r="C20" s="482">
        <v>46534.240308250104</v>
      </c>
      <c r="D20" s="482">
        <v>47422.780079417003</v>
      </c>
      <c r="E20" s="470"/>
      <c r="F20" s="481" t="s">
        <v>555</v>
      </c>
      <c r="G20" s="483">
        <v>41912.6626948021</v>
      </c>
      <c r="H20" s="482">
        <v>46534.240308250104</v>
      </c>
      <c r="I20" s="482">
        <v>47422.780079417003</v>
      </c>
      <c r="J20" s="472"/>
      <c r="K20" s="481" t="str">
        <f t="shared" si="2"/>
        <v>Adjusted opening balance</v>
      </c>
      <c r="L20" s="482">
        <v>10839.9189195621</v>
      </c>
      <c r="M20" s="482">
        <v>10897.060602207899</v>
      </c>
      <c r="N20" s="482">
        <v>9790.7239444646002</v>
      </c>
      <c r="O20" s="483">
        <v>10384.959228567501</v>
      </c>
      <c r="P20" s="482">
        <v>11539</v>
      </c>
      <c r="Q20" s="482">
        <v>12133.985550455</v>
      </c>
      <c r="R20" s="482">
        <v>11310.67786046</v>
      </c>
      <c r="S20" s="482">
        <v>11550.576897335101</v>
      </c>
      <c r="T20" s="482">
        <v>11025.0502131555</v>
      </c>
      <c r="U20" s="482">
        <v>12387.9736662832</v>
      </c>
      <c r="V20" s="482">
        <v>11829.947638979</v>
      </c>
      <c r="W20" s="482">
        <v>12179.8085609993</v>
      </c>
      <c r="X20" s="482">
        <v>12377.2136426959</v>
      </c>
      <c r="Y20" s="482">
        <v>11505.5559033388</v>
      </c>
      <c r="Z20" s="470"/>
      <c r="AA20" s="481" t="str">
        <f t="shared" si="3"/>
        <v>Adjusted opening balance</v>
      </c>
      <c r="AB20" s="482">
        <v>10839.9189195621</v>
      </c>
      <c r="AC20" s="482">
        <v>10897.060602207899</v>
      </c>
      <c r="AD20" s="482">
        <v>9790.7239444646002</v>
      </c>
      <c r="AE20" s="483">
        <v>10384.959228567501</v>
      </c>
      <c r="AF20" s="484">
        <v>11539</v>
      </c>
      <c r="AG20" s="482">
        <v>12133.985550455</v>
      </c>
      <c r="AH20" s="482">
        <v>11310.67786046</v>
      </c>
      <c r="AI20" s="482">
        <v>11550.576897335101</v>
      </c>
      <c r="AJ20" s="482">
        <v>11025.0502131555</v>
      </c>
      <c r="AK20" s="482">
        <v>12387.9736662832</v>
      </c>
      <c r="AL20" s="482">
        <v>11829.947638979</v>
      </c>
      <c r="AM20" s="482">
        <v>12179.8085609993</v>
      </c>
      <c r="AN20" s="482">
        <v>12377.2136426959</v>
      </c>
      <c r="AO20" s="482">
        <v>11505.5559033388</v>
      </c>
    </row>
    <row r="21" spans="1:41" ht="13">
      <c r="A21" s="470" t="s">
        <v>556</v>
      </c>
      <c r="B21" s="472">
        <v>1144.4587071966998</v>
      </c>
      <c r="C21" s="472">
        <v>1627.8540458409002</v>
      </c>
      <c r="D21" s="472">
        <v>3852.4354260998998</v>
      </c>
      <c r="E21" s="470"/>
      <c r="F21" s="472" t="s">
        <v>556</v>
      </c>
      <c r="G21" s="487">
        <v>2</v>
      </c>
      <c r="H21" s="472">
        <v>4</v>
      </c>
      <c r="I21" s="472">
        <v>8</v>
      </c>
      <c r="J21" s="472"/>
      <c r="K21" s="470" t="str">
        <f t="shared" si="2"/>
        <v>Organic</v>
      </c>
      <c r="L21" s="472">
        <v>-616.06037583030002</v>
      </c>
      <c r="M21" s="472">
        <v>-34.086454949699998</v>
      </c>
      <c r="N21" s="472">
        <v>866.84865129360003</v>
      </c>
      <c r="O21" s="487">
        <v>927.75688668309999</v>
      </c>
      <c r="P21" s="472">
        <v>-284</v>
      </c>
      <c r="Q21" s="472">
        <v>398.65159236390002</v>
      </c>
      <c r="R21" s="472">
        <v>943.64251647779997</v>
      </c>
      <c r="S21" s="472">
        <v>569.55993699919998</v>
      </c>
      <c r="T21" s="472">
        <v>1316.0526695839001</v>
      </c>
      <c r="U21" s="472">
        <v>277.4176456326</v>
      </c>
      <c r="V21" s="472">
        <v>652.7796188584</v>
      </c>
      <c r="W21" s="472">
        <v>1606.485492025</v>
      </c>
      <c r="X21" s="472">
        <v>3383.5115933274997</v>
      </c>
      <c r="Y21" s="472">
        <v>1941.4686613654001</v>
      </c>
      <c r="Z21" s="470"/>
      <c r="AA21" s="472" t="str">
        <f t="shared" si="3"/>
        <v>Organic</v>
      </c>
      <c r="AB21" s="472">
        <v>-6</v>
      </c>
      <c r="AC21" s="472">
        <v>0</v>
      </c>
      <c r="AD21" s="472">
        <v>9</v>
      </c>
      <c r="AE21" s="487">
        <v>8</v>
      </c>
      <c r="AF21" s="491">
        <v>-2</v>
      </c>
      <c r="AG21" s="472">
        <v>3</v>
      </c>
      <c r="AH21" s="472">
        <v>9</v>
      </c>
      <c r="AI21" s="472">
        <v>5</v>
      </c>
      <c r="AJ21" s="472">
        <v>12</v>
      </c>
      <c r="AK21" s="472">
        <v>2</v>
      </c>
      <c r="AL21" s="472">
        <v>6</v>
      </c>
      <c r="AM21" s="472">
        <v>13</v>
      </c>
      <c r="AN21" s="472">
        <v>27</v>
      </c>
      <c r="AO21" s="472">
        <v>17</v>
      </c>
    </row>
    <row r="22" spans="1:41" ht="13">
      <c r="A22" s="470" t="s">
        <v>557</v>
      </c>
      <c r="B22" s="472">
        <v>1195.8943694095001</v>
      </c>
      <c r="C22" s="472">
        <v>-953.99428204740002</v>
      </c>
      <c r="D22" s="472">
        <v>-3665.0641989153</v>
      </c>
      <c r="E22" s="470"/>
      <c r="F22" s="472" t="s">
        <v>557</v>
      </c>
      <c r="G22" s="487">
        <v>2.853300870235123</v>
      </c>
      <c r="H22" s="472">
        <v>-2.0500522536155317</v>
      </c>
      <c r="I22" s="472">
        <v>-7.7284886984220789</v>
      </c>
      <c r="J22" s="472"/>
      <c r="K22" s="470" t="str">
        <f t="shared" si="2"/>
        <v>Currency</v>
      </c>
      <c r="L22" s="472">
        <v>668.54796639179995</v>
      </c>
      <c r="M22" s="472">
        <v>428.83425202339998</v>
      </c>
      <c r="N22" s="472">
        <v>167.14557585540001</v>
      </c>
      <c r="O22" s="487">
        <v>-68.633424861099996</v>
      </c>
      <c r="P22" s="472">
        <v>-354.80858628470003</v>
      </c>
      <c r="Q22" s="472">
        <v>-169.85950467519999</v>
      </c>
      <c r="R22" s="472">
        <v>-457.2805354555</v>
      </c>
      <c r="S22" s="472">
        <v>27.954344368000001</v>
      </c>
      <c r="T22" s="472">
        <v>11.4738753486</v>
      </c>
      <c r="U22" s="472">
        <v>-1158.9285278868999</v>
      </c>
      <c r="V22" s="472">
        <v>-1044.1553418502999</v>
      </c>
      <c r="W22" s="472">
        <v>-1473.4542045267001</v>
      </c>
      <c r="X22" s="472">
        <v>-1531.0072057458999</v>
      </c>
      <c r="Y22" s="472">
        <v>-15.2122615849</v>
      </c>
      <c r="Z22" s="470"/>
      <c r="AA22" s="472" t="str">
        <f t="shared" si="3"/>
        <v>Currency</v>
      </c>
      <c r="AB22" s="472">
        <v>6.1674627951811951</v>
      </c>
      <c r="AC22" s="472">
        <v>3.9353204288550261</v>
      </c>
      <c r="AD22" s="472">
        <v>1.707183011220528</v>
      </c>
      <c r="AE22" s="487">
        <v>-0.66089257887791708</v>
      </c>
      <c r="AF22" s="491">
        <v>-3.0746297805215383</v>
      </c>
      <c r="AG22" s="472">
        <v>-1.3998657239939651</v>
      </c>
      <c r="AH22" s="472">
        <v>-4.0429100810488698</v>
      </c>
      <c r="AI22" s="472">
        <v>0.24201686735187666</v>
      </c>
      <c r="AJ22" s="472">
        <v>0.10407095774411027</v>
      </c>
      <c r="AK22" s="472">
        <v>-9.3552711614264883</v>
      </c>
      <c r="AL22" s="472">
        <v>-8.8263733172399501</v>
      </c>
      <c r="AM22" s="472">
        <v>-12.097515302866219</v>
      </c>
      <c r="AN22" s="472">
        <v>-12.36956272989103</v>
      </c>
      <c r="AO22" s="472">
        <v>-0.13221665874037039</v>
      </c>
    </row>
    <row r="23" spans="1:41" ht="13">
      <c r="A23" s="492" t="s">
        <v>558</v>
      </c>
      <c r="B23" s="493">
        <v>2423.8045097897002</v>
      </c>
      <c r="C23" s="493">
        <v>214.38275272200002</v>
      </c>
      <c r="D23" s="493">
        <v>24.6996824617</v>
      </c>
      <c r="E23" s="470"/>
      <c r="F23" s="492" t="s">
        <v>558</v>
      </c>
      <c r="G23" s="494">
        <v>5.7829886100037591</v>
      </c>
      <c r="H23" s="493">
        <v>0.46069023014563593</v>
      </c>
      <c r="I23" s="493">
        <v>5.2084003553432436E-2</v>
      </c>
      <c r="J23" s="472"/>
      <c r="K23" s="492" t="str">
        <f t="shared" si="2"/>
        <v>Structure</v>
      </c>
      <c r="L23" s="493">
        <v>646.47346282440003</v>
      </c>
      <c r="M23" s="493">
        <v>983.87715117330004</v>
      </c>
      <c r="N23" s="493">
        <v>485.95968884670003</v>
      </c>
      <c r="O23" s="494">
        <v>307.49420694529999</v>
      </c>
      <c r="P23" s="493">
        <v>124.5615447887</v>
      </c>
      <c r="Q23" s="493">
        <v>25.19602813969999</v>
      </c>
      <c r="R23" s="493">
        <v>32.907797496600004</v>
      </c>
      <c r="S23" s="493">
        <v>31.717382297</v>
      </c>
      <c r="T23" s="493">
        <v>24.636884607999999</v>
      </c>
      <c r="U23" s="493">
        <v>-0.30688069029999998</v>
      </c>
      <c r="V23" s="493">
        <v>0.47388068999999999</v>
      </c>
      <c r="W23" s="493">
        <v>-0.104202146</v>
      </c>
      <c r="X23" s="493">
        <v>0.23519999999999999</v>
      </c>
      <c r="Y23" s="493">
        <v>-0.23519999999999999</v>
      </c>
      <c r="Z23" s="470"/>
      <c r="AA23" s="492" t="str">
        <f t="shared" si="3"/>
        <v>Structure</v>
      </c>
      <c r="AB23" s="493">
        <v>5.9638219401969073</v>
      </c>
      <c r="AC23" s="493">
        <v>9.0288306827802032</v>
      </c>
      <c r="AD23" s="493">
        <v>4.963470440012232</v>
      </c>
      <c r="AE23" s="494">
        <v>2.9609572861820053</v>
      </c>
      <c r="AF23" s="495">
        <v>1.0794006963737879</v>
      </c>
      <c r="AG23" s="493">
        <v>0.20764841061439365</v>
      </c>
      <c r="AH23" s="493">
        <v>0.29094452076687172</v>
      </c>
      <c r="AI23" s="493">
        <v>0.27459565508210848</v>
      </c>
      <c r="AJ23" s="493">
        <v>0.22346278821118065</v>
      </c>
      <c r="AK23" s="493">
        <v>-2.4772468731932189E-3</v>
      </c>
      <c r="AL23" s="493">
        <v>4.0057716607180089E-3</v>
      </c>
      <c r="AM23" s="493">
        <v>-8.5553188687762644E-4</v>
      </c>
      <c r="AN23" s="493">
        <v>1.9002661405848587E-3</v>
      </c>
      <c r="AO23" s="493">
        <v>-2.0442297788648982E-3</v>
      </c>
    </row>
    <row r="24" spans="1:41" ht="13">
      <c r="A24" s="470" t="s">
        <v>471</v>
      </c>
      <c r="B24" s="472">
        <v>4764.1575863958997</v>
      </c>
      <c r="C24" s="472">
        <v>888.48955801149998</v>
      </c>
      <c r="D24" s="472">
        <v>212</v>
      </c>
      <c r="E24" s="470"/>
      <c r="F24" s="472" t="s">
        <v>471</v>
      </c>
      <c r="G24" s="487">
        <v>11</v>
      </c>
      <c r="H24" s="472">
        <v>2</v>
      </c>
      <c r="I24" s="472">
        <v>0</v>
      </c>
      <c r="J24" s="472"/>
      <c r="K24" s="470" t="str">
        <f t="shared" si="2"/>
        <v>Total</v>
      </c>
      <c r="L24" s="472">
        <v>699</v>
      </c>
      <c r="M24" s="472">
        <v>1378.624948247</v>
      </c>
      <c r="N24" s="472">
        <v>1519.9539159956998</v>
      </c>
      <c r="O24" s="487">
        <v>1165.6176687673001</v>
      </c>
      <c r="P24" s="472">
        <v>-514</v>
      </c>
      <c r="Q24" s="472">
        <v>253.98811582840003</v>
      </c>
      <c r="R24" s="472">
        <v>519.26977851890001</v>
      </c>
      <c r="S24" s="472">
        <v>629.23166366419991</v>
      </c>
      <c r="T24" s="472">
        <v>1352.1634295404999</v>
      </c>
      <c r="U24" s="472">
        <v>-881.51776294459989</v>
      </c>
      <c r="V24" s="472">
        <v>-390.90184230189993</v>
      </c>
      <c r="W24" s="472">
        <v>132.92708535229988</v>
      </c>
      <c r="X24" s="472">
        <v>1852.7395875815998</v>
      </c>
      <c r="Y24" s="472">
        <v>1926.0211997805</v>
      </c>
      <c r="Z24" s="470"/>
      <c r="AA24" s="472" t="str">
        <f t="shared" si="3"/>
        <v>Total</v>
      </c>
      <c r="AB24" s="472">
        <v>6</v>
      </c>
      <c r="AC24" s="472">
        <v>13</v>
      </c>
      <c r="AD24" s="472">
        <v>16</v>
      </c>
      <c r="AE24" s="487">
        <v>10</v>
      </c>
      <c r="AF24" s="491">
        <v>-4</v>
      </c>
      <c r="AG24" s="472">
        <v>2</v>
      </c>
      <c r="AH24" s="472">
        <v>5</v>
      </c>
      <c r="AI24" s="472">
        <v>5</v>
      </c>
      <c r="AJ24" s="472">
        <v>12</v>
      </c>
      <c r="AK24" s="472">
        <v>-7</v>
      </c>
      <c r="AL24" s="472">
        <v>-3</v>
      </c>
      <c r="AM24" s="472">
        <v>1</v>
      </c>
      <c r="AN24" s="472">
        <v>15</v>
      </c>
      <c r="AO24" s="472">
        <v>17</v>
      </c>
    </row>
    <row r="25" spans="1:41" ht="13">
      <c r="A25" s="481" t="s">
        <v>559</v>
      </c>
      <c r="B25" s="482">
        <v>46676.820281198001</v>
      </c>
      <c r="C25" s="482">
        <v>47422.780079416996</v>
      </c>
      <c r="D25" s="482">
        <v>47635.450989063298</v>
      </c>
      <c r="E25" s="470"/>
      <c r="F25" s="482" t="s">
        <v>559</v>
      </c>
      <c r="G25" s="483">
        <v>46676.820281198001</v>
      </c>
      <c r="H25" s="482">
        <v>47422.780079416996</v>
      </c>
      <c r="I25" s="482">
        <v>47635.450989063298</v>
      </c>
      <c r="J25" s="472"/>
      <c r="K25" s="481" t="str">
        <f t="shared" si="2"/>
        <v>Operational closing balance</v>
      </c>
      <c r="L25" s="482">
        <v>11539</v>
      </c>
      <c r="M25" s="482">
        <v>12275.685550454898</v>
      </c>
      <c r="N25" s="482">
        <v>11310.677860460301</v>
      </c>
      <c r="O25" s="483">
        <v>11550.5768973348</v>
      </c>
      <c r="P25" s="482">
        <v>11025.0502131554</v>
      </c>
      <c r="Q25" s="482">
        <v>12387.9736662834</v>
      </c>
      <c r="R25" s="482">
        <v>11829.9476389789</v>
      </c>
      <c r="S25" s="482">
        <v>12179.8085609993</v>
      </c>
      <c r="T25" s="482">
        <v>12377.213642696001</v>
      </c>
      <c r="U25" s="482">
        <v>11506.455903338599</v>
      </c>
      <c r="V25" s="482">
        <v>11439.045796677099</v>
      </c>
      <c r="W25" s="482">
        <v>12312.735646351599</v>
      </c>
      <c r="X25" s="482">
        <v>14229.953230277501</v>
      </c>
      <c r="Y25" s="482">
        <v>13431.5771031193</v>
      </c>
      <c r="Z25" s="470"/>
      <c r="AA25" s="482" t="str">
        <f t="shared" si="3"/>
        <v>Operational closing balance</v>
      </c>
      <c r="AB25" s="482">
        <v>11539</v>
      </c>
      <c r="AC25" s="482">
        <v>12275.685550454898</v>
      </c>
      <c r="AD25" s="482">
        <v>11310.677860460301</v>
      </c>
      <c r="AE25" s="483">
        <v>11550.5768973348</v>
      </c>
      <c r="AF25" s="484">
        <v>11025.0502131554</v>
      </c>
      <c r="AG25" s="482">
        <v>12387.9736662834</v>
      </c>
      <c r="AH25" s="482">
        <v>11829.9476389789</v>
      </c>
      <c r="AI25" s="482">
        <v>12179.8085609993</v>
      </c>
      <c r="AJ25" s="482">
        <v>12377.213642696001</v>
      </c>
      <c r="AK25" s="482">
        <v>11506.455903338599</v>
      </c>
      <c r="AL25" s="482">
        <v>11439.045796677099</v>
      </c>
      <c r="AM25" s="482">
        <v>12312.735646351599</v>
      </c>
      <c r="AN25" s="482">
        <v>14229.953230277501</v>
      </c>
      <c r="AO25" s="482">
        <v>13431.5771031193</v>
      </c>
    </row>
    <row r="26" spans="1:41" ht="13">
      <c r="A26" s="470" t="s">
        <v>554</v>
      </c>
      <c r="B26" s="472">
        <v>30.5</v>
      </c>
      <c r="C26" s="472">
        <v>0</v>
      </c>
      <c r="D26" s="472">
        <v>0</v>
      </c>
      <c r="E26" s="470"/>
      <c r="F26" s="472" t="s">
        <v>554</v>
      </c>
      <c r="G26" s="487">
        <v>7.1443692235391001E-2</v>
      </c>
      <c r="H26" s="472">
        <v>0</v>
      </c>
      <c r="I26" s="472">
        <v>0</v>
      </c>
      <c r="J26" s="472"/>
      <c r="K26" s="470" t="str">
        <f t="shared" si="2"/>
        <v>Adjustment OOH</v>
      </c>
      <c r="L26" s="472">
        <v>30.5</v>
      </c>
      <c r="M26" s="472">
        <v>0</v>
      </c>
      <c r="N26" s="472">
        <v>0</v>
      </c>
      <c r="O26" s="487">
        <v>0</v>
      </c>
      <c r="P26" s="472">
        <v>0</v>
      </c>
      <c r="Q26" s="472">
        <v>0</v>
      </c>
      <c r="R26" s="472">
        <v>0</v>
      </c>
      <c r="S26" s="472">
        <v>0</v>
      </c>
      <c r="T26" s="472">
        <v>0</v>
      </c>
      <c r="U26" s="472">
        <v>0</v>
      </c>
      <c r="V26" s="472">
        <v>0</v>
      </c>
      <c r="W26" s="472">
        <v>0</v>
      </c>
      <c r="X26" s="472">
        <v>0</v>
      </c>
      <c r="Y26" s="472">
        <v>0</v>
      </c>
      <c r="Z26" s="470"/>
      <c r="AA26" s="472" t="str">
        <f t="shared" si="3"/>
        <v>Adjustment OOH</v>
      </c>
      <c r="AB26" s="472">
        <v>0.28136741820973055</v>
      </c>
      <c r="AC26" s="472">
        <v>0</v>
      </c>
      <c r="AD26" s="472">
        <v>0</v>
      </c>
      <c r="AE26" s="487">
        <v>0</v>
      </c>
      <c r="AF26" s="491">
        <v>0</v>
      </c>
      <c r="AG26" s="472">
        <v>0</v>
      </c>
      <c r="AH26" s="472">
        <v>0</v>
      </c>
      <c r="AI26" s="472">
        <v>0</v>
      </c>
      <c r="AJ26" s="472">
        <v>0</v>
      </c>
      <c r="AK26" s="472">
        <v>0</v>
      </c>
      <c r="AL26" s="472">
        <v>0</v>
      </c>
      <c r="AM26" s="472">
        <v>0</v>
      </c>
      <c r="AN26" s="472">
        <v>0</v>
      </c>
      <c r="AO26" s="472">
        <v>0</v>
      </c>
    </row>
    <row r="27" spans="1:41" ht="13">
      <c r="A27" s="496" t="s">
        <v>560</v>
      </c>
      <c r="B27" s="497">
        <f>46708</f>
        <v>46708</v>
      </c>
      <c r="C27" s="497">
        <v>47422.780079416996</v>
      </c>
      <c r="D27" s="497">
        <v>47635.450989063305</v>
      </c>
      <c r="E27" s="470"/>
      <c r="F27" s="496" t="s">
        <v>560</v>
      </c>
      <c r="G27" s="498">
        <v>46708</v>
      </c>
      <c r="H27" s="497">
        <v>47422.780079416996</v>
      </c>
      <c r="I27" s="497">
        <v>47635.450989063305</v>
      </c>
      <c r="J27" s="472"/>
      <c r="K27" s="496" t="str">
        <f t="shared" si="2"/>
        <v>Reported closing balance</v>
      </c>
      <c r="L27" s="497">
        <v>11570.379972948</v>
      </c>
      <c r="M27" s="497">
        <v>12275.6855504549</v>
      </c>
      <c r="N27" s="497">
        <v>11310.677860460301</v>
      </c>
      <c r="O27" s="498">
        <v>11550.5768973348</v>
      </c>
      <c r="P27" s="497">
        <v>11025.0502131554</v>
      </c>
      <c r="Q27" s="497">
        <v>12387.9736662834</v>
      </c>
      <c r="R27" s="497">
        <v>11829.9476389789</v>
      </c>
      <c r="S27" s="497">
        <v>12179.8085609993</v>
      </c>
      <c r="T27" s="497">
        <v>12377.213642696001</v>
      </c>
      <c r="U27" s="497">
        <v>11506.455903338599</v>
      </c>
      <c r="V27" s="497">
        <v>11439.045796677099</v>
      </c>
      <c r="W27" s="497">
        <v>12312.735646351601</v>
      </c>
      <c r="X27" s="497">
        <v>14229.713230277501</v>
      </c>
      <c r="Y27" s="497">
        <v>13432.477103119299</v>
      </c>
      <c r="Z27" s="470"/>
      <c r="AA27" s="496" t="str">
        <f t="shared" si="3"/>
        <v>Reported closing balance</v>
      </c>
      <c r="AB27" s="497">
        <v>11570.379972948</v>
      </c>
      <c r="AC27" s="497">
        <v>12275.6855504549</v>
      </c>
      <c r="AD27" s="497">
        <v>11310.677860460301</v>
      </c>
      <c r="AE27" s="498">
        <v>11550.5768973348</v>
      </c>
      <c r="AF27" s="499">
        <v>11025.0502131554</v>
      </c>
      <c r="AG27" s="497">
        <v>12387.9736662834</v>
      </c>
      <c r="AH27" s="497">
        <v>11829.9476389789</v>
      </c>
      <c r="AI27" s="497">
        <v>12179.8085609993</v>
      </c>
      <c r="AJ27" s="497">
        <v>12377.213642696001</v>
      </c>
      <c r="AK27" s="497">
        <v>11506.455903338599</v>
      </c>
      <c r="AL27" s="497">
        <v>11439.045796677099</v>
      </c>
      <c r="AM27" s="497">
        <v>12312.735646351601</v>
      </c>
      <c r="AN27" s="497">
        <v>14229.713230277501</v>
      </c>
      <c r="AO27" s="497">
        <v>13432.477103119299</v>
      </c>
    </row>
    <row r="28" spans="1:41" ht="13">
      <c r="A28" s="470"/>
      <c r="B28" s="470"/>
      <c r="C28" s="470"/>
      <c r="D28" s="470"/>
      <c r="E28" s="470"/>
      <c r="F28" s="470"/>
      <c r="G28" s="500"/>
      <c r="H28" s="470"/>
      <c r="I28" s="470"/>
      <c r="J28" s="472"/>
      <c r="K28" s="470"/>
      <c r="L28" s="470"/>
      <c r="M28" s="470"/>
      <c r="N28" s="470"/>
      <c r="O28" s="500"/>
      <c r="P28" s="470"/>
      <c r="Q28" s="470"/>
      <c r="R28" s="470"/>
      <c r="S28" s="470"/>
      <c r="T28" s="470"/>
      <c r="U28" s="470"/>
      <c r="V28" s="470"/>
      <c r="W28" s="470"/>
      <c r="X28" s="470"/>
      <c r="Y28" s="470"/>
      <c r="Z28" s="470"/>
      <c r="AA28" s="470"/>
      <c r="AB28" s="470"/>
      <c r="AC28" s="470"/>
      <c r="AD28" s="470"/>
      <c r="AE28" s="470"/>
      <c r="AF28" s="470"/>
      <c r="AG28" s="470"/>
      <c r="AH28" s="470"/>
      <c r="AI28" s="470"/>
      <c r="AJ28" s="470"/>
      <c r="AK28" s="470"/>
    </row>
    <row r="29" spans="1:41" ht="13">
      <c r="A29" s="476" t="s">
        <v>474</v>
      </c>
      <c r="B29" s="476"/>
      <c r="C29" s="476"/>
      <c r="D29" s="476"/>
      <c r="E29" s="470"/>
      <c r="F29" s="476" t="s">
        <v>474</v>
      </c>
      <c r="G29" s="477"/>
      <c r="H29" s="476"/>
      <c r="I29" s="476"/>
      <c r="J29" s="472"/>
      <c r="K29" s="476" t="str">
        <f t="shared" ref="K29:K40" si="4">A29</f>
        <v>Orders received</v>
      </c>
      <c r="L29" s="476"/>
      <c r="M29" s="476"/>
      <c r="N29" s="476"/>
      <c r="O29" s="477"/>
      <c r="P29" s="476"/>
      <c r="Q29" s="476"/>
      <c r="R29" s="476"/>
      <c r="S29" s="476"/>
      <c r="T29" s="476"/>
      <c r="U29" s="476"/>
      <c r="V29" s="476"/>
      <c r="W29" s="476"/>
      <c r="X29" s="476"/>
      <c r="Y29" s="476"/>
      <c r="Z29" s="470"/>
      <c r="AA29" s="476" t="str">
        <f t="shared" ref="AA29:AA40" si="5">F29</f>
        <v>Orders received</v>
      </c>
      <c r="AB29" s="476"/>
      <c r="AC29" s="476"/>
      <c r="AD29" s="476"/>
      <c r="AE29" s="477"/>
      <c r="AF29" s="478"/>
      <c r="AG29" s="476"/>
      <c r="AH29" s="476"/>
      <c r="AI29" s="476"/>
      <c r="AJ29" s="476"/>
      <c r="AK29" s="476"/>
      <c r="AL29" s="476"/>
      <c r="AM29" s="476"/>
      <c r="AN29" s="476"/>
      <c r="AO29" s="476"/>
    </row>
    <row r="30" spans="1:41" ht="13">
      <c r="A30" s="315" t="s">
        <v>334</v>
      </c>
      <c r="B30" s="315">
        <v>2023</v>
      </c>
      <c r="C30" s="315">
        <v>2024</v>
      </c>
      <c r="D30" s="315">
        <v>2025</v>
      </c>
      <c r="E30" s="470"/>
      <c r="F30" s="315" t="s">
        <v>334</v>
      </c>
      <c r="G30" s="479">
        <v>2023</v>
      </c>
      <c r="H30" s="315">
        <v>2024</v>
      </c>
      <c r="I30" s="315">
        <v>2025</v>
      </c>
      <c r="J30" s="472"/>
      <c r="K30" s="315" t="str">
        <f t="shared" si="4"/>
        <v xml:space="preserve">Equipment </v>
      </c>
      <c r="L30" s="315" t="s">
        <v>148</v>
      </c>
      <c r="M30" s="315" t="s">
        <v>149</v>
      </c>
      <c r="N30" s="315" t="s">
        <v>150</v>
      </c>
      <c r="O30" s="479" t="s">
        <v>151</v>
      </c>
      <c r="P30" s="315" t="s">
        <v>152</v>
      </c>
      <c r="Q30" s="315" t="s">
        <v>153</v>
      </c>
      <c r="R30" s="315" t="s">
        <v>154</v>
      </c>
      <c r="S30" s="315" t="s">
        <v>155</v>
      </c>
      <c r="T30" s="315" t="s">
        <v>156</v>
      </c>
      <c r="U30" s="315" t="s">
        <v>157</v>
      </c>
      <c r="V30" s="315" t="s">
        <v>158</v>
      </c>
      <c r="W30" s="315" t="s">
        <v>820</v>
      </c>
      <c r="X30" s="315" t="s">
        <v>1275</v>
      </c>
      <c r="Y30" s="315" t="s">
        <v>1344</v>
      </c>
      <c r="Z30" s="470"/>
      <c r="AA30" s="315" t="str">
        <f t="shared" si="5"/>
        <v xml:space="preserve">Equipment </v>
      </c>
      <c r="AB30" s="315" t="s">
        <v>148</v>
      </c>
      <c r="AC30" s="315" t="s">
        <v>149</v>
      </c>
      <c r="AD30" s="315" t="s">
        <v>150</v>
      </c>
      <c r="AE30" s="479" t="s">
        <v>151</v>
      </c>
      <c r="AF30" s="480" t="s">
        <v>152</v>
      </c>
      <c r="AG30" s="315" t="s">
        <v>153</v>
      </c>
      <c r="AH30" s="315" t="s">
        <v>154</v>
      </c>
      <c r="AI30" s="315" t="s">
        <v>155</v>
      </c>
      <c r="AJ30" s="315" t="s">
        <v>156</v>
      </c>
      <c r="AK30" s="315" t="s">
        <v>157</v>
      </c>
      <c r="AL30" s="315" t="s">
        <v>158</v>
      </c>
      <c r="AM30" s="315" t="s">
        <v>820</v>
      </c>
      <c r="AN30" s="315" t="s">
        <v>1275</v>
      </c>
      <c r="AO30" s="315" t="s">
        <v>1344</v>
      </c>
    </row>
    <row r="31" spans="1:41" ht="13">
      <c r="A31" s="481" t="s">
        <v>553</v>
      </c>
      <c r="B31" s="482">
        <v>19395.539111093902</v>
      </c>
      <c r="C31" s="482">
        <v>20217.721847967303</v>
      </c>
      <c r="D31" s="482">
        <v>20101.905780863002</v>
      </c>
      <c r="E31" s="470"/>
      <c r="F31" s="481" t="s">
        <v>553</v>
      </c>
      <c r="G31" s="483">
        <v>19395.539111093902</v>
      </c>
      <c r="H31" s="482">
        <f>20218.8042561775-1</f>
        <v>20217.8042561775</v>
      </c>
      <c r="I31" s="482">
        <v>20101.905780863002</v>
      </c>
      <c r="J31" s="472"/>
      <c r="K31" s="481" t="str">
        <f t="shared" si="4"/>
        <v>Reported opening balance</v>
      </c>
      <c r="L31" s="482">
        <v>5694.2125319508004</v>
      </c>
      <c r="M31" s="482">
        <v>5379.1097467904992</v>
      </c>
      <c r="N31" s="482">
        <v>4037.4272041078002</v>
      </c>
      <c r="O31" s="483">
        <v>4284.7896282448</v>
      </c>
      <c r="P31" s="482">
        <v>5151</v>
      </c>
      <c r="Q31" s="482">
        <v>5404.0296979431005</v>
      </c>
      <c r="R31" s="482">
        <v>4738.9664292752004</v>
      </c>
      <c r="S31" s="482">
        <v>4923.7257207490002</v>
      </c>
      <c r="T31" s="482">
        <v>4404.4101382397002</v>
      </c>
      <c r="U31" s="482">
        <v>5405.6293657841006</v>
      </c>
      <c r="V31" s="482">
        <v>5170.3375722871997</v>
      </c>
      <c r="W31" s="482">
        <v>5121.5287045519999</v>
      </c>
      <c r="X31" s="482">
        <v>5721.8356697285008</v>
      </c>
      <c r="Y31" s="482">
        <v>5008.8522625669993</v>
      </c>
      <c r="Z31" s="470"/>
      <c r="AA31" s="481" t="str">
        <f t="shared" si="5"/>
        <v>Reported opening balance</v>
      </c>
      <c r="AB31" s="482">
        <v>5694.2125319508004</v>
      </c>
      <c r="AC31" s="482">
        <v>5379.1097467904992</v>
      </c>
      <c r="AD31" s="482">
        <v>4037.4272041078002</v>
      </c>
      <c r="AE31" s="483">
        <v>4284.7896282448</v>
      </c>
      <c r="AF31" s="484">
        <v>5151</v>
      </c>
      <c r="AG31" s="482">
        <v>5404.0296979431005</v>
      </c>
      <c r="AH31" s="482">
        <v>4738.9664292752004</v>
      </c>
      <c r="AI31" s="482">
        <v>4923.7257207490002</v>
      </c>
      <c r="AJ31" s="482">
        <v>4404.4101382397002</v>
      </c>
      <c r="AK31" s="482">
        <v>5405.6293657841006</v>
      </c>
      <c r="AL31" s="482">
        <v>5170.3375722871997</v>
      </c>
      <c r="AM31" s="482">
        <v>5121.5287045519999</v>
      </c>
      <c r="AN31" s="482">
        <v>5721.8356697285008</v>
      </c>
      <c r="AO31" s="482">
        <v>5008.8522625669993</v>
      </c>
    </row>
    <row r="32" spans="1:41" ht="13">
      <c r="A32" s="470" t="s">
        <v>554</v>
      </c>
      <c r="B32" s="485">
        <v>0</v>
      </c>
      <c r="C32" s="485">
        <v>34.599999999999994</v>
      </c>
      <c r="D32" s="485">
        <v>0</v>
      </c>
      <c r="E32" s="470"/>
      <c r="F32" s="470" t="s">
        <v>554</v>
      </c>
      <c r="G32" s="487">
        <v>0</v>
      </c>
      <c r="H32" s="485">
        <v>0.17112782517506481</v>
      </c>
      <c r="I32" s="485">
        <v>0</v>
      </c>
      <c r="J32" s="472"/>
      <c r="K32" s="470" t="str">
        <f t="shared" si="4"/>
        <v>Adjustment OOH</v>
      </c>
      <c r="L32" s="485">
        <v>0</v>
      </c>
      <c r="M32" s="485">
        <v>0</v>
      </c>
      <c r="N32" s="485">
        <v>0</v>
      </c>
      <c r="O32" s="488">
        <v>0</v>
      </c>
      <c r="P32" s="485">
        <v>0</v>
      </c>
      <c r="Q32" s="485">
        <v>-56.5</v>
      </c>
      <c r="R32" s="485">
        <v>91.1</v>
      </c>
      <c r="S32" s="485">
        <v>0</v>
      </c>
      <c r="T32" s="485">
        <v>0</v>
      </c>
      <c r="U32" s="485">
        <v>0</v>
      </c>
      <c r="V32" s="485">
        <v>0</v>
      </c>
      <c r="W32" s="485">
        <v>0</v>
      </c>
      <c r="X32" s="485">
        <v>0</v>
      </c>
      <c r="Y32" s="485">
        <v>0</v>
      </c>
      <c r="Z32" s="470"/>
      <c r="AA32" s="470" t="str">
        <f t="shared" si="5"/>
        <v>Adjustment OOH</v>
      </c>
      <c r="AB32" s="485">
        <v>0</v>
      </c>
      <c r="AC32" s="485">
        <v>0</v>
      </c>
      <c r="AD32" s="485">
        <v>0</v>
      </c>
      <c r="AE32" s="488">
        <v>0</v>
      </c>
      <c r="AF32" s="501">
        <v>0</v>
      </c>
      <c r="AG32" s="485">
        <v>-1.0455160899930882</v>
      </c>
      <c r="AH32" s="485">
        <v>1.9223601044570653</v>
      </c>
      <c r="AI32" s="485">
        <v>0</v>
      </c>
      <c r="AJ32" s="485">
        <v>0</v>
      </c>
      <c r="AK32" s="485">
        <v>0</v>
      </c>
      <c r="AL32" s="485">
        <v>0</v>
      </c>
      <c r="AM32" s="485">
        <v>0</v>
      </c>
      <c r="AN32" s="485">
        <v>0</v>
      </c>
      <c r="AO32" s="485">
        <v>0</v>
      </c>
    </row>
    <row r="33" spans="1:41" ht="13">
      <c r="A33" s="481" t="s">
        <v>555</v>
      </c>
      <c r="B33" s="482">
        <v>19395.539111093902</v>
      </c>
      <c r="C33" s="482">
        <v>20253.404256177502</v>
      </c>
      <c r="D33" s="482">
        <v>20101.905780863002</v>
      </c>
      <c r="E33" s="470"/>
      <c r="F33" s="481" t="s">
        <v>555</v>
      </c>
      <c r="G33" s="483">
        <v>19395.539111093902</v>
      </c>
      <c r="H33" s="482">
        <v>20253.404256177502</v>
      </c>
      <c r="I33" s="482">
        <v>20101.905780863002</v>
      </c>
      <c r="J33" s="472"/>
      <c r="K33" s="481" t="str">
        <f t="shared" si="4"/>
        <v>Adjusted opening balance</v>
      </c>
      <c r="L33" s="482">
        <v>5694.2125319508004</v>
      </c>
      <c r="M33" s="482">
        <v>5379.1097467904992</v>
      </c>
      <c r="N33" s="482">
        <v>4037.4272041078002</v>
      </c>
      <c r="O33" s="483">
        <v>4284.7896282448</v>
      </c>
      <c r="P33" s="482">
        <v>5151</v>
      </c>
      <c r="Q33" s="482">
        <v>5347.5296979431005</v>
      </c>
      <c r="R33" s="482">
        <v>4830.0664292752008</v>
      </c>
      <c r="S33" s="482">
        <v>4923.7257207490002</v>
      </c>
      <c r="T33" s="482">
        <v>4404.4101382397002</v>
      </c>
      <c r="U33" s="482">
        <v>5405.6293657841006</v>
      </c>
      <c r="V33" s="482">
        <v>5170.3375722871997</v>
      </c>
      <c r="W33" s="482">
        <v>5121.5287045519999</v>
      </c>
      <c r="X33" s="482">
        <v>5721.8356697285008</v>
      </c>
      <c r="Y33" s="482">
        <v>5008.8522625669993</v>
      </c>
      <c r="Z33" s="470"/>
      <c r="AA33" s="481" t="str">
        <f t="shared" si="5"/>
        <v>Adjusted opening balance</v>
      </c>
      <c r="AB33" s="482">
        <v>5694.2125319508004</v>
      </c>
      <c r="AC33" s="482">
        <v>5379.1097467904992</v>
      </c>
      <c r="AD33" s="482">
        <v>4037.4272041078002</v>
      </c>
      <c r="AE33" s="483">
        <v>4284.7896282448</v>
      </c>
      <c r="AF33" s="484">
        <v>5151</v>
      </c>
      <c r="AG33" s="482">
        <v>5347.5296979431005</v>
      </c>
      <c r="AH33" s="482">
        <v>4830.0664292752008</v>
      </c>
      <c r="AI33" s="482">
        <v>4923.7257207490002</v>
      </c>
      <c r="AJ33" s="482">
        <v>4404.4101382397002</v>
      </c>
      <c r="AK33" s="482">
        <v>5405.6293657841006</v>
      </c>
      <c r="AL33" s="482">
        <v>5170.3375722871997</v>
      </c>
      <c r="AM33" s="482">
        <v>5121.5287045519999</v>
      </c>
      <c r="AN33" s="482">
        <v>5721.8356697285008</v>
      </c>
      <c r="AO33" s="482">
        <v>5008.8522625669993</v>
      </c>
    </row>
    <row r="34" spans="1:41" ht="13">
      <c r="A34" s="470" t="s">
        <v>556</v>
      </c>
      <c r="B34" s="472">
        <v>-376</v>
      </c>
      <c r="C34" s="472">
        <v>-123.56206820960006</v>
      </c>
      <c r="D34" s="472">
        <v>3034.5091522096</v>
      </c>
      <c r="E34" s="470"/>
      <c r="F34" s="470" t="s">
        <v>556</v>
      </c>
      <c r="G34" s="487">
        <v>-2</v>
      </c>
      <c r="H34" s="472">
        <v>-1</v>
      </c>
      <c r="I34" s="472">
        <v>15</v>
      </c>
      <c r="J34" s="472"/>
      <c r="K34" s="470" t="str">
        <f t="shared" si="4"/>
        <v>Organic</v>
      </c>
      <c r="L34" s="472">
        <v>-943.96503830770007</v>
      </c>
      <c r="M34" s="472">
        <v>-465.92821176210003</v>
      </c>
      <c r="N34" s="472">
        <v>472.61123070550002</v>
      </c>
      <c r="O34" s="487">
        <v>563</v>
      </c>
      <c r="P34" s="472">
        <v>-840</v>
      </c>
      <c r="Q34" s="472">
        <v>113.22656218980001</v>
      </c>
      <c r="R34" s="472">
        <v>553.17403851439997</v>
      </c>
      <c r="S34" s="472">
        <v>50.03733108619997</v>
      </c>
      <c r="T34" s="472">
        <v>1290.2374721124002</v>
      </c>
      <c r="U34" s="472">
        <v>89.367586804900043</v>
      </c>
      <c r="V34" s="472">
        <v>498.92177930050002</v>
      </c>
      <c r="W34" s="472">
        <v>1155.7823139918</v>
      </c>
      <c r="X34" s="472">
        <v>2533.5854417074997</v>
      </c>
      <c r="Y34" s="472">
        <v>1512.0640815846</v>
      </c>
      <c r="Z34" s="470"/>
      <c r="AA34" s="470" t="str">
        <f t="shared" si="5"/>
        <v>Organic</v>
      </c>
      <c r="AB34" s="502">
        <v>-17</v>
      </c>
      <c r="AC34" s="502">
        <v>-9</v>
      </c>
      <c r="AD34" s="502">
        <v>12</v>
      </c>
      <c r="AE34" s="503">
        <v>13</v>
      </c>
      <c r="AF34" s="504">
        <v>-17</v>
      </c>
      <c r="AG34" s="502">
        <v>2</v>
      </c>
      <c r="AH34" s="502">
        <v>11</v>
      </c>
      <c r="AI34" s="502">
        <v>1</v>
      </c>
      <c r="AJ34" s="502">
        <v>29</v>
      </c>
      <c r="AK34" s="502">
        <v>2</v>
      </c>
      <c r="AL34" s="502">
        <v>10</v>
      </c>
      <c r="AM34" s="502">
        <v>22</v>
      </c>
      <c r="AN34" s="502">
        <v>44</v>
      </c>
      <c r="AO34" s="502">
        <v>30</v>
      </c>
    </row>
    <row r="35" spans="1:41" ht="13">
      <c r="A35" s="470" t="s">
        <v>557</v>
      </c>
      <c r="B35" s="472">
        <v>540.68514887719994</v>
      </c>
      <c r="C35" s="472">
        <v>-364.58354461760007</v>
      </c>
      <c r="D35" s="472">
        <v>-1583.9067426196</v>
      </c>
      <c r="E35" s="470"/>
      <c r="F35" s="470" t="s">
        <v>557</v>
      </c>
      <c r="G35" s="487">
        <v>2.7876778561310407</v>
      </c>
      <c r="H35" s="472">
        <v>-1.8001099469803858</v>
      </c>
      <c r="I35" s="472">
        <v>-7.8793859641282271</v>
      </c>
      <c r="J35" s="472"/>
      <c r="K35" s="470" t="str">
        <f t="shared" si="4"/>
        <v>Currency</v>
      </c>
      <c r="L35" s="472">
        <v>298.48068590659994</v>
      </c>
      <c r="M35" s="472">
        <v>162.16146301239996</v>
      </c>
      <c r="N35" s="472">
        <v>93.201656116400002</v>
      </c>
      <c r="O35" s="487">
        <v>-13.158656158199996</v>
      </c>
      <c r="P35" s="472">
        <v>-144.90575629210002</v>
      </c>
      <c r="Q35" s="472">
        <v>-55.168525864799989</v>
      </c>
      <c r="R35" s="472">
        <v>-216.29544746110003</v>
      </c>
      <c r="S35" s="472">
        <v>51.786185000399996</v>
      </c>
      <c r="T35" s="472">
        <v>27.188059376200002</v>
      </c>
      <c r="U35" s="472">
        <v>-486.24470933189991</v>
      </c>
      <c r="V35" s="472">
        <v>-452.19129891999989</v>
      </c>
      <c r="W35" s="472">
        <v>-672.65879374390011</v>
      </c>
      <c r="X35" s="472">
        <v>-788.78843747939993</v>
      </c>
      <c r="Y35" s="472">
        <v>2.9191723745000022</v>
      </c>
      <c r="Z35" s="470"/>
      <c r="AA35" s="470" t="str">
        <f t="shared" si="5"/>
        <v>Currency</v>
      </c>
      <c r="AB35" s="502">
        <v>5.2418255242809204</v>
      </c>
      <c r="AC35" s="502">
        <v>3.0146524359194427</v>
      </c>
      <c r="AD35" s="502">
        <v>2.3084417725618391</v>
      </c>
      <c r="AE35" s="503">
        <v>-0.30710156856849569</v>
      </c>
      <c r="AF35" s="504">
        <v>-2.812566741191536</v>
      </c>
      <c r="AG35" s="502">
        <v>-1.0316637584270036</v>
      </c>
      <c r="AH35" s="502">
        <v>-4.4781050246043366</v>
      </c>
      <c r="AI35" s="502">
        <v>1.0517682734066318</v>
      </c>
      <c r="AJ35" s="502">
        <v>0.61729172631198659</v>
      </c>
      <c r="AK35" s="502">
        <v>-8.9951544293745496</v>
      </c>
      <c r="AL35" s="502">
        <v>-8.7458757305079455</v>
      </c>
      <c r="AM35" s="502">
        <v>-13.133945596088193</v>
      </c>
      <c r="AN35" s="502">
        <v>-13.78558356110265</v>
      </c>
      <c r="AO35" s="502">
        <v>5.8280265048263738E-2</v>
      </c>
    </row>
    <row r="36" spans="1:41" ht="13">
      <c r="A36" s="492" t="s">
        <v>558</v>
      </c>
      <c r="B36" s="493">
        <v>656.80053778390027</v>
      </c>
      <c r="C36" s="493">
        <v>337.99985366639999</v>
      </c>
      <c r="D36" s="493">
        <v>-2.1459999981626732E-6</v>
      </c>
      <c r="E36" s="470"/>
      <c r="F36" s="492" t="s">
        <v>558</v>
      </c>
      <c r="G36" s="494">
        <v>3.3863484485884805</v>
      </c>
      <c r="H36" s="493">
        <v>1.6688545263362651</v>
      </c>
      <c r="I36" s="493">
        <v>-1.067560469916073E-8</v>
      </c>
      <c r="J36" s="472"/>
      <c r="K36" s="492" t="str">
        <f t="shared" si="4"/>
        <v>Structure</v>
      </c>
      <c r="L36" s="493">
        <v>103.35359044080008</v>
      </c>
      <c r="M36" s="493">
        <v>328.68756792480008</v>
      </c>
      <c r="N36" s="493">
        <v>135.72640108350004</v>
      </c>
      <c r="O36" s="494">
        <v>89.032978334800077</v>
      </c>
      <c r="P36" s="493">
        <v>238.08620247520003</v>
      </c>
      <c r="Q36" s="493">
        <v>4.1631516199984731E-2</v>
      </c>
      <c r="R36" s="493">
        <v>3.3925519586000306</v>
      </c>
      <c r="S36" s="493">
        <v>96.479467716399995</v>
      </c>
      <c r="T36" s="493">
        <v>3.000018011789507E-10</v>
      </c>
      <c r="U36" s="493">
        <v>1.9309700000025298E-5</v>
      </c>
      <c r="V36" s="493">
        <v>-1.9309999999994609E-5</v>
      </c>
      <c r="W36" s="493">
        <v>-2.1459999999945412E-6</v>
      </c>
      <c r="X36" s="493">
        <v>-56.640171206600002</v>
      </c>
      <c r="Y36" s="493">
        <v>-57.1401712065</v>
      </c>
      <c r="Z36" s="470"/>
      <c r="AA36" s="492" t="str">
        <f t="shared" si="5"/>
        <v>Structure</v>
      </c>
      <c r="AB36" s="493">
        <v>1.8150638013750393</v>
      </c>
      <c r="AC36" s="493">
        <v>6.1104454714075107</v>
      </c>
      <c r="AD36" s="493">
        <v>3.3617052202305446</v>
      </c>
      <c r="AE36" s="494">
        <v>2.0778844718047709</v>
      </c>
      <c r="AF36" s="495">
        <v>4.6211644847876112</v>
      </c>
      <c r="AG36" s="493">
        <v>7.7851865350085062E-4</v>
      </c>
      <c r="AH36" s="493">
        <v>7.0238204966243431E-2</v>
      </c>
      <c r="AI36" s="493">
        <v>1.9594809538197322</v>
      </c>
      <c r="AJ36" s="493">
        <v>6.8113956639572105E-12</v>
      </c>
      <c r="AK36" s="493">
        <v>3.5721464964374926E-7</v>
      </c>
      <c r="AL36" s="493">
        <v>-3.7347658117132286E-7</v>
      </c>
      <c r="AM36" s="493">
        <v>-4.1901551739565231E-8</v>
      </c>
      <c r="AN36" s="493">
        <v>-0.98989510492683475</v>
      </c>
      <c r="AO36" s="493">
        <v>-1.1407837207243978</v>
      </c>
    </row>
    <row r="37" spans="1:41" ht="13">
      <c r="A37" s="470" t="s">
        <v>471</v>
      </c>
      <c r="B37" s="472">
        <v>822</v>
      </c>
      <c r="C37" s="472">
        <v>-150.32620534390003</v>
      </c>
      <c r="D37" s="472">
        <v>1450.6024074439999</v>
      </c>
      <c r="E37" s="470"/>
      <c r="F37" s="470" t="s">
        <v>471</v>
      </c>
      <c r="G37" s="487">
        <v>4</v>
      </c>
      <c r="H37" s="472">
        <v>-1</v>
      </c>
      <c r="I37" s="472">
        <v>7</v>
      </c>
      <c r="J37" s="472"/>
      <c r="K37" s="470" t="str">
        <f t="shared" si="4"/>
        <v>Total</v>
      </c>
      <c r="L37" s="472">
        <v>-543.13076196029999</v>
      </c>
      <c r="M37" s="472">
        <v>24.920819175100007</v>
      </c>
      <c r="N37" s="472">
        <v>701.5392879054001</v>
      </c>
      <c r="O37" s="487">
        <v>639</v>
      </c>
      <c r="P37" s="472">
        <v>-747</v>
      </c>
      <c r="Q37" s="472">
        <v>58.099667841200002</v>
      </c>
      <c r="R37" s="472">
        <v>340.27114301189999</v>
      </c>
      <c r="S37" s="472">
        <v>198.30298380299996</v>
      </c>
      <c r="T37" s="472">
        <v>1317.4255314889001</v>
      </c>
      <c r="U37" s="472">
        <v>-396.87710321729986</v>
      </c>
      <c r="V37" s="472">
        <v>46.730461070500127</v>
      </c>
      <c r="W37" s="472">
        <v>483.12351810189995</v>
      </c>
      <c r="X37" s="472">
        <v>1688.1568330215</v>
      </c>
      <c r="Y37" s="472">
        <v>1457.8430827525999</v>
      </c>
      <c r="Z37" s="470"/>
      <c r="AA37" s="470" t="str">
        <f t="shared" si="5"/>
        <v>Total</v>
      </c>
      <c r="AB37" s="502">
        <v>-10</v>
      </c>
      <c r="AC37" s="502">
        <v>0</v>
      </c>
      <c r="AD37" s="502">
        <v>17</v>
      </c>
      <c r="AE37" s="503">
        <v>15</v>
      </c>
      <c r="AF37" s="504">
        <v>-15</v>
      </c>
      <c r="AG37" s="502">
        <v>1</v>
      </c>
      <c r="AH37" s="502">
        <v>7</v>
      </c>
      <c r="AI37" s="502">
        <v>4</v>
      </c>
      <c r="AJ37" s="502">
        <v>30</v>
      </c>
      <c r="AK37" s="502">
        <v>-7</v>
      </c>
      <c r="AL37" s="502">
        <v>1</v>
      </c>
      <c r="AM37" s="502">
        <v>9</v>
      </c>
      <c r="AN37" s="502">
        <v>29</v>
      </c>
      <c r="AO37" s="502">
        <v>29</v>
      </c>
    </row>
    <row r="38" spans="1:41" ht="13">
      <c r="A38" s="481" t="s">
        <v>559</v>
      </c>
      <c r="B38" s="482">
        <v>20218</v>
      </c>
      <c r="C38" s="482">
        <v>20102.405780863002</v>
      </c>
      <c r="D38" s="482">
        <v>21553.308188307001</v>
      </c>
      <c r="E38" s="470"/>
      <c r="F38" s="481" t="s">
        <v>559</v>
      </c>
      <c r="G38" s="483">
        <v>20218</v>
      </c>
      <c r="H38" s="482">
        <v>20102.405780863002</v>
      </c>
      <c r="I38" s="482">
        <v>21553.308188307001</v>
      </c>
      <c r="J38" s="472"/>
      <c r="K38" s="481" t="str">
        <f t="shared" si="4"/>
        <v>Operational closing balance</v>
      </c>
      <c r="L38" s="482">
        <v>5151.0817699905001</v>
      </c>
      <c r="M38" s="482">
        <v>5404.0305659655996</v>
      </c>
      <c r="N38" s="482">
        <v>4738.9664920132</v>
      </c>
      <c r="O38" s="483">
        <v>4924</v>
      </c>
      <c r="P38" s="482">
        <v>4404.4101382396002</v>
      </c>
      <c r="Q38" s="482">
        <v>5405.6293657843007</v>
      </c>
      <c r="R38" s="482">
        <v>5170.3375722871006</v>
      </c>
      <c r="S38" s="482">
        <v>5122.0287045519999</v>
      </c>
      <c r="T38" s="482">
        <v>5721.8356697285999</v>
      </c>
      <c r="U38" s="482">
        <v>5008.7522625668007</v>
      </c>
      <c r="V38" s="482">
        <v>5217.0680333577002</v>
      </c>
      <c r="W38" s="482">
        <v>5604.6522226539</v>
      </c>
      <c r="X38" s="482">
        <v>7409.9925027500012</v>
      </c>
      <c r="Y38" s="482">
        <v>6466.6953453195993</v>
      </c>
      <c r="Z38" s="470"/>
      <c r="AA38" s="481" t="str">
        <f t="shared" si="5"/>
        <v>Operational closing balance</v>
      </c>
      <c r="AB38" s="482">
        <v>5151.0817699905001</v>
      </c>
      <c r="AC38" s="482">
        <v>5404.0305659655996</v>
      </c>
      <c r="AD38" s="482">
        <v>4738.9664920132</v>
      </c>
      <c r="AE38" s="483">
        <v>4924</v>
      </c>
      <c r="AF38" s="484">
        <v>4404.4101382396002</v>
      </c>
      <c r="AG38" s="482">
        <v>5405.6293657843007</v>
      </c>
      <c r="AH38" s="482">
        <v>5170.3375722871006</v>
      </c>
      <c r="AI38" s="482">
        <v>5122.0287045519999</v>
      </c>
      <c r="AJ38" s="482">
        <v>5721.8356697285999</v>
      </c>
      <c r="AK38" s="482">
        <v>5008.7522625668007</v>
      </c>
      <c r="AL38" s="482">
        <v>5217.0680333577002</v>
      </c>
      <c r="AM38" s="482">
        <v>5604.6522226539</v>
      </c>
      <c r="AN38" s="482">
        <v>7409.9925027500012</v>
      </c>
      <c r="AO38" s="482">
        <v>6466.6953453195993</v>
      </c>
    </row>
    <row r="39" spans="1:41" ht="13">
      <c r="A39" s="470" t="s">
        <v>554</v>
      </c>
      <c r="B39" s="472">
        <v>0</v>
      </c>
      <c r="C39" s="472">
        <v>0</v>
      </c>
      <c r="D39" s="472">
        <v>0</v>
      </c>
      <c r="E39" s="470"/>
      <c r="F39" s="470" t="s">
        <v>554</v>
      </c>
      <c r="G39" s="487">
        <v>0</v>
      </c>
      <c r="H39" s="472">
        <v>0</v>
      </c>
      <c r="I39" s="472">
        <v>0</v>
      </c>
      <c r="J39" s="472"/>
      <c r="K39" s="470" t="str">
        <f t="shared" si="4"/>
        <v>Adjustment OOH</v>
      </c>
      <c r="L39" s="472">
        <v>0</v>
      </c>
      <c r="M39" s="472">
        <v>0</v>
      </c>
      <c r="N39" s="472">
        <v>0</v>
      </c>
      <c r="O39" s="487">
        <v>0</v>
      </c>
      <c r="P39" s="472">
        <v>0</v>
      </c>
      <c r="Q39" s="472">
        <v>0</v>
      </c>
      <c r="R39" s="472">
        <v>0</v>
      </c>
      <c r="S39" s="472">
        <v>0</v>
      </c>
      <c r="T39" s="472">
        <v>0</v>
      </c>
      <c r="U39" s="472">
        <v>0</v>
      </c>
      <c r="V39" s="472">
        <v>0</v>
      </c>
      <c r="W39" s="472">
        <v>0</v>
      </c>
      <c r="X39" s="472">
        <v>0</v>
      </c>
      <c r="Y39" s="472">
        <v>0</v>
      </c>
      <c r="Z39" s="470"/>
      <c r="AA39" s="470" t="str">
        <f t="shared" si="5"/>
        <v>Adjustment OOH</v>
      </c>
      <c r="AB39" s="485">
        <v>0</v>
      </c>
      <c r="AC39" s="485">
        <v>0</v>
      </c>
      <c r="AD39" s="485">
        <v>0</v>
      </c>
      <c r="AE39" s="488">
        <v>0</v>
      </c>
      <c r="AF39" s="501">
        <v>0</v>
      </c>
      <c r="AG39" s="485">
        <v>0</v>
      </c>
      <c r="AH39" s="485">
        <v>0</v>
      </c>
      <c r="AI39" s="485">
        <v>0</v>
      </c>
      <c r="AJ39" s="485">
        <v>0</v>
      </c>
      <c r="AK39" s="485">
        <v>0</v>
      </c>
      <c r="AL39" s="485">
        <v>0</v>
      </c>
      <c r="AM39" s="485">
        <v>0</v>
      </c>
      <c r="AN39" s="485">
        <v>0</v>
      </c>
      <c r="AO39" s="485">
        <v>0</v>
      </c>
    </row>
    <row r="40" spans="1:41" ht="13">
      <c r="A40" s="496" t="s">
        <v>560</v>
      </c>
      <c r="B40" s="497">
        <v>20218</v>
      </c>
      <c r="C40" s="497">
        <v>20102.405780863002</v>
      </c>
      <c r="D40" s="497">
        <v>21553.208188306999</v>
      </c>
      <c r="E40" s="470"/>
      <c r="F40" s="496" t="s">
        <v>560</v>
      </c>
      <c r="G40" s="498">
        <v>20218</v>
      </c>
      <c r="H40" s="497">
        <v>20102.405780863002</v>
      </c>
      <c r="I40" s="497">
        <v>21553.208188306999</v>
      </c>
      <c r="J40" s="472"/>
      <c r="K40" s="496" t="str">
        <f t="shared" si="4"/>
        <v>Reported closing balance</v>
      </c>
      <c r="L40" s="497">
        <v>5151.0824082101999</v>
      </c>
      <c r="M40" s="497">
        <v>5404.0296979430004</v>
      </c>
      <c r="N40" s="497">
        <v>4739.3664292755002</v>
      </c>
      <c r="O40" s="498">
        <v>4924</v>
      </c>
      <c r="P40" s="497">
        <v>4404.4101382396002</v>
      </c>
      <c r="Q40" s="497">
        <v>5405.6293657843007</v>
      </c>
      <c r="R40" s="497">
        <v>5170.3375722870996</v>
      </c>
      <c r="S40" s="497">
        <v>5122.0287045519999</v>
      </c>
      <c r="T40" s="497">
        <v>5721.8356697286008</v>
      </c>
      <c r="U40" s="497">
        <v>5008.7522625667989</v>
      </c>
      <c r="V40" s="497">
        <v>5217.0680333576993</v>
      </c>
      <c r="W40" s="497">
        <v>5604.5522226539006</v>
      </c>
      <c r="X40" s="497">
        <v>7409.7525027500014</v>
      </c>
      <c r="Y40" s="497">
        <v>6467.4953453195994</v>
      </c>
      <c r="Z40" s="470"/>
      <c r="AA40" s="496" t="str">
        <f t="shared" si="5"/>
        <v>Reported closing balance</v>
      </c>
      <c r="AB40" s="497">
        <v>5151.0824082101999</v>
      </c>
      <c r="AC40" s="497">
        <v>5404.0296979430004</v>
      </c>
      <c r="AD40" s="497">
        <v>4739.3664292755002</v>
      </c>
      <c r="AE40" s="498">
        <v>4924</v>
      </c>
      <c r="AF40" s="499">
        <v>4404.4101382396002</v>
      </c>
      <c r="AG40" s="497">
        <v>5405.6293657843007</v>
      </c>
      <c r="AH40" s="497">
        <v>5170.3375722870996</v>
      </c>
      <c r="AI40" s="497">
        <v>5122.0287045519999</v>
      </c>
      <c r="AJ40" s="497">
        <v>5721.8356697286008</v>
      </c>
      <c r="AK40" s="497">
        <v>5008.7522625667989</v>
      </c>
      <c r="AL40" s="497">
        <v>5217.0680333576993</v>
      </c>
      <c r="AM40" s="497">
        <v>5604.5522226539006</v>
      </c>
      <c r="AN40" s="497">
        <v>7409.7525027500014</v>
      </c>
      <c r="AO40" s="497">
        <v>6467.4953453195994</v>
      </c>
    </row>
    <row r="41" spans="1:41" ht="13">
      <c r="A41" s="470"/>
      <c r="B41" s="470"/>
      <c r="C41" s="470"/>
      <c r="D41" s="470"/>
      <c r="E41" s="470"/>
      <c r="F41" s="470"/>
      <c r="G41" s="500"/>
      <c r="H41" s="470"/>
      <c r="I41" s="470"/>
      <c r="J41" s="472"/>
      <c r="K41" s="470"/>
      <c r="L41" s="470"/>
      <c r="M41" s="470"/>
      <c r="N41" s="470"/>
      <c r="O41" s="500"/>
      <c r="P41" s="470"/>
      <c r="Q41" s="470"/>
      <c r="R41" s="470"/>
      <c r="S41" s="470"/>
      <c r="T41" s="470"/>
      <c r="U41" s="470"/>
      <c r="V41" s="470"/>
      <c r="W41" s="470"/>
      <c r="X41" s="470"/>
      <c r="Y41" s="470"/>
      <c r="Z41" s="470"/>
      <c r="AA41" s="470"/>
      <c r="AB41" s="470"/>
      <c r="AC41" s="470"/>
      <c r="AD41" s="470"/>
      <c r="AE41" s="470"/>
      <c r="AF41" s="470"/>
      <c r="AG41" s="470"/>
      <c r="AH41" s="470"/>
      <c r="AI41" s="470"/>
      <c r="AJ41" s="470"/>
      <c r="AK41" s="470"/>
    </row>
    <row r="42" spans="1:41" ht="13">
      <c r="A42" s="476" t="s">
        <v>474</v>
      </c>
      <c r="B42" s="476"/>
      <c r="C42" s="476"/>
      <c r="D42" s="476"/>
      <c r="E42" s="470"/>
      <c r="F42" s="476" t="s">
        <v>474</v>
      </c>
      <c r="G42" s="477"/>
      <c r="H42" s="476"/>
      <c r="I42" s="476"/>
      <c r="J42" s="472"/>
      <c r="K42" s="476" t="str">
        <f t="shared" ref="K42:K53" si="6">A42</f>
        <v>Orders received</v>
      </c>
      <c r="L42" s="476"/>
      <c r="M42" s="476"/>
      <c r="N42" s="476"/>
      <c r="O42" s="477"/>
      <c r="P42" s="476"/>
      <c r="Q42" s="476"/>
      <c r="R42" s="476"/>
      <c r="S42" s="476"/>
      <c r="T42" s="476"/>
      <c r="U42" s="476"/>
      <c r="V42" s="476"/>
      <c r="W42" s="476"/>
      <c r="X42" s="476"/>
      <c r="Y42" s="476"/>
      <c r="Z42" s="470"/>
      <c r="AA42" s="476" t="str">
        <f t="shared" ref="AA42:AA53" si="7">F42</f>
        <v>Orders received</v>
      </c>
      <c r="AB42" s="476"/>
      <c r="AC42" s="476"/>
      <c r="AD42" s="476"/>
      <c r="AE42" s="477"/>
      <c r="AF42" s="478"/>
      <c r="AG42" s="476"/>
      <c r="AH42" s="476"/>
      <c r="AI42" s="476"/>
      <c r="AJ42" s="476"/>
      <c r="AK42" s="476"/>
      <c r="AL42" s="476"/>
      <c r="AM42" s="476"/>
      <c r="AN42" s="476"/>
      <c r="AO42" s="476"/>
    </row>
    <row r="43" spans="1:41" ht="13">
      <c r="A43" s="315" t="s">
        <v>295</v>
      </c>
      <c r="B43" s="315">
        <v>2023</v>
      </c>
      <c r="C43" s="315">
        <v>2024</v>
      </c>
      <c r="D43" s="315">
        <v>2025</v>
      </c>
      <c r="E43" s="470"/>
      <c r="F43" s="315" t="s">
        <v>295</v>
      </c>
      <c r="G43" s="479">
        <v>2023</v>
      </c>
      <c r="H43" s="315">
        <v>2024</v>
      </c>
      <c r="I43" s="315">
        <v>2025</v>
      </c>
      <c r="J43" s="472"/>
      <c r="K43" s="315" t="str">
        <f t="shared" si="6"/>
        <v>Service</v>
      </c>
      <c r="L43" s="315" t="s">
        <v>148</v>
      </c>
      <c r="M43" s="315" t="s">
        <v>149</v>
      </c>
      <c r="N43" s="315" t="s">
        <v>150</v>
      </c>
      <c r="O43" s="479" t="s">
        <v>151</v>
      </c>
      <c r="P43" s="315" t="s">
        <v>152</v>
      </c>
      <c r="Q43" s="315" t="s">
        <v>153</v>
      </c>
      <c r="R43" s="315" t="s">
        <v>154</v>
      </c>
      <c r="S43" s="315" t="s">
        <v>155</v>
      </c>
      <c r="T43" s="315" t="s">
        <v>156</v>
      </c>
      <c r="U43" s="315" t="s">
        <v>157</v>
      </c>
      <c r="V43" s="315" t="s">
        <v>158</v>
      </c>
      <c r="W43" s="315" t="s">
        <v>820</v>
      </c>
      <c r="X43" s="315" t="s">
        <v>1275</v>
      </c>
      <c r="Y43" s="315" t="s">
        <v>1344</v>
      </c>
      <c r="Z43" s="470"/>
      <c r="AA43" s="315" t="str">
        <f t="shared" si="7"/>
        <v>Service</v>
      </c>
      <c r="AB43" s="315" t="s">
        <v>148</v>
      </c>
      <c r="AC43" s="315" t="s">
        <v>149</v>
      </c>
      <c r="AD43" s="315" t="s">
        <v>150</v>
      </c>
      <c r="AE43" s="479" t="s">
        <v>151</v>
      </c>
      <c r="AF43" s="480" t="s">
        <v>152</v>
      </c>
      <c r="AG43" s="315" t="s">
        <v>153</v>
      </c>
      <c r="AH43" s="315" t="s">
        <v>154</v>
      </c>
      <c r="AI43" s="315" t="s">
        <v>155</v>
      </c>
      <c r="AJ43" s="315" t="s">
        <v>156</v>
      </c>
      <c r="AK43" s="315" t="s">
        <v>157</v>
      </c>
      <c r="AL43" s="315" t="s">
        <v>158</v>
      </c>
      <c r="AM43" s="315" t="s">
        <v>820</v>
      </c>
      <c r="AN43" s="315" t="s">
        <v>1275</v>
      </c>
      <c r="AO43" s="315" t="s">
        <v>1344</v>
      </c>
    </row>
    <row r="44" spans="1:41" ht="13">
      <c r="A44" s="481" t="s">
        <v>553</v>
      </c>
      <c r="B44" s="482">
        <v>23295.423583708201</v>
      </c>
      <c r="C44" s="482">
        <v>26489.518460282801</v>
      </c>
      <c r="D44" s="482">
        <v>27321.074298553998</v>
      </c>
      <c r="E44" s="470"/>
      <c r="F44" s="481" t="s">
        <v>553</v>
      </c>
      <c r="G44" s="483">
        <v>23295.423583708201</v>
      </c>
      <c r="H44" s="482">
        <f>26488.5160250206+1</f>
        <v>26489.516025020599</v>
      </c>
      <c r="I44" s="482">
        <v>27321.074298553998</v>
      </c>
      <c r="J44" s="472"/>
      <c r="K44" s="481" t="str">
        <f t="shared" si="6"/>
        <v>Reported opening balance</v>
      </c>
      <c r="L44" s="482">
        <v>5145.7063876112998</v>
      </c>
      <c r="M44" s="482">
        <v>5517.9508554173999</v>
      </c>
      <c r="N44" s="482">
        <v>5753.2967403568</v>
      </c>
      <c r="O44" s="483">
        <v>6878.4696003227</v>
      </c>
      <c r="P44" s="482">
        <v>6419</v>
      </c>
      <c r="Q44" s="482">
        <v>6871.6558525118999</v>
      </c>
      <c r="R44" s="482">
        <v>6571.7114311847999</v>
      </c>
      <c r="S44" s="482">
        <v>6626.8511765861003</v>
      </c>
      <c r="T44" s="482">
        <v>6620.6400749158001</v>
      </c>
      <c r="U44" s="482">
        <v>6982.3443004990995</v>
      </c>
      <c r="V44" s="482">
        <v>6659.6100666918001</v>
      </c>
      <c r="W44" s="482">
        <v>7058.4798564472994</v>
      </c>
      <c r="X44" s="482">
        <v>6655.3779729673997</v>
      </c>
      <c r="Y44" s="482">
        <v>6496.7036407718006</v>
      </c>
      <c r="Z44" s="470"/>
      <c r="AA44" s="481" t="str">
        <f t="shared" si="7"/>
        <v>Reported opening balance</v>
      </c>
      <c r="AB44" s="482">
        <v>5145.7063876112998</v>
      </c>
      <c r="AC44" s="482">
        <v>5517.9508554173999</v>
      </c>
      <c r="AD44" s="482">
        <v>5753.2967403568</v>
      </c>
      <c r="AE44" s="483">
        <v>6878.4696003227</v>
      </c>
      <c r="AF44" s="484">
        <v>6419</v>
      </c>
      <c r="AG44" s="482">
        <v>6871.6558525118999</v>
      </c>
      <c r="AH44" s="482">
        <v>6571.7114311847999</v>
      </c>
      <c r="AI44" s="482">
        <v>6626.8511765861003</v>
      </c>
      <c r="AJ44" s="482">
        <v>6620.6400749158001</v>
      </c>
      <c r="AK44" s="482">
        <v>6982.3443004990995</v>
      </c>
      <c r="AL44" s="482">
        <v>6659.6100666918001</v>
      </c>
      <c r="AM44" s="482">
        <v>7058.4798564472994</v>
      </c>
      <c r="AN44" s="482">
        <v>6655.3779729673997</v>
      </c>
      <c r="AO44" s="482">
        <v>6496.7036407718006</v>
      </c>
    </row>
    <row r="45" spans="1:41" ht="13">
      <c r="A45" s="470" t="s">
        <v>554</v>
      </c>
      <c r="B45" s="485">
        <v>-778.3</v>
      </c>
      <c r="C45" s="485">
        <v>-206.79999999999998</v>
      </c>
      <c r="D45" s="485">
        <v>0</v>
      </c>
      <c r="E45" s="470"/>
      <c r="F45" s="470" t="s">
        <v>554</v>
      </c>
      <c r="G45" s="487">
        <v>-3.3409995624389883</v>
      </c>
      <c r="H45" s="485">
        <v>-0.78071568752534204</v>
      </c>
      <c r="I45" s="485">
        <v>0</v>
      </c>
      <c r="J45" s="472"/>
      <c r="K45" s="470" t="str">
        <f t="shared" si="6"/>
        <v>Adjustment OOH</v>
      </c>
      <c r="L45" s="485">
        <v>0</v>
      </c>
      <c r="M45" s="485">
        <v>0</v>
      </c>
      <c r="N45" s="485">
        <v>0</v>
      </c>
      <c r="O45" s="488">
        <v>-778.3</v>
      </c>
      <c r="P45" s="485">
        <v>-30.5</v>
      </c>
      <c r="Q45" s="485">
        <v>-85.199999999999989</v>
      </c>
      <c r="R45" s="485">
        <v>-91.1</v>
      </c>
      <c r="S45" s="485">
        <v>0</v>
      </c>
      <c r="T45" s="485">
        <v>0</v>
      </c>
      <c r="U45" s="485">
        <v>0</v>
      </c>
      <c r="V45" s="485">
        <v>0</v>
      </c>
      <c r="W45" s="485">
        <v>0</v>
      </c>
      <c r="X45" s="485">
        <v>0</v>
      </c>
      <c r="Y45" s="485">
        <v>0</v>
      </c>
      <c r="Z45" s="470"/>
      <c r="AA45" s="470" t="str">
        <f t="shared" si="7"/>
        <v>Adjustment OOH</v>
      </c>
      <c r="AB45" s="485">
        <v>0</v>
      </c>
      <c r="AC45" s="485">
        <v>0</v>
      </c>
      <c r="AD45" s="485">
        <v>0</v>
      </c>
      <c r="AE45" s="488">
        <v>-11.315016932887024</v>
      </c>
      <c r="AF45" s="501">
        <v>-0.47520389468334018</v>
      </c>
      <c r="AG45" s="485">
        <v>-1.2398758294750101</v>
      </c>
      <c r="AH45" s="485">
        <v>-1.386244678482113</v>
      </c>
      <c r="AI45" s="485">
        <v>0</v>
      </c>
      <c r="AJ45" s="485">
        <v>0</v>
      </c>
      <c r="AK45" s="485">
        <v>0</v>
      </c>
      <c r="AL45" s="485">
        <v>0</v>
      </c>
      <c r="AM45" s="485">
        <v>0</v>
      </c>
      <c r="AN45" s="485">
        <v>0</v>
      </c>
      <c r="AO45" s="485">
        <v>0</v>
      </c>
    </row>
    <row r="46" spans="1:41" ht="13">
      <c r="A46" s="481" t="s">
        <v>555</v>
      </c>
      <c r="B46" s="482">
        <v>22517.123583708202</v>
      </c>
      <c r="C46" s="482">
        <v>26281.7160250206</v>
      </c>
      <c r="D46" s="482">
        <v>27321.074298553998</v>
      </c>
      <c r="E46" s="470"/>
      <c r="F46" s="481" t="s">
        <v>555</v>
      </c>
      <c r="G46" s="483">
        <v>22517.123583708202</v>
      </c>
      <c r="H46" s="482">
        <v>26281.7160250206</v>
      </c>
      <c r="I46" s="482">
        <v>27321.074298553998</v>
      </c>
      <c r="J46" s="472"/>
      <c r="K46" s="481" t="str">
        <f t="shared" si="6"/>
        <v>Adjusted opening balance</v>
      </c>
      <c r="L46" s="482">
        <v>5145.7063876112998</v>
      </c>
      <c r="M46" s="482">
        <v>5517.9508554173999</v>
      </c>
      <c r="N46" s="482">
        <v>5753.2967403568</v>
      </c>
      <c r="O46" s="483">
        <v>6100.1696003226998</v>
      </c>
      <c r="P46" s="482">
        <v>6387.7975647377998</v>
      </c>
      <c r="Q46" s="482">
        <v>6786.4558525119</v>
      </c>
      <c r="R46" s="482">
        <v>6480.6114311847996</v>
      </c>
      <c r="S46" s="482">
        <v>6626.8511765861003</v>
      </c>
      <c r="T46" s="482">
        <v>6620.6400749158001</v>
      </c>
      <c r="U46" s="482">
        <v>6982.3443004990995</v>
      </c>
      <c r="V46" s="482">
        <v>6659.6100666918001</v>
      </c>
      <c r="W46" s="482">
        <v>7058.4798564472994</v>
      </c>
      <c r="X46" s="482">
        <v>6655.3779729673997</v>
      </c>
      <c r="Y46" s="482">
        <v>6496.7036407718006</v>
      </c>
      <c r="Z46" s="470"/>
      <c r="AA46" s="481" t="str">
        <f t="shared" si="7"/>
        <v>Adjusted opening balance</v>
      </c>
      <c r="AB46" s="482">
        <v>5145.7063876112998</v>
      </c>
      <c r="AC46" s="482">
        <v>5517.9508554173999</v>
      </c>
      <c r="AD46" s="482">
        <v>5753.2967403568</v>
      </c>
      <c r="AE46" s="483">
        <v>6100.1696003226998</v>
      </c>
      <c r="AF46" s="484">
        <v>6387.7975647377998</v>
      </c>
      <c r="AG46" s="482">
        <v>6786.4558525119</v>
      </c>
      <c r="AH46" s="482">
        <v>6480.6114311847996</v>
      </c>
      <c r="AI46" s="482">
        <v>6626.8511765861003</v>
      </c>
      <c r="AJ46" s="482">
        <v>6620.6400749158001</v>
      </c>
      <c r="AK46" s="482">
        <v>6982.3443004990995</v>
      </c>
      <c r="AL46" s="482">
        <v>6659.6100666918001</v>
      </c>
      <c r="AM46" s="482">
        <v>7058.4798564472994</v>
      </c>
      <c r="AN46" s="482">
        <v>6655.3779729673997</v>
      </c>
      <c r="AO46" s="482">
        <v>6496.7036407718006</v>
      </c>
    </row>
    <row r="47" spans="1:41" ht="13">
      <c r="A47" s="470" t="s">
        <v>556</v>
      </c>
      <c r="B47" s="502">
        <v>1519</v>
      </c>
      <c r="C47" s="472">
        <v>1752.4161140505</v>
      </c>
      <c r="D47" s="472">
        <v>817.12627389030001</v>
      </c>
      <c r="E47" s="470"/>
      <c r="F47" s="470" t="s">
        <v>556</v>
      </c>
      <c r="G47" s="487">
        <v>7</v>
      </c>
      <c r="H47" s="472">
        <v>6</v>
      </c>
      <c r="I47" s="472">
        <v>3</v>
      </c>
      <c r="J47" s="472"/>
      <c r="K47" s="470" t="str">
        <f t="shared" si="6"/>
        <v>Organic</v>
      </c>
      <c r="L47" s="502">
        <v>327.9046624774</v>
      </c>
      <c r="M47" s="502">
        <v>431.84175681240004</v>
      </c>
      <c r="N47" s="502">
        <v>395</v>
      </c>
      <c r="O47" s="503">
        <v>363.69511635580005</v>
      </c>
      <c r="P47" s="502">
        <v>557</v>
      </c>
      <c r="Q47" s="502">
        <v>285.42503017410002</v>
      </c>
      <c r="R47" s="502">
        <v>390.46847796340001</v>
      </c>
      <c r="S47" s="502">
        <v>519.52260591300001</v>
      </c>
      <c r="T47" s="502">
        <v>25.815197471500007</v>
      </c>
      <c r="U47" s="502">
        <v>187.35005882769997</v>
      </c>
      <c r="V47" s="502">
        <v>153.85783955790001</v>
      </c>
      <c r="W47" s="502">
        <v>450.7031780332</v>
      </c>
      <c r="X47" s="472">
        <v>849.92615161999993</v>
      </c>
      <c r="Y47" s="472">
        <v>429.40457978079996</v>
      </c>
      <c r="Z47" s="470"/>
      <c r="AA47" s="470" t="str">
        <f t="shared" si="7"/>
        <v>Organic</v>
      </c>
      <c r="AB47" s="472">
        <v>6</v>
      </c>
      <c r="AC47" s="472">
        <v>8</v>
      </c>
      <c r="AD47" s="472">
        <v>7</v>
      </c>
      <c r="AE47" s="487">
        <v>6</v>
      </c>
      <c r="AF47" s="491">
        <v>9</v>
      </c>
      <c r="AG47" s="472">
        <v>5</v>
      </c>
      <c r="AH47" s="472">
        <v>7</v>
      </c>
      <c r="AI47" s="472">
        <v>8</v>
      </c>
      <c r="AJ47" s="472">
        <v>1</v>
      </c>
      <c r="AK47" s="472">
        <v>3</v>
      </c>
      <c r="AL47" s="472">
        <v>2</v>
      </c>
      <c r="AM47" s="472">
        <v>6</v>
      </c>
      <c r="AN47" s="472">
        <v>12</v>
      </c>
      <c r="AO47" s="472">
        <v>6</v>
      </c>
    </row>
    <row r="48" spans="1:41" ht="13">
      <c r="A48" s="470" t="s">
        <v>557</v>
      </c>
      <c r="B48" s="502">
        <v>656.20922053230004</v>
      </c>
      <c r="C48" s="472">
        <v>-589.41073742979995</v>
      </c>
      <c r="D48" s="472">
        <v>-2080.9574562957</v>
      </c>
      <c r="E48" s="470"/>
      <c r="F48" s="470" t="s">
        <v>557</v>
      </c>
      <c r="G48" s="487">
        <v>2.9142675266350921</v>
      </c>
      <c r="H48" s="472">
        <v>-2.2426645842633404</v>
      </c>
      <c r="I48" s="472">
        <v>-7.6174071105463383</v>
      </c>
      <c r="J48" s="472"/>
      <c r="K48" s="470" t="str">
        <f t="shared" si="6"/>
        <v>Currency</v>
      </c>
      <c r="L48" s="502">
        <v>371.0672804852</v>
      </c>
      <c r="M48" s="502">
        <v>266.67278901100002</v>
      </c>
      <c r="N48" s="502">
        <v>73.943919739000009</v>
      </c>
      <c r="O48" s="503">
        <v>-55.474768702900001</v>
      </c>
      <c r="P48" s="502">
        <v>-209.9028299926</v>
      </c>
      <c r="Q48" s="502">
        <v>-114.6909788104</v>
      </c>
      <c r="R48" s="502">
        <v>-240.98508799439998</v>
      </c>
      <c r="S48" s="502">
        <v>-23.831840632399999</v>
      </c>
      <c r="T48" s="502">
        <v>-15.7141840276</v>
      </c>
      <c r="U48" s="502">
        <v>-672.48381855499997</v>
      </c>
      <c r="V48" s="502">
        <v>-591.96404293030002</v>
      </c>
      <c r="W48" s="502">
        <v>-800.79541078279999</v>
      </c>
      <c r="X48" s="472">
        <v>-742.21876826649998</v>
      </c>
      <c r="Y48" s="472">
        <v>-18.131433959400002</v>
      </c>
      <c r="Z48" s="470"/>
      <c r="AA48" s="470" t="str">
        <f t="shared" si="7"/>
        <v>Currency</v>
      </c>
      <c r="AB48" s="472">
        <v>7.2112019717754245</v>
      </c>
      <c r="AC48" s="472">
        <v>4.832822835839262</v>
      </c>
      <c r="AD48" s="472">
        <v>1.2852443229690644</v>
      </c>
      <c r="AE48" s="487">
        <v>-0.90939715348185357</v>
      </c>
      <c r="AF48" s="491">
        <v>-3.2859969005798622</v>
      </c>
      <c r="AG48" s="472">
        <v>-1.6899981566659561</v>
      </c>
      <c r="AH48" s="472">
        <v>-3.7185548084981015</v>
      </c>
      <c r="AI48" s="472">
        <v>-0.35962540877034227</v>
      </c>
      <c r="AJ48" s="472">
        <v>-0.23735143203355377</v>
      </c>
      <c r="AK48" s="472">
        <v>-9.6340682957572916</v>
      </c>
      <c r="AL48" s="472">
        <v>-8.8888694233168764</v>
      </c>
      <c r="AM48" s="472">
        <v>-11.345154014307258</v>
      </c>
      <c r="AN48" s="472">
        <v>-11.152165531112136</v>
      </c>
      <c r="AO48" s="472">
        <v>-0.27908667167163576</v>
      </c>
    </row>
    <row r="49" spans="1:41" ht="13">
      <c r="A49" s="492" t="s">
        <v>558</v>
      </c>
      <c r="B49" s="505">
        <v>1767.0039720057998</v>
      </c>
      <c r="C49" s="493">
        <v>-123.61710094440002</v>
      </c>
      <c r="D49" s="493">
        <v>24.6996846077</v>
      </c>
      <c r="E49" s="470"/>
      <c r="F49" s="492" t="s">
        <v>558</v>
      </c>
      <c r="G49" s="494">
        <v>7.847378753493536</v>
      </c>
      <c r="H49" s="493">
        <v>-0.470353993729765</v>
      </c>
      <c r="I49" s="493">
        <v>9.0405246652424873E-2</v>
      </c>
      <c r="J49" s="472"/>
      <c r="K49" s="492" t="str">
        <f t="shared" si="6"/>
        <v>Structure</v>
      </c>
      <c r="L49" s="505">
        <v>543.11987238359995</v>
      </c>
      <c r="M49" s="505">
        <v>655.18958324849996</v>
      </c>
      <c r="N49" s="505">
        <v>350.2332877632</v>
      </c>
      <c r="O49" s="506">
        <v>218.46122861049992</v>
      </c>
      <c r="P49" s="505">
        <v>-113.52465768650001</v>
      </c>
      <c r="Q49" s="505">
        <v>25.154396623500006</v>
      </c>
      <c r="R49" s="505">
        <v>29.515245537999974</v>
      </c>
      <c r="S49" s="505">
        <v>-64.762085419399995</v>
      </c>
      <c r="T49" s="505">
        <v>24.636884607699997</v>
      </c>
      <c r="U49" s="505">
        <v>-0.30690000000000001</v>
      </c>
      <c r="V49" s="505">
        <v>0.47389999999999999</v>
      </c>
      <c r="W49" s="505">
        <v>-0.1042</v>
      </c>
      <c r="X49" s="493">
        <v>56.875371206600001</v>
      </c>
      <c r="Y49" s="493">
        <v>56.904971206500001</v>
      </c>
      <c r="Z49" s="470"/>
      <c r="AA49" s="492" t="str">
        <f t="shared" si="7"/>
        <v>Structure</v>
      </c>
      <c r="AB49" s="493">
        <v>10.554816607710158</v>
      </c>
      <c r="AC49" s="493">
        <v>11.873784316242135</v>
      </c>
      <c r="AD49" s="493">
        <v>6.0875234421070328</v>
      </c>
      <c r="AE49" s="494">
        <v>3.5812320463834855</v>
      </c>
      <c r="AF49" s="495">
        <v>-1.7772112615650784</v>
      </c>
      <c r="AG49" s="493">
        <v>0.37065586471308881</v>
      </c>
      <c r="AH49" s="493">
        <v>0.45543921050369052</v>
      </c>
      <c r="AI49" s="493">
        <v>-0.97726784099538122</v>
      </c>
      <c r="AJ49" s="493">
        <v>0.37212239796940366</v>
      </c>
      <c r="AK49" s="493">
        <v>-4.3953719093752326E-3</v>
      </c>
      <c r="AL49" s="493">
        <v>7.1160322489483624E-3</v>
      </c>
      <c r="AM49" s="493">
        <v>-1.4762385402973485E-3</v>
      </c>
      <c r="AN49" s="493">
        <v>0.85457762786147606</v>
      </c>
      <c r="AO49" s="493">
        <v>0.87590529525431393</v>
      </c>
    </row>
    <row r="50" spans="1:41" ht="13">
      <c r="A50" s="470" t="s">
        <v>471</v>
      </c>
      <c r="B50" s="502">
        <v>3942</v>
      </c>
      <c r="C50" s="472">
        <v>1038.6582735334</v>
      </c>
      <c r="D50" s="472">
        <v>-1238.5314977977</v>
      </c>
      <c r="E50" s="470"/>
      <c r="F50" s="470" t="s">
        <v>471</v>
      </c>
      <c r="G50" s="487">
        <v>18</v>
      </c>
      <c r="H50" s="472">
        <v>4</v>
      </c>
      <c r="I50" s="472">
        <v>-5</v>
      </c>
      <c r="J50" s="472"/>
      <c r="K50" s="470" t="str">
        <f t="shared" si="6"/>
        <v>Total</v>
      </c>
      <c r="L50" s="502">
        <v>1242.0918153461998</v>
      </c>
      <c r="M50" s="502">
        <v>1353.7041290719001</v>
      </c>
      <c r="N50" s="502">
        <v>819</v>
      </c>
      <c r="O50" s="503">
        <v>526.68157626339996</v>
      </c>
      <c r="P50" s="502">
        <v>232.84251017799994</v>
      </c>
      <c r="Q50" s="502">
        <v>195.88844798720004</v>
      </c>
      <c r="R50" s="502">
        <v>178.99863550700002</v>
      </c>
      <c r="S50" s="502">
        <v>430.92867986120007</v>
      </c>
      <c r="T50" s="502">
        <v>34.737898051600006</v>
      </c>
      <c r="U50" s="502">
        <v>-485.44065972729999</v>
      </c>
      <c r="V50" s="502">
        <v>-437.63230337240003</v>
      </c>
      <c r="W50" s="502">
        <v>-350.19643274959998</v>
      </c>
      <c r="X50" s="472">
        <v>164.58275456009994</v>
      </c>
      <c r="Y50" s="472">
        <v>468.17811702789999</v>
      </c>
      <c r="Z50" s="470"/>
      <c r="AA50" s="470" t="str">
        <f t="shared" si="7"/>
        <v>Total</v>
      </c>
      <c r="AB50" s="472">
        <v>24</v>
      </c>
      <c r="AC50" s="472">
        <v>25</v>
      </c>
      <c r="AD50" s="472">
        <v>14</v>
      </c>
      <c r="AE50" s="487">
        <v>9</v>
      </c>
      <c r="AF50" s="491">
        <v>4</v>
      </c>
      <c r="AG50" s="472">
        <v>3</v>
      </c>
      <c r="AH50" s="472">
        <v>3</v>
      </c>
      <c r="AI50" s="472">
        <v>7</v>
      </c>
      <c r="AJ50" s="472">
        <v>1</v>
      </c>
      <c r="AK50" s="472">
        <v>-7</v>
      </c>
      <c r="AL50" s="472">
        <v>-7</v>
      </c>
      <c r="AM50" s="472">
        <v>-5</v>
      </c>
      <c r="AN50" s="472">
        <v>2</v>
      </c>
      <c r="AO50" s="472">
        <v>7</v>
      </c>
    </row>
    <row r="51" spans="1:41" ht="13">
      <c r="A51" s="481" t="s">
        <v>559</v>
      </c>
      <c r="B51" s="482">
        <v>26458.615732480001</v>
      </c>
      <c r="C51" s="482">
        <v>27321.374298554001</v>
      </c>
      <c r="D51" s="482">
        <v>26082.342800756298</v>
      </c>
      <c r="E51" s="470"/>
      <c r="F51" s="481" t="s">
        <v>559</v>
      </c>
      <c r="G51" s="483">
        <v>26458.615732480001</v>
      </c>
      <c r="H51" s="482">
        <v>27321.374298554001</v>
      </c>
      <c r="I51" s="482">
        <v>26082.342800756298</v>
      </c>
      <c r="J51" s="472"/>
      <c r="K51" s="481" t="str">
        <f t="shared" si="6"/>
        <v>Operational closing balance</v>
      </c>
      <c r="L51" s="482">
        <v>6388</v>
      </c>
      <c r="M51" s="482">
        <v>6871.6549844892997</v>
      </c>
      <c r="N51" s="482">
        <v>6572</v>
      </c>
      <c r="O51" s="483">
        <v>6626.8511765860994</v>
      </c>
      <c r="P51" s="482">
        <v>6620.6400749158001</v>
      </c>
      <c r="Q51" s="482">
        <v>6982.3443004991004</v>
      </c>
      <c r="R51" s="482">
        <v>6659.6100666917991</v>
      </c>
      <c r="S51" s="482">
        <v>7057.7798564473005</v>
      </c>
      <c r="T51" s="482">
        <v>6655.3779729673997</v>
      </c>
      <c r="U51" s="482">
        <v>6496.7036407717997</v>
      </c>
      <c r="V51" s="482">
        <v>6221.9777633193999</v>
      </c>
      <c r="W51" s="482">
        <v>6708.2834236976996</v>
      </c>
      <c r="X51" s="482">
        <v>6819.9607275274993</v>
      </c>
      <c r="Y51" s="482">
        <v>6964.8817577997006</v>
      </c>
      <c r="Z51" s="470"/>
      <c r="AA51" s="481" t="str">
        <f t="shared" si="7"/>
        <v>Operational closing balance</v>
      </c>
      <c r="AB51" s="482">
        <v>6388</v>
      </c>
      <c r="AC51" s="482">
        <v>6871.6549844892997</v>
      </c>
      <c r="AD51" s="482">
        <v>6572</v>
      </c>
      <c r="AE51" s="483">
        <v>6626.8511765860994</v>
      </c>
      <c r="AF51" s="484">
        <v>6620.6400749158001</v>
      </c>
      <c r="AG51" s="482">
        <v>6982.3443004991004</v>
      </c>
      <c r="AH51" s="482">
        <v>6659.6100666917991</v>
      </c>
      <c r="AI51" s="482">
        <v>7057.7798564473005</v>
      </c>
      <c r="AJ51" s="482">
        <v>6655.3779729673997</v>
      </c>
      <c r="AK51" s="482">
        <v>6496.7036407717997</v>
      </c>
      <c r="AL51" s="482">
        <v>6221.9777633193999</v>
      </c>
      <c r="AM51" s="482">
        <v>6708.2834236976996</v>
      </c>
      <c r="AN51" s="482">
        <v>6819.9607275274993</v>
      </c>
      <c r="AO51" s="482">
        <v>6964.8817577997006</v>
      </c>
    </row>
    <row r="52" spans="1:41" ht="13">
      <c r="A52" s="470" t="s">
        <v>554</v>
      </c>
      <c r="B52" s="502">
        <v>30.5</v>
      </c>
      <c r="C52" s="472">
        <v>0</v>
      </c>
      <c r="D52" s="472">
        <v>0</v>
      </c>
      <c r="E52" s="470"/>
      <c r="F52" s="470" t="s">
        <v>554</v>
      </c>
      <c r="G52" s="487">
        <v>0.13092700328201098</v>
      </c>
      <c r="H52" s="472">
        <v>0</v>
      </c>
      <c r="I52" s="472">
        <v>0</v>
      </c>
      <c r="J52" s="472"/>
      <c r="K52" s="470" t="str">
        <f t="shared" si="6"/>
        <v>Adjustment OOH</v>
      </c>
      <c r="L52" s="502">
        <v>30.5</v>
      </c>
      <c r="M52" s="502">
        <v>0</v>
      </c>
      <c r="N52" s="502">
        <v>0</v>
      </c>
      <c r="O52" s="503">
        <v>0</v>
      </c>
      <c r="P52" s="502">
        <v>0</v>
      </c>
      <c r="Q52" s="502">
        <v>0</v>
      </c>
      <c r="R52" s="502">
        <v>0</v>
      </c>
      <c r="S52" s="502">
        <v>0</v>
      </c>
      <c r="T52" s="502">
        <v>0</v>
      </c>
      <c r="U52" s="502">
        <v>0</v>
      </c>
      <c r="V52" s="502">
        <v>0</v>
      </c>
      <c r="W52" s="502">
        <v>0</v>
      </c>
      <c r="X52" s="472">
        <v>0</v>
      </c>
      <c r="Y52" s="472">
        <v>0</v>
      </c>
      <c r="Z52" s="470"/>
      <c r="AA52" s="470" t="str">
        <f t="shared" si="7"/>
        <v>Adjustment OOH</v>
      </c>
      <c r="AB52" s="472">
        <v>0.59272717295785071</v>
      </c>
      <c r="AC52" s="472">
        <v>0</v>
      </c>
      <c r="AD52" s="472">
        <v>0</v>
      </c>
      <c r="AE52" s="487">
        <v>0</v>
      </c>
      <c r="AF52" s="491">
        <v>0</v>
      </c>
      <c r="AG52" s="472">
        <v>0</v>
      </c>
      <c r="AH52" s="472">
        <v>0</v>
      </c>
      <c r="AI52" s="472">
        <v>0</v>
      </c>
      <c r="AJ52" s="472">
        <v>0</v>
      </c>
      <c r="AK52" s="472">
        <v>0</v>
      </c>
      <c r="AL52" s="472">
        <v>0</v>
      </c>
      <c r="AM52" s="472">
        <v>0</v>
      </c>
      <c r="AN52" s="472">
        <v>0</v>
      </c>
      <c r="AO52" s="472">
        <v>0</v>
      </c>
    </row>
    <row r="53" spans="1:41" ht="13">
      <c r="A53" s="496" t="s">
        <v>560</v>
      </c>
      <c r="B53" s="497">
        <v>26490</v>
      </c>
      <c r="C53" s="497">
        <v>27321.374298554001</v>
      </c>
      <c r="D53" s="497">
        <v>26082.442800756296</v>
      </c>
      <c r="E53" s="470"/>
      <c r="F53" s="496" t="s">
        <v>560</v>
      </c>
      <c r="G53" s="498">
        <v>26489.516025020599</v>
      </c>
      <c r="H53" s="497">
        <v>27321.374298554001</v>
      </c>
      <c r="I53" s="497">
        <v>26082.442800756296</v>
      </c>
      <c r="J53" s="472"/>
      <c r="K53" s="496" t="str">
        <f t="shared" si="6"/>
        <v>Reported closing balance</v>
      </c>
      <c r="L53" s="497">
        <v>6419.2975647377998</v>
      </c>
      <c r="M53" s="497">
        <v>6871.6558525118999</v>
      </c>
      <c r="N53" s="497">
        <v>6572</v>
      </c>
      <c r="O53" s="498">
        <v>6626.8511765861003</v>
      </c>
      <c r="P53" s="497">
        <v>6620.6400749158001</v>
      </c>
      <c r="Q53" s="497">
        <v>6982.3443004990995</v>
      </c>
      <c r="R53" s="497">
        <v>6659.6100666918001</v>
      </c>
      <c r="S53" s="497">
        <v>7057.7798564472996</v>
      </c>
      <c r="T53" s="497">
        <v>6655.3779729673997</v>
      </c>
      <c r="U53" s="497">
        <v>6496.7036407718006</v>
      </c>
      <c r="V53" s="497">
        <v>6221.9777633193999</v>
      </c>
      <c r="W53" s="497">
        <v>6708.3834236977</v>
      </c>
      <c r="X53" s="497">
        <v>6819.9607275274993</v>
      </c>
      <c r="Y53" s="497">
        <v>6964.8817577996997</v>
      </c>
      <c r="Z53" s="470"/>
      <c r="AA53" s="496" t="str">
        <f t="shared" si="7"/>
        <v>Reported closing balance</v>
      </c>
      <c r="AB53" s="497">
        <v>6419.2975647377998</v>
      </c>
      <c r="AC53" s="497">
        <v>6871.6558525118999</v>
      </c>
      <c r="AD53" s="497">
        <v>6572</v>
      </c>
      <c r="AE53" s="498">
        <v>6626.8511765861003</v>
      </c>
      <c r="AF53" s="499">
        <v>6620.6400749158001</v>
      </c>
      <c r="AG53" s="497">
        <v>6982.3443004990995</v>
      </c>
      <c r="AH53" s="497">
        <v>6659.6100666918001</v>
      </c>
      <c r="AI53" s="497">
        <v>7057.7798564472996</v>
      </c>
      <c r="AJ53" s="497">
        <v>6655.3779729673997</v>
      </c>
      <c r="AK53" s="497">
        <v>6496.7036407718006</v>
      </c>
      <c r="AL53" s="497">
        <v>6221.9777633193999</v>
      </c>
      <c r="AM53" s="497">
        <v>6708.3834236977</v>
      </c>
      <c r="AN53" s="497">
        <v>6819.9607275274993</v>
      </c>
      <c r="AO53" s="497">
        <v>6964.8817577996997</v>
      </c>
    </row>
    <row r="54" spans="1:41" ht="13">
      <c r="A54" s="470"/>
      <c r="B54" s="470"/>
      <c r="C54" s="470"/>
      <c r="D54" s="470"/>
      <c r="E54" s="470"/>
      <c r="F54" s="470"/>
      <c r="G54" s="500"/>
      <c r="H54" s="470"/>
      <c r="I54" s="470"/>
      <c r="J54" s="472"/>
      <c r="K54" s="470"/>
      <c r="L54" s="470"/>
      <c r="M54" s="470"/>
      <c r="N54" s="470"/>
      <c r="O54" s="500"/>
      <c r="P54" s="470"/>
      <c r="Q54" s="470"/>
      <c r="R54" s="470"/>
      <c r="S54" s="470"/>
      <c r="T54" s="470"/>
      <c r="U54" s="470"/>
      <c r="V54" s="470"/>
      <c r="W54" s="470"/>
      <c r="X54" s="470"/>
      <c r="Y54" s="470"/>
      <c r="Z54" s="470"/>
      <c r="AA54" s="470"/>
      <c r="AB54" s="470"/>
      <c r="AC54" s="470"/>
      <c r="AD54" s="470"/>
      <c r="AE54" s="470"/>
      <c r="AF54" s="470"/>
      <c r="AG54" s="470"/>
      <c r="AH54" s="470"/>
      <c r="AI54" s="470"/>
      <c r="AJ54" s="470"/>
      <c r="AK54" s="470"/>
    </row>
    <row r="55" spans="1:41" ht="13">
      <c r="A55" s="476" t="s">
        <v>474</v>
      </c>
      <c r="B55" s="476"/>
      <c r="C55" s="476"/>
      <c r="D55" s="476"/>
      <c r="E55" s="470"/>
      <c r="F55" s="476" t="s">
        <v>474</v>
      </c>
      <c r="G55" s="477"/>
      <c r="H55" s="476"/>
      <c r="I55" s="476"/>
      <c r="J55" s="472"/>
      <c r="K55" s="476" t="str">
        <f t="shared" ref="K55:K66" si="8">A55</f>
        <v>Orders received</v>
      </c>
      <c r="L55" s="476"/>
      <c r="M55" s="476"/>
      <c r="N55" s="476"/>
      <c r="O55" s="477"/>
      <c r="P55" s="476"/>
      <c r="Q55" s="476"/>
      <c r="R55" s="476"/>
      <c r="S55" s="476"/>
      <c r="T55" s="476"/>
      <c r="U55" s="476"/>
      <c r="V55" s="476"/>
      <c r="W55" s="476"/>
      <c r="X55" s="476"/>
      <c r="Y55" s="476"/>
      <c r="Z55" s="470"/>
      <c r="AA55" s="476" t="str">
        <f t="shared" ref="AA55:AA66" si="9">F55</f>
        <v>Orders received</v>
      </c>
      <c r="AB55" s="476"/>
      <c r="AC55" s="476"/>
      <c r="AD55" s="476"/>
      <c r="AE55" s="477"/>
      <c r="AF55" s="478"/>
      <c r="AG55" s="476"/>
      <c r="AH55" s="476"/>
      <c r="AI55" s="476"/>
      <c r="AJ55" s="476"/>
      <c r="AK55" s="476"/>
      <c r="AL55" s="476"/>
      <c r="AM55" s="476"/>
      <c r="AN55" s="476"/>
      <c r="AO55" s="476"/>
    </row>
    <row r="56" spans="1:41" ht="13">
      <c r="A56" s="315" t="s">
        <v>296</v>
      </c>
      <c r="B56" s="315">
        <v>2023</v>
      </c>
      <c r="C56" s="315">
        <v>2024</v>
      </c>
      <c r="D56" s="315">
        <v>2025</v>
      </c>
      <c r="E56" s="470"/>
      <c r="F56" s="315" t="s">
        <v>296</v>
      </c>
      <c r="G56" s="479">
        <v>2023</v>
      </c>
      <c r="H56" s="315">
        <v>2024</v>
      </c>
      <c r="I56" s="315">
        <v>2025</v>
      </c>
      <c r="J56" s="472"/>
      <c r="K56" s="315" t="str">
        <f t="shared" si="8"/>
        <v>Tools &amp; Attachments</v>
      </c>
      <c r="L56" s="315" t="s">
        <v>148</v>
      </c>
      <c r="M56" s="315" t="s">
        <v>149</v>
      </c>
      <c r="N56" s="315" t="s">
        <v>150</v>
      </c>
      <c r="O56" s="479" t="s">
        <v>151</v>
      </c>
      <c r="P56" s="315" t="s">
        <v>152</v>
      </c>
      <c r="Q56" s="315" t="s">
        <v>153</v>
      </c>
      <c r="R56" s="315" t="s">
        <v>154</v>
      </c>
      <c r="S56" s="315" t="s">
        <v>155</v>
      </c>
      <c r="T56" s="315" t="s">
        <v>156</v>
      </c>
      <c r="U56" s="315" t="s">
        <v>157</v>
      </c>
      <c r="V56" s="315" t="s">
        <v>158</v>
      </c>
      <c r="W56" s="315" t="s">
        <v>820</v>
      </c>
      <c r="X56" s="315" t="s">
        <v>1275</v>
      </c>
      <c r="Y56" s="315" t="s">
        <v>1344</v>
      </c>
      <c r="Z56" s="470"/>
      <c r="AA56" s="315" t="str">
        <f t="shared" si="9"/>
        <v>Tools &amp; Attachments</v>
      </c>
      <c r="AB56" s="315" t="s">
        <v>148</v>
      </c>
      <c r="AC56" s="315" t="s">
        <v>149</v>
      </c>
      <c r="AD56" s="315" t="s">
        <v>150</v>
      </c>
      <c r="AE56" s="479" t="s">
        <v>151</v>
      </c>
      <c r="AF56" s="480" t="s">
        <v>152</v>
      </c>
      <c r="AG56" s="315" t="s">
        <v>153</v>
      </c>
      <c r="AH56" s="315" t="s">
        <v>154</v>
      </c>
      <c r="AI56" s="315" t="s">
        <v>155</v>
      </c>
      <c r="AJ56" s="315" t="s">
        <v>156</v>
      </c>
      <c r="AK56" s="315" t="s">
        <v>157</v>
      </c>
      <c r="AL56" s="315" t="s">
        <v>158</v>
      </c>
      <c r="AM56" s="315" t="s">
        <v>820</v>
      </c>
      <c r="AN56" s="315" t="s">
        <v>1275</v>
      </c>
      <c r="AO56" s="315" t="s">
        <v>1344</v>
      </c>
    </row>
    <row r="57" spans="1:41" ht="13">
      <c r="A57" s="481" t="s">
        <v>553</v>
      </c>
      <c r="B57" s="482">
        <v>10669.778208436001</v>
      </c>
      <c r="C57" s="482">
        <v>12466.4219784784</v>
      </c>
      <c r="D57" s="482">
        <v>14662.7906070958</v>
      </c>
      <c r="E57" s="470"/>
      <c r="F57" s="481" t="s">
        <v>553</v>
      </c>
      <c r="G57" s="483">
        <v>10669.778208436001</v>
      </c>
      <c r="H57" s="482">
        <v>12466.4219784784</v>
      </c>
      <c r="I57" s="482">
        <v>14662.7906070958</v>
      </c>
      <c r="J57" s="472"/>
      <c r="K57" s="481" t="str">
        <f t="shared" si="8"/>
        <v>Reported opening balance</v>
      </c>
      <c r="L57" s="482">
        <v>2969.734969355</v>
      </c>
      <c r="M57" s="482">
        <v>2495.4654074903001</v>
      </c>
      <c r="N57" s="482">
        <v>2501.9835914729001</v>
      </c>
      <c r="O57" s="483">
        <v>2702.5942401177999</v>
      </c>
      <c r="P57" s="482">
        <v>3534.8958989035</v>
      </c>
      <c r="Q57" s="482">
        <v>3179.7004841978001</v>
      </c>
      <c r="R57" s="482">
        <v>2925.2664529244998</v>
      </c>
      <c r="S57" s="482">
        <v>2826.5591424526001</v>
      </c>
      <c r="T57" s="482">
        <v>3121.6294955535</v>
      </c>
      <c r="U57" s="482">
        <v>3946.5945244221002</v>
      </c>
      <c r="V57" s="482">
        <v>3655.8140737458002</v>
      </c>
      <c r="W57" s="482">
        <v>3937.7525133744002</v>
      </c>
      <c r="X57" s="482">
        <v>4187.0443860788</v>
      </c>
      <c r="Y57" s="482">
        <v>3743.1885320718002</v>
      </c>
      <c r="Z57" s="470"/>
      <c r="AA57" s="481" t="str">
        <f t="shared" si="9"/>
        <v>Reported opening balance</v>
      </c>
      <c r="AB57" s="482">
        <v>2969.734969355</v>
      </c>
      <c r="AC57" s="482">
        <v>2495.4654074903001</v>
      </c>
      <c r="AD57" s="482">
        <v>2501.9835914729001</v>
      </c>
      <c r="AE57" s="483">
        <v>2702.5942401177999</v>
      </c>
      <c r="AF57" s="484">
        <v>3534.8958989035</v>
      </c>
      <c r="AG57" s="482">
        <v>3179.7004841978001</v>
      </c>
      <c r="AH57" s="482">
        <v>2925.2664529244998</v>
      </c>
      <c r="AI57" s="482">
        <v>2826.5591424526001</v>
      </c>
      <c r="AJ57" s="482">
        <v>3121.6294955535</v>
      </c>
      <c r="AK57" s="482">
        <v>3946.5945244221002</v>
      </c>
      <c r="AL57" s="482">
        <v>3655.8140737458002</v>
      </c>
      <c r="AM57" s="482">
        <v>3937.7525133744002</v>
      </c>
      <c r="AN57" s="482">
        <v>4187.0443860788</v>
      </c>
      <c r="AO57" s="482">
        <v>3743.1885320718002</v>
      </c>
    </row>
    <row r="58" spans="1:41" ht="13">
      <c r="A58" s="470" t="s">
        <v>554</v>
      </c>
      <c r="B58" s="485">
        <v>-26.4</v>
      </c>
      <c r="C58" s="485">
        <v>-402</v>
      </c>
      <c r="D58" s="485">
        <v>0</v>
      </c>
      <c r="E58" s="470"/>
      <c r="F58" s="470" t="s">
        <v>554</v>
      </c>
      <c r="G58" s="487">
        <v>-0.2474278235617586</v>
      </c>
      <c r="H58" s="485">
        <v>-3.2246622221997532</v>
      </c>
      <c r="I58" s="485">
        <v>0</v>
      </c>
      <c r="J58" s="472"/>
      <c r="K58" s="470" t="str">
        <f t="shared" si="8"/>
        <v>Adjustment OOH</v>
      </c>
      <c r="L58" s="485">
        <v>0</v>
      </c>
      <c r="M58" s="485">
        <v>0</v>
      </c>
      <c r="N58" s="485">
        <v>0</v>
      </c>
      <c r="O58" s="488">
        <v>-26.4</v>
      </c>
      <c r="P58" s="485">
        <v>-402</v>
      </c>
      <c r="Q58" s="485">
        <v>0</v>
      </c>
      <c r="R58" s="485">
        <v>0</v>
      </c>
      <c r="S58" s="485">
        <v>0</v>
      </c>
      <c r="T58" s="485">
        <v>0</v>
      </c>
      <c r="U58" s="485">
        <v>0</v>
      </c>
      <c r="V58" s="485">
        <v>0</v>
      </c>
      <c r="W58" s="485">
        <v>0</v>
      </c>
      <c r="X58" s="485">
        <v>0</v>
      </c>
      <c r="Y58" s="485">
        <v>0</v>
      </c>
      <c r="Z58" s="470"/>
      <c r="AA58" s="470" t="str">
        <f t="shared" si="9"/>
        <v>Adjustment OOH</v>
      </c>
      <c r="AB58" s="485">
        <v>0</v>
      </c>
      <c r="AC58" s="485">
        <v>0</v>
      </c>
      <c r="AD58" s="485">
        <v>0</v>
      </c>
      <c r="AE58" s="488">
        <v>-0.97683920168679417</v>
      </c>
      <c r="AF58" s="501">
        <v>-11.372329242416944</v>
      </c>
      <c r="AG58" s="485">
        <v>0</v>
      </c>
      <c r="AH58" s="485">
        <v>0</v>
      </c>
      <c r="AI58" s="485">
        <v>0</v>
      </c>
      <c r="AJ58" s="485">
        <v>0</v>
      </c>
      <c r="AK58" s="485">
        <v>0</v>
      </c>
      <c r="AL58" s="485">
        <v>0</v>
      </c>
      <c r="AM58" s="485">
        <v>0</v>
      </c>
      <c r="AN58" s="485">
        <v>0</v>
      </c>
      <c r="AO58" s="485">
        <v>0</v>
      </c>
    </row>
    <row r="59" spans="1:41" ht="13">
      <c r="A59" s="481" t="s">
        <v>555</v>
      </c>
      <c r="B59" s="482">
        <v>10644</v>
      </c>
      <c r="C59" s="482">
        <v>12064.4219784784</v>
      </c>
      <c r="D59" s="482">
        <v>14662.7906070958</v>
      </c>
      <c r="E59" s="470"/>
      <c r="F59" s="481" t="s">
        <v>555</v>
      </c>
      <c r="G59" s="483">
        <v>10644</v>
      </c>
      <c r="H59" s="482">
        <v>12064.4219784784</v>
      </c>
      <c r="I59" s="482">
        <v>14662.7906070958</v>
      </c>
      <c r="J59" s="472"/>
      <c r="K59" s="481" t="str">
        <f t="shared" si="8"/>
        <v>Adjusted opening balance</v>
      </c>
      <c r="L59" s="482">
        <v>2969.734969355</v>
      </c>
      <c r="M59" s="482">
        <v>2495.4654074903001</v>
      </c>
      <c r="N59" s="482">
        <v>2501.9835914729001</v>
      </c>
      <c r="O59" s="483">
        <v>2676.1942401177998</v>
      </c>
      <c r="P59" s="482">
        <v>3132.8958989035</v>
      </c>
      <c r="Q59" s="482">
        <v>3179.7004841978001</v>
      </c>
      <c r="R59" s="482">
        <v>2925.2664529244998</v>
      </c>
      <c r="S59" s="482">
        <v>2826.5591424526001</v>
      </c>
      <c r="T59" s="482">
        <v>3121.6294955535</v>
      </c>
      <c r="U59" s="482">
        <v>3946.5945244221002</v>
      </c>
      <c r="V59" s="482">
        <v>3655.8140737458002</v>
      </c>
      <c r="W59" s="482">
        <v>3937.7525133744002</v>
      </c>
      <c r="X59" s="482">
        <v>4187.0443860788</v>
      </c>
      <c r="Y59" s="482">
        <v>3743.1885320718002</v>
      </c>
      <c r="Z59" s="470"/>
      <c r="AA59" s="481" t="str">
        <f t="shared" si="9"/>
        <v>Adjusted opening balance</v>
      </c>
      <c r="AB59" s="482">
        <v>2969.734969355</v>
      </c>
      <c r="AC59" s="482">
        <v>2495.4654074903001</v>
      </c>
      <c r="AD59" s="482">
        <v>2501.9835914729001</v>
      </c>
      <c r="AE59" s="483">
        <v>2676.1942401177998</v>
      </c>
      <c r="AF59" s="484">
        <v>3132.8958989035</v>
      </c>
      <c r="AG59" s="482">
        <v>3179.7004841978001</v>
      </c>
      <c r="AH59" s="482">
        <v>2925.2664529244998</v>
      </c>
      <c r="AI59" s="482">
        <v>2826.5591424526001</v>
      </c>
      <c r="AJ59" s="482">
        <v>3121.6294955535</v>
      </c>
      <c r="AK59" s="482">
        <v>3946.5945244221002</v>
      </c>
      <c r="AL59" s="482">
        <v>3655.8140737458002</v>
      </c>
      <c r="AM59" s="482">
        <v>3937.7525133744002</v>
      </c>
      <c r="AN59" s="482">
        <v>4187.0443860788</v>
      </c>
      <c r="AO59" s="482">
        <v>3743.1885320718002</v>
      </c>
    </row>
    <row r="60" spans="1:41" ht="13">
      <c r="A60" s="470" t="s">
        <v>556</v>
      </c>
      <c r="B60" s="472">
        <v>-465</v>
      </c>
      <c r="C60" s="472">
        <v>-152.88999841050003</v>
      </c>
      <c r="D60" s="472">
        <v>544.41348317660004</v>
      </c>
      <c r="E60" s="470"/>
      <c r="F60" s="470" t="s">
        <v>556</v>
      </c>
      <c r="G60" s="487">
        <v>-5</v>
      </c>
      <c r="H60" s="472">
        <v>-1</v>
      </c>
      <c r="I60" s="472">
        <v>3</v>
      </c>
      <c r="J60" s="472"/>
      <c r="K60" s="470" t="str">
        <f t="shared" si="8"/>
        <v>Organic</v>
      </c>
      <c r="L60" s="472">
        <v>-298.73529315010001</v>
      </c>
      <c r="M60" s="472">
        <v>-24.189693546200001</v>
      </c>
      <c r="N60" s="472">
        <v>27.626811909200001</v>
      </c>
      <c r="O60" s="487">
        <v>-169.06628040960001</v>
      </c>
      <c r="P60" s="472">
        <v>-44</v>
      </c>
      <c r="Q60" s="472">
        <v>-210.8173234267</v>
      </c>
      <c r="R60" s="472">
        <v>19.9856528758</v>
      </c>
      <c r="S60" s="472">
        <v>81.941672140400001</v>
      </c>
      <c r="T60" s="472">
        <v>51.424753590599998</v>
      </c>
      <c r="U60" s="472">
        <v>66.444471934700005</v>
      </c>
      <c r="V60" s="472">
        <v>277.50901920680002</v>
      </c>
      <c r="W60" s="472">
        <v>149.03523844450001</v>
      </c>
      <c r="X60" s="472">
        <v>393.14027396469999</v>
      </c>
      <c r="Y60" s="472">
        <v>169.87622577459999</v>
      </c>
      <c r="Z60" s="470"/>
      <c r="AA60" s="470" t="str">
        <f t="shared" si="9"/>
        <v>Organic</v>
      </c>
      <c r="AB60" s="472">
        <v>-11</v>
      </c>
      <c r="AC60" s="472">
        <v>-1</v>
      </c>
      <c r="AD60" s="472">
        <v>2</v>
      </c>
      <c r="AE60" s="487">
        <v>-6</v>
      </c>
      <c r="AF60" s="491">
        <v>-1</v>
      </c>
      <c r="AG60" s="472">
        <v>-6</v>
      </c>
      <c r="AH60" s="472">
        <v>0</v>
      </c>
      <c r="AI60" s="472">
        <v>3</v>
      </c>
      <c r="AJ60" s="472">
        <v>2</v>
      </c>
      <c r="AK60" s="472">
        <v>2</v>
      </c>
      <c r="AL60" s="472">
        <v>8</v>
      </c>
      <c r="AM60" s="472">
        <v>4</v>
      </c>
      <c r="AN60" s="472">
        <v>9</v>
      </c>
      <c r="AO60" s="472">
        <v>4</v>
      </c>
    </row>
    <row r="61" spans="1:41" ht="13">
      <c r="A61" s="470" t="s">
        <v>557</v>
      </c>
      <c r="B61" s="472">
        <v>200.86015664820002</v>
      </c>
      <c r="C61" s="472">
        <v>-154.29113457570003</v>
      </c>
      <c r="D61" s="472">
        <v>-1088.1441175429002</v>
      </c>
      <c r="E61" s="470"/>
      <c r="F61" s="470" t="s">
        <v>557</v>
      </c>
      <c r="G61" s="487">
        <v>1.8871842446507932</v>
      </c>
      <c r="H61" s="472">
        <v>-1.2788937161758633</v>
      </c>
      <c r="I61" s="472">
        <v>-7.4183976753818301</v>
      </c>
      <c r="J61" s="472"/>
      <c r="K61" s="470" t="str">
        <f t="shared" si="8"/>
        <v>Currency</v>
      </c>
      <c r="L61" s="472">
        <v>147.35628092650001</v>
      </c>
      <c r="M61" s="472">
        <v>73.725467431200002</v>
      </c>
      <c r="N61" s="472">
        <v>12.2540291576</v>
      </c>
      <c r="O61" s="487">
        <v>-32.475620867099998</v>
      </c>
      <c r="P61" s="472">
        <v>-71.8112128466</v>
      </c>
      <c r="Q61" s="472">
        <v>-19.604066237400001</v>
      </c>
      <c r="R61" s="472">
        <v>-100.0442975304</v>
      </c>
      <c r="S61" s="472">
        <v>37.1684420387</v>
      </c>
      <c r="T61" s="472">
        <v>-4.9308608699999999E-2</v>
      </c>
      <c r="U61" s="472">
        <v>-351.43726981600003</v>
      </c>
      <c r="V61" s="472">
        <v>-295.46691140180002</v>
      </c>
      <c r="W61" s="472">
        <v>-441.1906277164</v>
      </c>
      <c r="X61" s="472">
        <v>-481.43252928480001</v>
      </c>
      <c r="Y61" s="472">
        <v>-48.561269877500003</v>
      </c>
      <c r="Z61" s="470"/>
      <c r="AA61" s="470" t="str">
        <f t="shared" si="9"/>
        <v>Currency</v>
      </c>
      <c r="AB61" s="472">
        <v>4.9619337229444582</v>
      </c>
      <c r="AC61" s="472">
        <v>2.9543774564018506</v>
      </c>
      <c r="AD61" s="472">
        <v>0.48977256283228221</v>
      </c>
      <c r="AE61" s="487">
        <v>-1.2135001406202299</v>
      </c>
      <c r="AF61" s="491">
        <v>-2.2921672204854819</v>
      </c>
      <c r="AG61" s="472">
        <v>-0.61653814045777555</v>
      </c>
      <c r="AH61" s="472">
        <v>-3.4200063187536962</v>
      </c>
      <c r="AI61" s="472">
        <v>1.3149713190309902</v>
      </c>
      <c r="AJ61" s="472">
        <v>-1.5795791515372335E-3</v>
      </c>
      <c r="AK61" s="472">
        <v>-8.8946880061716591</v>
      </c>
      <c r="AL61" s="472">
        <v>-8.0821099060724482</v>
      </c>
      <c r="AM61" s="472">
        <v>-11.204122814166602</v>
      </c>
      <c r="AN61" s="472">
        <v>-11.498147258373475</v>
      </c>
      <c r="AO61" s="472">
        <v>-1.2973236443055154</v>
      </c>
    </row>
    <row r="62" spans="1:41" ht="13">
      <c r="A62" s="492" t="s">
        <v>558</v>
      </c>
      <c r="B62" s="493">
        <v>1684.0480685910002</v>
      </c>
      <c r="C62" s="493">
        <v>2906.0961205689</v>
      </c>
      <c r="D62" s="493">
        <v>1133.0680627344002</v>
      </c>
      <c r="E62" s="470"/>
      <c r="F62" s="492" t="s">
        <v>558</v>
      </c>
      <c r="G62" s="494">
        <v>15.822495786687488</v>
      </c>
      <c r="H62" s="493">
        <v>24.088150478763552</v>
      </c>
      <c r="I62" s="493">
        <v>7.7261422678038416</v>
      </c>
      <c r="J62" s="472"/>
      <c r="K62" s="492" t="str">
        <f t="shared" si="8"/>
        <v>Structure</v>
      </c>
      <c r="L62" s="493">
        <v>314.5399417722</v>
      </c>
      <c r="M62" s="493">
        <v>635.19930282220002</v>
      </c>
      <c r="N62" s="493">
        <v>382.40202038500001</v>
      </c>
      <c r="O62" s="494">
        <v>351.90680361159997</v>
      </c>
      <c r="P62" s="493">
        <v>105.09116846220002</v>
      </c>
      <c r="Q62" s="493">
        <v>997.31542988829995</v>
      </c>
      <c r="R62" s="493">
        <v>811.60626547590005</v>
      </c>
      <c r="S62" s="493">
        <v>992.0832567425</v>
      </c>
      <c r="T62" s="493">
        <v>1014.0394455435001</v>
      </c>
      <c r="U62" s="493">
        <v>81.4868055309</v>
      </c>
      <c r="V62" s="493">
        <v>38.485565435399998</v>
      </c>
      <c r="W62" s="493">
        <v>-0.94375377540000005</v>
      </c>
      <c r="X62" s="493">
        <v>0</v>
      </c>
      <c r="Y62" s="493">
        <v>2.0000000000000001E-9</v>
      </c>
      <c r="Z62" s="470"/>
      <c r="AA62" s="492" t="str">
        <f t="shared" si="9"/>
        <v>Structure</v>
      </c>
      <c r="AB62" s="493">
        <v>10.591515573543429</v>
      </c>
      <c r="AC62" s="493">
        <v>25.454141777145395</v>
      </c>
      <c r="AD62" s="493">
        <v>15.283953967095471</v>
      </c>
      <c r="AE62" s="494">
        <v>13.149523989563248</v>
      </c>
      <c r="AF62" s="495">
        <v>3.3544417642150659</v>
      </c>
      <c r="AG62" s="493">
        <v>31.365074630288976</v>
      </c>
      <c r="AH62" s="493">
        <v>27.744695347820585</v>
      </c>
      <c r="AI62" s="493">
        <v>35.098620150635561</v>
      </c>
      <c r="AJ62" s="493">
        <v>32.484298568677495</v>
      </c>
      <c r="AK62" s="493">
        <v>2.0596695461843226</v>
      </c>
      <c r="AL62" s="493">
        <v>1.0527221751178153</v>
      </c>
      <c r="AM62" s="493">
        <v>-2.3966812850593901E-2</v>
      </c>
      <c r="AN62" s="493">
        <v>0</v>
      </c>
      <c r="AO62" s="493">
        <v>5.3430383825551776E-11</v>
      </c>
    </row>
    <row r="63" spans="1:41" ht="13">
      <c r="A63" s="470" t="s">
        <v>471</v>
      </c>
      <c r="B63" s="472">
        <v>1420</v>
      </c>
      <c r="C63" s="472">
        <v>2598.3686286173001</v>
      </c>
      <c r="D63" s="472">
        <v>589.33742836810006</v>
      </c>
      <c r="E63" s="470"/>
      <c r="F63" s="470" t="s">
        <v>471</v>
      </c>
      <c r="G63" s="487">
        <v>13</v>
      </c>
      <c r="H63" s="472">
        <v>22</v>
      </c>
      <c r="I63" s="472">
        <v>4</v>
      </c>
      <c r="J63" s="472"/>
      <c r="K63" s="470" t="str">
        <f t="shared" si="8"/>
        <v>Total</v>
      </c>
      <c r="L63" s="472">
        <v>163.1609295486</v>
      </c>
      <c r="M63" s="472">
        <v>684.73507670720005</v>
      </c>
      <c r="N63" s="472">
        <v>422.28286145180004</v>
      </c>
      <c r="O63" s="487">
        <v>150.76490233489997</v>
      </c>
      <c r="P63" s="472">
        <v>-11.266403349799987</v>
      </c>
      <c r="Q63" s="472">
        <v>766.8940402241999</v>
      </c>
      <c r="R63" s="472">
        <v>731.54762082130003</v>
      </c>
      <c r="S63" s="472">
        <v>1111.1933709216</v>
      </c>
      <c r="T63" s="472">
        <v>1065.4148905254001</v>
      </c>
      <c r="U63" s="472">
        <v>-203.50599235039999</v>
      </c>
      <c r="V63" s="472">
        <v>20.527673240399999</v>
      </c>
      <c r="W63" s="472">
        <v>-293.0991430473</v>
      </c>
      <c r="X63" s="472">
        <v>-88.292255320100026</v>
      </c>
      <c r="Y63" s="472">
        <v>121.31495589909999</v>
      </c>
      <c r="Z63" s="470"/>
      <c r="AA63" s="470" t="str">
        <f t="shared" si="9"/>
        <v>Total</v>
      </c>
      <c r="AB63" s="472">
        <v>5</v>
      </c>
      <c r="AC63" s="472">
        <v>27</v>
      </c>
      <c r="AD63" s="472">
        <v>17</v>
      </c>
      <c r="AE63" s="487">
        <v>6</v>
      </c>
      <c r="AF63" s="491">
        <v>0</v>
      </c>
      <c r="AG63" s="472">
        <v>24</v>
      </c>
      <c r="AH63" s="472">
        <v>25</v>
      </c>
      <c r="AI63" s="472">
        <v>39</v>
      </c>
      <c r="AJ63" s="472">
        <v>34</v>
      </c>
      <c r="AK63" s="472">
        <v>-5</v>
      </c>
      <c r="AL63" s="472">
        <v>1</v>
      </c>
      <c r="AM63" s="472">
        <v>-7</v>
      </c>
      <c r="AN63" s="472">
        <v>-2</v>
      </c>
      <c r="AO63" s="472">
        <v>3</v>
      </c>
    </row>
    <row r="64" spans="1:41" ht="13">
      <c r="A64" s="481" t="s">
        <v>559</v>
      </c>
      <c r="B64" s="482">
        <v>12064.3219784785</v>
      </c>
      <c r="C64" s="482">
        <v>14662.7906070957</v>
      </c>
      <c r="D64" s="482">
        <v>15252.228035463901</v>
      </c>
      <c r="E64" s="470"/>
      <c r="F64" s="481" t="s">
        <v>559</v>
      </c>
      <c r="G64" s="483">
        <v>12064.3219784785</v>
      </c>
      <c r="H64" s="482">
        <v>14662.7906070957</v>
      </c>
      <c r="I64" s="482">
        <v>15252.228035463901</v>
      </c>
      <c r="J64" s="472"/>
      <c r="K64" s="481" t="str">
        <f t="shared" si="8"/>
        <v>Operational closing balance</v>
      </c>
      <c r="L64" s="482">
        <v>3132.8958989036</v>
      </c>
      <c r="M64" s="482">
        <v>3180.2004841975004</v>
      </c>
      <c r="N64" s="482">
        <v>2924.2664529247004</v>
      </c>
      <c r="O64" s="483">
        <v>2826.9591424526998</v>
      </c>
      <c r="P64" s="482">
        <v>3121.6294955537001</v>
      </c>
      <c r="Q64" s="482">
        <v>3946.5945244220002</v>
      </c>
      <c r="R64" s="482">
        <v>3656.8140737457998</v>
      </c>
      <c r="S64" s="482">
        <v>3937.7525133742001</v>
      </c>
      <c r="T64" s="482">
        <v>4187.0443860789001</v>
      </c>
      <c r="U64" s="482">
        <v>3743.1885320717001</v>
      </c>
      <c r="V64" s="482">
        <v>3677.3417469862002</v>
      </c>
      <c r="W64" s="482">
        <v>3644.6533703271002</v>
      </c>
      <c r="X64" s="482">
        <v>4098.7521307587003</v>
      </c>
      <c r="Y64" s="482">
        <v>3864.4034879709002</v>
      </c>
      <c r="Z64" s="470"/>
      <c r="AA64" s="481" t="str">
        <f t="shared" si="9"/>
        <v>Operational closing balance</v>
      </c>
      <c r="AB64" s="482">
        <v>3132.8958989036</v>
      </c>
      <c r="AC64" s="482">
        <v>3180.2004841975004</v>
      </c>
      <c r="AD64" s="482">
        <v>2924.2664529247004</v>
      </c>
      <c r="AE64" s="483">
        <v>2826.9591424526998</v>
      </c>
      <c r="AF64" s="484">
        <v>3121.6294955537001</v>
      </c>
      <c r="AG64" s="482">
        <v>3946.5945244220002</v>
      </c>
      <c r="AH64" s="482">
        <v>3656.8140737457998</v>
      </c>
      <c r="AI64" s="482">
        <v>3937.7525133742001</v>
      </c>
      <c r="AJ64" s="482">
        <v>4187.0443860789001</v>
      </c>
      <c r="AK64" s="482">
        <v>3743.1885320717001</v>
      </c>
      <c r="AL64" s="482">
        <v>3677.3417469862002</v>
      </c>
      <c r="AM64" s="482">
        <v>3644.6533703271002</v>
      </c>
      <c r="AN64" s="482">
        <v>4098.7521307587003</v>
      </c>
      <c r="AO64" s="482">
        <v>3864.4034879709002</v>
      </c>
    </row>
    <row r="65" spans="1:41" ht="13">
      <c r="A65" s="470" t="s">
        <v>554</v>
      </c>
      <c r="B65" s="472">
        <v>402</v>
      </c>
      <c r="C65" s="472">
        <v>0</v>
      </c>
      <c r="D65" s="472">
        <v>0</v>
      </c>
      <c r="E65" s="470"/>
      <c r="F65" s="470" t="s">
        <v>554</v>
      </c>
      <c r="G65" s="487">
        <v>3.7676509496904163</v>
      </c>
      <c r="H65" s="472">
        <v>0</v>
      </c>
      <c r="I65" s="472">
        <v>0</v>
      </c>
      <c r="J65" s="472"/>
      <c r="K65" s="470" t="str">
        <f t="shared" si="8"/>
        <v>Adjustment OOH</v>
      </c>
      <c r="L65" s="472">
        <v>402</v>
      </c>
      <c r="M65" s="472">
        <v>0</v>
      </c>
      <c r="N65" s="472">
        <v>0</v>
      </c>
      <c r="O65" s="487">
        <v>0</v>
      </c>
      <c r="P65" s="472">
        <v>0</v>
      </c>
      <c r="Q65" s="472">
        <v>0</v>
      </c>
      <c r="R65" s="472">
        <v>0</v>
      </c>
      <c r="S65" s="472">
        <v>0</v>
      </c>
      <c r="T65" s="472">
        <v>0</v>
      </c>
      <c r="U65" s="472">
        <v>0</v>
      </c>
      <c r="V65" s="472">
        <v>0</v>
      </c>
      <c r="W65" s="472">
        <v>0</v>
      </c>
      <c r="X65" s="472">
        <v>0</v>
      </c>
      <c r="Y65" s="472">
        <v>0</v>
      </c>
      <c r="Z65" s="470"/>
      <c r="AA65" s="470" t="str">
        <f t="shared" si="9"/>
        <v>Adjustment OOH</v>
      </c>
      <c r="AB65" s="472">
        <v>13.536561482700622</v>
      </c>
      <c r="AC65" s="472">
        <v>0</v>
      </c>
      <c r="AD65" s="472">
        <v>0</v>
      </c>
      <c r="AE65" s="487">
        <v>0</v>
      </c>
      <c r="AF65" s="491">
        <v>0</v>
      </c>
      <c r="AG65" s="472">
        <v>0</v>
      </c>
      <c r="AH65" s="472">
        <v>0</v>
      </c>
      <c r="AI65" s="472">
        <v>0</v>
      </c>
      <c r="AJ65" s="472">
        <v>0</v>
      </c>
      <c r="AK65" s="472">
        <v>0</v>
      </c>
      <c r="AL65" s="472">
        <v>0</v>
      </c>
      <c r="AM65" s="472">
        <v>0</v>
      </c>
      <c r="AN65" s="472">
        <v>0</v>
      </c>
      <c r="AO65" s="472">
        <v>0</v>
      </c>
    </row>
    <row r="66" spans="1:41" ht="13">
      <c r="A66" s="496" t="s">
        <v>560</v>
      </c>
      <c r="B66" s="497">
        <v>12466</v>
      </c>
      <c r="C66" s="497">
        <v>14662.7906070957</v>
      </c>
      <c r="D66" s="497">
        <v>15251.5280354639</v>
      </c>
      <c r="E66" s="470"/>
      <c r="F66" s="496" t="s">
        <v>560</v>
      </c>
      <c r="G66" s="498">
        <v>12466</v>
      </c>
      <c r="H66" s="497">
        <v>14662.7906070957</v>
      </c>
      <c r="I66" s="497">
        <v>15252.4280354639</v>
      </c>
      <c r="J66" s="472"/>
      <c r="K66" s="496" t="str">
        <f t="shared" si="8"/>
        <v>Reported closing balance</v>
      </c>
      <c r="L66" s="497">
        <v>3534.8958989036</v>
      </c>
      <c r="M66" s="497">
        <v>3179.7004841974999</v>
      </c>
      <c r="N66" s="497">
        <v>2924.2664529246999</v>
      </c>
      <c r="O66" s="498">
        <v>2826.5591424527001</v>
      </c>
      <c r="P66" s="497">
        <v>3121.6294955537001</v>
      </c>
      <c r="Q66" s="497">
        <v>3946.5945244220002</v>
      </c>
      <c r="R66" s="497">
        <v>3656.8140737458002</v>
      </c>
      <c r="S66" s="497">
        <v>3937.7525133742001</v>
      </c>
      <c r="T66" s="497">
        <v>4187.0443860789001</v>
      </c>
      <c r="U66" s="497">
        <v>3743.1885320717001</v>
      </c>
      <c r="V66" s="497">
        <v>3676.5417469862</v>
      </c>
      <c r="W66" s="497">
        <v>3644.6533703271002</v>
      </c>
      <c r="X66" s="497">
        <v>4098.7521307587003</v>
      </c>
      <c r="Y66" s="497">
        <v>3864.4034879709002</v>
      </c>
      <c r="Z66" s="470"/>
      <c r="AA66" s="496" t="str">
        <f t="shared" si="9"/>
        <v>Reported closing balance</v>
      </c>
      <c r="AB66" s="497">
        <v>3534.8958989036</v>
      </c>
      <c r="AC66" s="497">
        <v>3179.7004841974999</v>
      </c>
      <c r="AD66" s="497">
        <v>2924.2664529246999</v>
      </c>
      <c r="AE66" s="498">
        <v>2826.5591424527001</v>
      </c>
      <c r="AF66" s="499">
        <v>3121.6294955537001</v>
      </c>
      <c r="AG66" s="497">
        <v>3946.5945244220002</v>
      </c>
      <c r="AH66" s="497">
        <v>3656.8140737458002</v>
      </c>
      <c r="AI66" s="497">
        <v>3937.7525133742001</v>
      </c>
      <c r="AJ66" s="497">
        <v>4187.0443860789001</v>
      </c>
      <c r="AK66" s="497">
        <v>3743.1885320717001</v>
      </c>
      <c r="AL66" s="497">
        <v>3676.5417469862</v>
      </c>
      <c r="AM66" s="497">
        <v>3644.6533703271002</v>
      </c>
      <c r="AN66" s="497">
        <v>4098.7521307587003</v>
      </c>
      <c r="AO66" s="497">
        <v>3864.4034879709002</v>
      </c>
    </row>
    <row r="67" spans="1:41" ht="13">
      <c r="A67" s="470"/>
      <c r="B67" s="470"/>
      <c r="C67" s="470"/>
      <c r="D67" s="470"/>
      <c r="E67" s="470"/>
      <c r="F67" s="470"/>
      <c r="G67" s="500"/>
      <c r="H67" s="470"/>
      <c r="I67" s="470"/>
      <c r="J67" s="472"/>
      <c r="K67" s="470"/>
      <c r="L67" s="470"/>
      <c r="M67" s="470"/>
      <c r="N67" s="470"/>
      <c r="O67" s="500"/>
      <c r="P67" s="470"/>
      <c r="Q67" s="470"/>
      <c r="R67" s="470"/>
      <c r="S67" s="470"/>
      <c r="T67" s="470"/>
      <c r="U67" s="470"/>
      <c r="V67" s="470"/>
      <c r="W67" s="470"/>
      <c r="X67" s="470"/>
      <c r="Y67" s="470"/>
      <c r="Z67" s="470"/>
      <c r="AA67" s="470"/>
      <c r="AB67" s="470"/>
      <c r="AC67" s="470"/>
      <c r="AD67" s="470"/>
      <c r="AE67" s="470"/>
      <c r="AF67" s="470"/>
      <c r="AG67" s="470"/>
      <c r="AH67" s="470"/>
      <c r="AI67" s="470"/>
      <c r="AJ67" s="470"/>
      <c r="AK67" s="470"/>
    </row>
    <row r="68" spans="1:41" ht="13">
      <c r="A68" s="507" t="s">
        <v>502</v>
      </c>
      <c r="B68" s="507"/>
      <c r="C68" s="507"/>
      <c r="D68" s="507"/>
      <c r="E68" s="470"/>
      <c r="F68" s="507" t="s">
        <v>502</v>
      </c>
      <c r="G68" s="508"/>
      <c r="H68" s="507"/>
      <c r="I68" s="507"/>
      <c r="J68" s="472"/>
      <c r="K68" s="507" t="str">
        <f t="shared" ref="K68:K77" si="10">A68</f>
        <v xml:space="preserve">Revenues </v>
      </c>
      <c r="L68" s="507"/>
      <c r="M68" s="507"/>
      <c r="N68" s="507"/>
      <c r="O68" s="508"/>
      <c r="P68" s="507"/>
      <c r="Q68" s="507"/>
      <c r="R68" s="507"/>
      <c r="S68" s="507"/>
      <c r="T68" s="507"/>
      <c r="U68" s="507"/>
      <c r="V68" s="507"/>
      <c r="W68" s="507"/>
      <c r="X68" s="507"/>
      <c r="Y68" s="507"/>
      <c r="Z68" s="470"/>
      <c r="AA68" s="507" t="str">
        <f>F68</f>
        <v xml:space="preserve">Revenues </v>
      </c>
      <c r="AB68" s="507"/>
      <c r="AC68" s="507"/>
      <c r="AD68" s="507"/>
      <c r="AE68" s="508"/>
      <c r="AF68" s="509"/>
      <c r="AG68" s="507"/>
      <c r="AH68" s="507"/>
      <c r="AI68" s="507"/>
      <c r="AJ68" s="507"/>
      <c r="AK68" s="507"/>
      <c r="AL68" s="507"/>
      <c r="AM68" s="507"/>
      <c r="AN68" s="507"/>
      <c r="AO68" s="507"/>
    </row>
    <row r="69" spans="1:41" ht="13">
      <c r="A69" s="315" t="s">
        <v>298</v>
      </c>
      <c r="B69" s="315">
        <v>2023</v>
      </c>
      <c r="C69" s="315">
        <v>2024</v>
      </c>
      <c r="D69" s="315">
        <v>2025</v>
      </c>
      <c r="E69" s="470"/>
      <c r="F69" s="315" t="s">
        <v>298</v>
      </c>
      <c r="G69" s="479">
        <v>2023</v>
      </c>
      <c r="H69" s="315">
        <v>2024</v>
      </c>
      <c r="I69" s="315">
        <v>2025</v>
      </c>
      <c r="J69" s="472"/>
      <c r="K69" s="315" t="str">
        <f t="shared" si="10"/>
        <v>Epiroc Group</v>
      </c>
      <c r="L69" s="315" t="s">
        <v>148</v>
      </c>
      <c r="M69" s="315" t="s">
        <v>149</v>
      </c>
      <c r="N69" s="315" t="s">
        <v>150</v>
      </c>
      <c r="O69" s="479" t="s">
        <v>151</v>
      </c>
      <c r="P69" s="315" t="s">
        <v>152</v>
      </c>
      <c r="Q69" s="315" t="s">
        <v>153</v>
      </c>
      <c r="R69" s="315" t="s">
        <v>154</v>
      </c>
      <c r="S69" s="315" t="s">
        <v>155</v>
      </c>
      <c r="T69" s="315" t="s">
        <v>156</v>
      </c>
      <c r="U69" s="315" t="s">
        <v>157</v>
      </c>
      <c r="V69" s="315" t="s">
        <v>158</v>
      </c>
      <c r="W69" s="315" t="s">
        <v>820</v>
      </c>
      <c r="X69" s="315" t="s">
        <v>1275</v>
      </c>
      <c r="Y69" s="315" t="s">
        <v>1344</v>
      </c>
      <c r="Z69" s="470"/>
      <c r="AA69" s="315" t="str">
        <f>F69</f>
        <v>Epiroc Group</v>
      </c>
      <c r="AB69" s="315" t="s">
        <v>148</v>
      </c>
      <c r="AC69" s="315" t="s">
        <v>149</v>
      </c>
      <c r="AD69" s="315" t="s">
        <v>150</v>
      </c>
      <c r="AE69" s="479" t="s">
        <v>151</v>
      </c>
      <c r="AF69" s="480" t="s">
        <v>152</v>
      </c>
      <c r="AG69" s="315" t="s">
        <v>153</v>
      </c>
      <c r="AH69" s="315" t="s">
        <v>154</v>
      </c>
      <c r="AI69" s="315" t="s">
        <v>155</v>
      </c>
      <c r="AJ69" s="315" t="s">
        <v>156</v>
      </c>
      <c r="AK69" s="315" t="s">
        <v>157</v>
      </c>
      <c r="AL69" s="315" t="s">
        <v>158</v>
      </c>
      <c r="AM69" s="315" t="s">
        <v>820</v>
      </c>
      <c r="AN69" s="315" t="s">
        <v>1275</v>
      </c>
      <c r="AO69" s="315" t="s">
        <v>1344</v>
      </c>
    </row>
    <row r="70" spans="1:41" ht="13">
      <c r="A70" s="481" t="s">
        <v>553</v>
      </c>
      <c r="B70" s="482">
        <v>49694.312044024307</v>
      </c>
      <c r="C70" s="482">
        <v>60342.537184815403</v>
      </c>
      <c r="D70" s="482">
        <v>63603.609504997599</v>
      </c>
      <c r="E70" s="470"/>
      <c r="F70" s="481" t="s">
        <v>553</v>
      </c>
      <c r="G70" s="483">
        <v>49694.312044024307</v>
      </c>
      <c r="H70" s="482">
        <v>60343.2371848154</v>
      </c>
      <c r="I70" s="482">
        <v>63603.609504997599</v>
      </c>
      <c r="J70" s="472"/>
      <c r="K70" s="481" t="str">
        <f t="shared" si="10"/>
        <v>Reported opening balance</v>
      </c>
      <c r="L70" s="482">
        <v>11088.396492030701</v>
      </c>
      <c r="M70" s="482">
        <v>11867.7694568323</v>
      </c>
      <c r="N70" s="482">
        <v>12801.843484840099</v>
      </c>
      <c r="O70" s="483">
        <v>13936.3026103212</v>
      </c>
      <c r="P70" s="482">
        <v>13867.5831329346</v>
      </c>
      <c r="Q70" s="482">
        <v>15909.9330569741</v>
      </c>
      <c r="R70" s="482">
        <v>14997.0684506008</v>
      </c>
      <c r="S70" s="482">
        <v>15567.6525443059</v>
      </c>
      <c r="T70" s="482">
        <v>14142.8285693899</v>
      </c>
      <c r="U70" s="482">
        <v>16510.755905984301</v>
      </c>
      <c r="V70" s="482">
        <v>15699.4400964909</v>
      </c>
      <c r="W70" s="482">
        <v>17250.584933132501</v>
      </c>
      <c r="X70" s="482">
        <v>15536.1063562819</v>
      </c>
      <c r="Y70" s="482">
        <v>15129.878603667201</v>
      </c>
      <c r="Z70" s="470"/>
      <c r="AA70" s="481" t="str">
        <f>F70</f>
        <v>Reported opening balance</v>
      </c>
      <c r="AB70" s="482">
        <v>11088.396492030701</v>
      </c>
      <c r="AC70" s="482">
        <v>11867.7694568323</v>
      </c>
      <c r="AD70" s="482">
        <v>12801.843484840099</v>
      </c>
      <c r="AE70" s="483">
        <v>13936.3026103212</v>
      </c>
      <c r="AF70" s="484">
        <v>13867.5831329346</v>
      </c>
      <c r="AG70" s="482">
        <v>15909.9330569741</v>
      </c>
      <c r="AH70" s="482">
        <v>14997.0684506008</v>
      </c>
      <c r="AI70" s="482">
        <v>15567.6525443059</v>
      </c>
      <c r="AJ70" s="482">
        <v>14142.8285693899</v>
      </c>
      <c r="AK70" s="482">
        <v>16510.755905984301</v>
      </c>
      <c r="AL70" s="482">
        <v>15699.4400964909</v>
      </c>
      <c r="AM70" s="482">
        <v>17250.584933132501</v>
      </c>
      <c r="AN70" s="482">
        <v>15536.1063562819</v>
      </c>
      <c r="AO70" s="482">
        <v>15129.878603667201</v>
      </c>
    </row>
    <row r="71" spans="1:41" ht="13">
      <c r="A71" s="470" t="s">
        <v>561</v>
      </c>
      <c r="B71" s="485">
        <v>0</v>
      </c>
      <c r="C71" s="485">
        <v>0</v>
      </c>
      <c r="D71" s="485">
        <v>0</v>
      </c>
      <c r="E71" s="470"/>
      <c r="F71" s="470" t="s">
        <v>561</v>
      </c>
      <c r="G71" s="487">
        <v>0</v>
      </c>
      <c r="H71" s="485">
        <v>0</v>
      </c>
      <c r="I71" s="485">
        <v>0</v>
      </c>
      <c r="J71" s="472"/>
      <c r="K71" s="470" t="str">
        <f t="shared" si="10"/>
        <v>Adjustment</v>
      </c>
      <c r="L71" s="485">
        <v>0</v>
      </c>
      <c r="M71" s="485">
        <v>0</v>
      </c>
      <c r="N71" s="485">
        <v>0</v>
      </c>
      <c r="O71" s="488">
        <v>0</v>
      </c>
      <c r="P71" s="485">
        <v>0</v>
      </c>
      <c r="Q71" s="485">
        <v>0</v>
      </c>
      <c r="R71" s="485">
        <v>0</v>
      </c>
      <c r="S71" s="485">
        <v>0</v>
      </c>
      <c r="T71" s="485">
        <v>0</v>
      </c>
      <c r="U71" s="485">
        <v>0</v>
      </c>
      <c r="V71" s="485">
        <v>0</v>
      </c>
      <c r="W71" s="485">
        <v>0</v>
      </c>
      <c r="X71" s="485">
        <v>0</v>
      </c>
      <c r="Y71" s="485">
        <v>0</v>
      </c>
      <c r="Z71" s="470"/>
      <c r="AA71" s="470" t="s">
        <v>561</v>
      </c>
      <c r="AB71" s="485">
        <v>0</v>
      </c>
      <c r="AC71" s="485">
        <v>0</v>
      </c>
      <c r="AD71" s="485">
        <v>0</v>
      </c>
      <c r="AE71" s="488">
        <v>0</v>
      </c>
      <c r="AF71" s="501">
        <v>0</v>
      </c>
      <c r="AG71" s="485">
        <v>0</v>
      </c>
      <c r="AH71" s="485">
        <v>0</v>
      </c>
      <c r="AI71" s="485">
        <v>0</v>
      </c>
      <c r="AJ71" s="485">
        <v>0</v>
      </c>
      <c r="AK71" s="485">
        <v>0</v>
      </c>
      <c r="AL71" s="485">
        <v>0</v>
      </c>
      <c r="AM71" s="485">
        <v>0</v>
      </c>
      <c r="AN71" s="485">
        <v>0</v>
      </c>
      <c r="AO71" s="485">
        <v>0</v>
      </c>
    </row>
    <row r="72" spans="1:41" ht="13">
      <c r="A72" s="481" t="s">
        <v>555</v>
      </c>
      <c r="B72" s="482">
        <v>49694.312044024307</v>
      </c>
      <c r="C72" s="482">
        <v>60343.2371848154</v>
      </c>
      <c r="D72" s="482">
        <v>63603.609504997599</v>
      </c>
      <c r="E72" s="470"/>
      <c r="F72" s="481" t="s">
        <v>555</v>
      </c>
      <c r="G72" s="483">
        <v>49694.312044024307</v>
      </c>
      <c r="H72" s="482">
        <v>60343.2371848154</v>
      </c>
      <c r="I72" s="482">
        <v>63603.609504997599</v>
      </c>
      <c r="J72" s="472"/>
      <c r="K72" s="481" t="str">
        <f t="shared" si="10"/>
        <v>Adjusted opening balance</v>
      </c>
      <c r="L72" s="482">
        <v>11088.396492030701</v>
      </c>
      <c r="M72" s="482">
        <v>11867.7694568323</v>
      </c>
      <c r="N72" s="482">
        <v>12801.843484840099</v>
      </c>
      <c r="O72" s="483">
        <v>13936.3026103212</v>
      </c>
      <c r="P72" s="482">
        <v>13867.5831329346</v>
      </c>
      <c r="Q72" s="482">
        <v>15909.9330569741</v>
      </c>
      <c r="R72" s="482">
        <v>14997.0684506008</v>
      </c>
      <c r="S72" s="482">
        <v>15567.6525443059</v>
      </c>
      <c r="T72" s="482">
        <v>14142.8285693899</v>
      </c>
      <c r="U72" s="482">
        <v>16510.755905984301</v>
      </c>
      <c r="V72" s="482">
        <v>15699.4400964909</v>
      </c>
      <c r="W72" s="482">
        <v>17250.584933132501</v>
      </c>
      <c r="X72" s="482">
        <v>15536.1063562819</v>
      </c>
      <c r="Y72" s="482">
        <v>15129.878603667201</v>
      </c>
      <c r="Z72" s="470"/>
      <c r="AA72" s="481" t="str">
        <f t="shared" ref="AA72:AA77" si="11">F72</f>
        <v>Adjusted opening balance</v>
      </c>
      <c r="AB72" s="482">
        <v>11088.396492030701</v>
      </c>
      <c r="AC72" s="482">
        <v>11867.7694568323</v>
      </c>
      <c r="AD72" s="482">
        <v>12801.843484840099</v>
      </c>
      <c r="AE72" s="483">
        <v>13936.3026103212</v>
      </c>
      <c r="AF72" s="484">
        <v>13867.5831329346</v>
      </c>
      <c r="AG72" s="482">
        <v>15909.9330569741</v>
      </c>
      <c r="AH72" s="482">
        <v>14997.0684506008</v>
      </c>
      <c r="AI72" s="482">
        <v>15567.6525443059</v>
      </c>
      <c r="AJ72" s="482">
        <v>14142.8285693899</v>
      </c>
      <c r="AK72" s="482">
        <v>16510.755905984301</v>
      </c>
      <c r="AL72" s="482">
        <v>15699.4400964909</v>
      </c>
      <c r="AM72" s="482">
        <v>17250.584933132501</v>
      </c>
      <c r="AN72" s="482">
        <v>15536.1063562819</v>
      </c>
      <c r="AO72" s="482">
        <v>15129.878603667201</v>
      </c>
    </row>
    <row r="73" spans="1:41" ht="13">
      <c r="A73" s="470" t="s">
        <v>556</v>
      </c>
      <c r="B73" s="472">
        <v>4747</v>
      </c>
      <c r="C73" s="472">
        <v>1268.5215499956</v>
      </c>
      <c r="D73" s="472">
        <v>1958.8813547268001</v>
      </c>
      <c r="E73" s="470"/>
      <c r="F73" s="470" t="s">
        <v>556</v>
      </c>
      <c r="G73" s="487">
        <v>9</v>
      </c>
      <c r="H73" s="472">
        <v>2</v>
      </c>
      <c r="I73" s="472">
        <v>2</v>
      </c>
      <c r="J73" s="472"/>
      <c r="K73" s="470" t="str">
        <f t="shared" si="10"/>
        <v>Organic</v>
      </c>
      <c r="L73" s="472">
        <v>959.60599567610006</v>
      </c>
      <c r="M73" s="472">
        <v>1990.8819275612</v>
      </c>
      <c r="N73" s="472">
        <v>824.48213145670002</v>
      </c>
      <c r="O73" s="487">
        <v>971.35541190469996</v>
      </c>
      <c r="P73" s="472">
        <v>437.7873828873</v>
      </c>
      <c r="Q73" s="472">
        <v>-223.29308377859999</v>
      </c>
      <c r="R73" s="472">
        <v>384.22671732100002</v>
      </c>
      <c r="S73" s="472">
        <v>669.80053356589997</v>
      </c>
      <c r="T73" s="472">
        <v>434.63272341010003</v>
      </c>
      <c r="U73" s="472">
        <v>-0.81910479560000005</v>
      </c>
      <c r="V73" s="472">
        <v>840.65223005590008</v>
      </c>
      <c r="W73" s="472">
        <v>684.41550605639998</v>
      </c>
      <c r="X73" s="472">
        <v>342.8266913237</v>
      </c>
      <c r="Y73" s="472">
        <v>1789.2072226845</v>
      </c>
      <c r="Z73" s="470"/>
      <c r="AA73" s="470" t="str">
        <f t="shared" si="11"/>
        <v>Organic</v>
      </c>
      <c r="AB73" s="472">
        <v>8</v>
      </c>
      <c r="AC73" s="472">
        <v>17</v>
      </c>
      <c r="AD73" s="472">
        <v>7</v>
      </c>
      <c r="AE73" s="487">
        <v>8</v>
      </c>
      <c r="AF73" s="491">
        <v>3</v>
      </c>
      <c r="AG73" s="472">
        <v>-1</v>
      </c>
      <c r="AH73" s="472">
        <v>3</v>
      </c>
      <c r="AI73" s="472">
        <v>4</v>
      </c>
      <c r="AJ73" s="472">
        <v>3</v>
      </c>
      <c r="AK73" s="472">
        <v>1</v>
      </c>
      <c r="AL73" s="472">
        <v>5</v>
      </c>
      <c r="AM73" s="472">
        <v>4</v>
      </c>
      <c r="AN73" s="472">
        <v>2</v>
      </c>
      <c r="AO73" s="472">
        <v>11</v>
      </c>
    </row>
    <row r="74" spans="1:41" ht="13">
      <c r="A74" s="470" t="s">
        <v>557</v>
      </c>
      <c r="B74" s="472">
        <v>1482.4304642515001</v>
      </c>
      <c r="C74" s="472">
        <v>-1042.9331745659999</v>
      </c>
      <c r="D74" s="472">
        <v>-4639.9381403971001</v>
      </c>
      <c r="E74" s="470"/>
      <c r="F74" s="470" t="s">
        <v>557</v>
      </c>
      <c r="G74" s="487">
        <v>2.9830988764633899</v>
      </c>
      <c r="H74" s="472">
        <v>-1.7283348113588455</v>
      </c>
      <c r="I74" s="472">
        <v>-7.2935139632800237</v>
      </c>
      <c r="J74" s="472"/>
      <c r="K74" s="470" t="str">
        <f t="shared" si="10"/>
        <v>Currency</v>
      </c>
      <c r="L74" s="472">
        <v>756.23878696550003</v>
      </c>
      <c r="M74" s="472">
        <v>611.47373802239997</v>
      </c>
      <c r="N74" s="472">
        <v>186.7170932853</v>
      </c>
      <c r="O74" s="487">
        <v>-71.999154021699994</v>
      </c>
      <c r="P74" s="472">
        <v>-392.791041216</v>
      </c>
      <c r="Q74" s="472">
        <v>-161.40865426880001</v>
      </c>
      <c r="R74" s="472">
        <v>-582.45530535119997</v>
      </c>
      <c r="S74" s="472">
        <v>93.721826269999994</v>
      </c>
      <c r="T74" s="472">
        <v>-17.9791843454</v>
      </c>
      <c r="U74" s="472">
        <v>-1452.6655476011999</v>
      </c>
      <c r="V74" s="472">
        <v>-1324.3801902348</v>
      </c>
      <c r="W74" s="472">
        <f>+-1843.9132182157-1</f>
        <v>-1844.9132182157</v>
      </c>
      <c r="X74" s="472">
        <v>-1528.4314412689</v>
      </c>
      <c r="Y74" s="472">
        <v>-216.74449904229999</v>
      </c>
      <c r="Z74" s="470"/>
      <c r="AA74" s="470" t="str">
        <f t="shared" si="11"/>
        <v>Currency</v>
      </c>
      <c r="AB74" s="472">
        <v>6.820091502941958</v>
      </c>
      <c r="AC74" s="472">
        <v>5.1523897582150386</v>
      </c>
      <c r="AD74" s="472">
        <v>1.4585172323533697</v>
      </c>
      <c r="AE74" s="487">
        <v>-0.51663024286210291</v>
      </c>
      <c r="AF74" s="491">
        <v>-2.8324405013527345</v>
      </c>
      <c r="AG74" s="472">
        <v>-1.0145149806148728</v>
      </c>
      <c r="AH74" s="472">
        <v>-3.8837944046849113</v>
      </c>
      <c r="AI74" s="472">
        <v>0.60202927835950548</v>
      </c>
      <c r="AJ74" s="472">
        <v>-0.12712580271469412</v>
      </c>
      <c r="AK74" s="472">
        <v>-8.7982982479601866</v>
      </c>
      <c r="AL74" s="472">
        <v>-8.4358434574416581</v>
      </c>
      <c r="AM74" s="472">
        <v>-10.688989534923946</v>
      </c>
      <c r="AN74" s="472">
        <v>-9.8379311149018438</v>
      </c>
      <c r="AO74" s="472">
        <v>-1.4325594059278517</v>
      </c>
    </row>
    <row r="75" spans="1:41" ht="13">
      <c r="A75" s="492" t="s">
        <v>558</v>
      </c>
      <c r="B75" s="493">
        <v>4420.3692099407999</v>
      </c>
      <c r="C75" s="493">
        <v>3036.7839447526003</v>
      </c>
      <c r="D75" s="493">
        <v>1074.6142177765</v>
      </c>
      <c r="E75" s="470"/>
      <c r="F75" s="492" t="s">
        <v>558</v>
      </c>
      <c r="G75" s="494">
        <v>8.8951210473037321</v>
      </c>
      <c r="H75" s="493">
        <v>5.0325174558529788</v>
      </c>
      <c r="I75" s="493">
        <v>1.6895491091461767</v>
      </c>
      <c r="J75" s="472"/>
      <c r="K75" s="492" t="str">
        <f t="shared" si="10"/>
        <v>Structure</v>
      </c>
      <c r="L75" s="493">
        <v>1064.0418582622999</v>
      </c>
      <c r="M75" s="493">
        <v>1439.8079345581</v>
      </c>
      <c r="N75" s="493">
        <v>1183.5257410189001</v>
      </c>
      <c r="O75" s="494">
        <v>732.9936761015</v>
      </c>
      <c r="P75" s="493">
        <v>230.24909478390001</v>
      </c>
      <c r="Q75" s="493">
        <v>985.52458705749996</v>
      </c>
      <c r="R75" s="493">
        <v>901.0002339202</v>
      </c>
      <c r="S75" s="493">
        <v>920.01002899100001</v>
      </c>
      <c r="T75" s="493">
        <v>976.62424782750008</v>
      </c>
      <c r="U75" s="493">
        <v>72.607350079599996</v>
      </c>
      <c r="V75" s="493">
        <v>26.298928545799999</v>
      </c>
      <c r="W75" s="493">
        <v>-0.91630867640000002</v>
      </c>
      <c r="X75" s="493">
        <v>0.2352000044</v>
      </c>
      <c r="Y75" s="493">
        <v>-0.23508874099999999</v>
      </c>
      <c r="Z75" s="470"/>
      <c r="AA75" s="492" t="str">
        <f t="shared" si="11"/>
        <v>Structure</v>
      </c>
      <c r="AB75" s="493">
        <v>9.5959939656471835</v>
      </c>
      <c r="AC75" s="493">
        <v>12.132085475667877</v>
      </c>
      <c r="AD75" s="493">
        <v>9.2449633712552988</v>
      </c>
      <c r="AE75" s="494">
        <v>5.2595993112164932</v>
      </c>
      <c r="AF75" s="495">
        <v>1.6603404686796035</v>
      </c>
      <c r="AG75" s="493">
        <v>6.194398075267177</v>
      </c>
      <c r="AH75" s="493">
        <v>6.0078423785823611</v>
      </c>
      <c r="AI75" s="493">
        <v>5.9097543857214836</v>
      </c>
      <c r="AJ75" s="493">
        <v>6.9054379259129357</v>
      </c>
      <c r="AK75" s="493">
        <v>0.43975787960915563</v>
      </c>
      <c r="AL75" s="493">
        <v>0.16751507304823102</v>
      </c>
      <c r="AM75" s="493">
        <v>-5.3117542387799439E-3</v>
      </c>
      <c r="AN75" s="493">
        <v>1.51389285710508E-3</v>
      </c>
      <c r="AO75" s="493">
        <v>-1.5538045423776159E-3</v>
      </c>
    </row>
    <row r="76" spans="1:41" ht="13">
      <c r="A76" s="470" t="s">
        <v>471</v>
      </c>
      <c r="B76" s="472">
        <v>10649.125140791</v>
      </c>
      <c r="C76" s="472">
        <v>3262.3723201821999</v>
      </c>
      <c r="D76" s="472">
        <v>-1605.5425678937995</v>
      </c>
      <c r="E76" s="470"/>
      <c r="F76" s="470" t="s">
        <v>471</v>
      </c>
      <c r="G76" s="487">
        <v>21</v>
      </c>
      <c r="H76" s="472">
        <v>5</v>
      </c>
      <c r="I76" s="472">
        <v>-3</v>
      </c>
      <c r="J76" s="472"/>
      <c r="K76" s="470" t="str">
        <f t="shared" si="10"/>
        <v>Total</v>
      </c>
      <c r="L76" s="472">
        <v>2779.8866409039001</v>
      </c>
      <c r="M76" s="472">
        <v>4042.1636001417</v>
      </c>
      <c r="N76" s="472">
        <v>2194.7249657609</v>
      </c>
      <c r="O76" s="487">
        <v>1632.3499339845</v>
      </c>
      <c r="P76" s="472">
        <v>275.24543645519998</v>
      </c>
      <c r="Q76" s="472">
        <v>600.82284901009996</v>
      </c>
      <c r="R76" s="472">
        <v>702.77164589000006</v>
      </c>
      <c r="S76" s="472">
        <v>1683.5323888268999</v>
      </c>
      <c r="T76" s="472">
        <v>1393.2777868922001</v>
      </c>
      <c r="U76" s="472">
        <v>-1380.8773023171998</v>
      </c>
      <c r="V76" s="472">
        <v>-457.42903163309995</v>
      </c>
      <c r="W76" s="472">
        <v>-1160.5140208357</v>
      </c>
      <c r="X76" s="472">
        <v>-1185.3695499408</v>
      </c>
      <c r="Y76" s="472">
        <v>1572.2276349012</v>
      </c>
      <c r="Z76" s="470"/>
      <c r="AA76" s="470" t="str">
        <f t="shared" si="11"/>
        <v>Total</v>
      </c>
      <c r="AB76" s="472">
        <v>25</v>
      </c>
      <c r="AC76" s="472">
        <v>34</v>
      </c>
      <c r="AD76" s="472">
        <v>17</v>
      </c>
      <c r="AE76" s="487">
        <v>12</v>
      </c>
      <c r="AF76" s="491">
        <v>2</v>
      </c>
      <c r="AG76" s="472">
        <v>4</v>
      </c>
      <c r="AH76" s="472">
        <v>5</v>
      </c>
      <c r="AI76" s="472">
        <v>11</v>
      </c>
      <c r="AJ76" s="472">
        <v>10</v>
      </c>
      <c r="AK76" s="472">
        <v>-8</v>
      </c>
      <c r="AL76" s="472">
        <v>-3</v>
      </c>
      <c r="AM76" s="472">
        <v>-7</v>
      </c>
      <c r="AN76" s="472">
        <v>-8</v>
      </c>
      <c r="AO76" s="472">
        <v>10</v>
      </c>
    </row>
    <row r="77" spans="1:41" ht="13">
      <c r="A77" s="481" t="s">
        <v>559</v>
      </c>
      <c r="B77" s="482">
        <v>60343.037184815308</v>
      </c>
      <c r="C77" s="482">
        <v>63604.409504997602</v>
      </c>
      <c r="D77" s="482">
        <v>61998.066937103795</v>
      </c>
      <c r="E77" s="470"/>
      <c r="F77" s="481" t="s">
        <v>559</v>
      </c>
      <c r="G77" s="483">
        <v>60343.037184815308</v>
      </c>
      <c r="H77" s="482">
        <v>63603.609504997599</v>
      </c>
      <c r="I77" s="482">
        <v>61998.066937103795</v>
      </c>
      <c r="J77" s="472"/>
      <c r="K77" s="481" t="str">
        <f t="shared" si="10"/>
        <v>Operational closing balance</v>
      </c>
      <c r="L77" s="482">
        <v>13868.283132934601</v>
      </c>
      <c r="M77" s="482">
        <v>15909.933056974001</v>
      </c>
      <c r="N77" s="482">
        <v>14996.568450601</v>
      </c>
      <c r="O77" s="483">
        <v>15568.2525443057</v>
      </c>
      <c r="P77" s="482">
        <v>14142.8285693898</v>
      </c>
      <c r="Q77" s="482">
        <v>16510.755905984199</v>
      </c>
      <c r="R77" s="482">
        <v>15699.8400964908</v>
      </c>
      <c r="S77" s="482">
        <v>17251.184933132801</v>
      </c>
      <c r="T77" s="482">
        <v>15536.1063562821</v>
      </c>
      <c r="U77" s="482">
        <v>15129.878603667101</v>
      </c>
      <c r="V77" s="482">
        <v>15242.011064857799</v>
      </c>
      <c r="W77" s="482">
        <v>16090.0709122968</v>
      </c>
      <c r="X77" s="482">
        <v>14350.7368063411</v>
      </c>
      <c r="Y77" s="482">
        <v>16702.106238568402</v>
      </c>
      <c r="Z77" s="470"/>
      <c r="AA77" s="481" t="str">
        <f t="shared" si="11"/>
        <v>Operational closing balance</v>
      </c>
      <c r="AB77" s="482">
        <v>13868.283132934601</v>
      </c>
      <c r="AC77" s="482">
        <v>15909.933056974001</v>
      </c>
      <c r="AD77" s="482">
        <v>14996.568450601</v>
      </c>
      <c r="AE77" s="483">
        <v>15568.2525443057</v>
      </c>
      <c r="AF77" s="484">
        <v>14142.8285693898</v>
      </c>
      <c r="AG77" s="482">
        <v>16510.755905984199</v>
      </c>
      <c r="AH77" s="482">
        <v>15699.8400964908</v>
      </c>
      <c r="AI77" s="482">
        <v>17251.184933132801</v>
      </c>
      <c r="AJ77" s="482">
        <v>15536.1063562821</v>
      </c>
      <c r="AK77" s="482">
        <v>15129.878603667101</v>
      </c>
      <c r="AL77" s="482">
        <v>15242.011064857799</v>
      </c>
      <c r="AM77" s="482">
        <v>16090.0709122968</v>
      </c>
      <c r="AN77" s="482">
        <v>14350.7368063411</v>
      </c>
      <c r="AO77" s="482">
        <v>16702.106238568402</v>
      </c>
    </row>
    <row r="78" spans="1:41" ht="13">
      <c r="A78" s="470" t="s">
        <v>561</v>
      </c>
      <c r="B78" s="472">
        <v>0</v>
      </c>
      <c r="C78" s="472">
        <v>0</v>
      </c>
      <c r="D78" s="472">
        <v>0</v>
      </c>
      <c r="E78" s="470"/>
      <c r="F78" s="470" t="s">
        <v>561</v>
      </c>
      <c r="G78" s="487">
        <v>0</v>
      </c>
      <c r="H78" s="472">
        <v>0</v>
      </c>
      <c r="I78" s="472">
        <v>0</v>
      </c>
      <c r="J78" s="472"/>
      <c r="K78" s="470" t="s">
        <v>561</v>
      </c>
      <c r="L78" s="472">
        <v>0</v>
      </c>
      <c r="M78" s="472">
        <v>0</v>
      </c>
      <c r="N78" s="472">
        <v>0</v>
      </c>
      <c r="O78" s="487">
        <v>0</v>
      </c>
      <c r="P78" s="472">
        <v>0</v>
      </c>
      <c r="Q78" s="472">
        <v>0</v>
      </c>
      <c r="R78" s="472">
        <v>0</v>
      </c>
      <c r="S78" s="472">
        <v>0</v>
      </c>
      <c r="T78" s="472">
        <v>0</v>
      </c>
      <c r="U78" s="472">
        <v>0</v>
      </c>
      <c r="V78" s="472">
        <v>0</v>
      </c>
      <c r="W78" s="472">
        <v>0</v>
      </c>
      <c r="X78" s="472">
        <v>0</v>
      </c>
      <c r="Y78" s="472">
        <v>0</v>
      </c>
      <c r="Z78" s="470"/>
      <c r="AA78" s="470" t="s">
        <v>561</v>
      </c>
      <c r="AB78" s="472">
        <v>0</v>
      </c>
      <c r="AC78" s="472">
        <v>0</v>
      </c>
      <c r="AD78" s="472">
        <v>0</v>
      </c>
      <c r="AE78" s="487">
        <v>0</v>
      </c>
      <c r="AF78" s="491">
        <v>0</v>
      </c>
      <c r="AG78" s="472">
        <v>0</v>
      </c>
      <c r="AH78" s="472">
        <v>0</v>
      </c>
      <c r="AI78" s="472">
        <v>0</v>
      </c>
      <c r="AJ78" s="472">
        <v>0</v>
      </c>
      <c r="AK78" s="472">
        <v>0</v>
      </c>
      <c r="AL78" s="472">
        <v>0</v>
      </c>
      <c r="AM78" s="472">
        <v>0</v>
      </c>
      <c r="AN78" s="472">
        <v>0</v>
      </c>
      <c r="AO78" s="472">
        <v>0</v>
      </c>
    </row>
    <row r="79" spans="1:41" ht="13">
      <c r="A79" s="496" t="s">
        <v>560</v>
      </c>
      <c r="B79" s="497">
        <v>60342.837184815304</v>
      </c>
      <c r="C79" s="497">
        <v>63604.409504997602</v>
      </c>
      <c r="D79" s="497">
        <v>61998.166937103801</v>
      </c>
      <c r="E79" s="470"/>
      <c r="F79" s="496" t="s">
        <v>560</v>
      </c>
      <c r="G79" s="498">
        <v>60342.837184815304</v>
      </c>
      <c r="H79" s="497">
        <v>63603.609504997599</v>
      </c>
      <c r="I79" s="497">
        <v>61998.166937103801</v>
      </c>
      <c r="J79" s="472"/>
      <c r="K79" s="496" t="str">
        <f>A79</f>
        <v>Reported closing balance</v>
      </c>
      <c r="L79" s="497">
        <v>13867.5831329346</v>
      </c>
      <c r="M79" s="497">
        <v>15909.933056974</v>
      </c>
      <c r="N79" s="497">
        <v>14997.068450601</v>
      </c>
      <c r="O79" s="498">
        <v>15568.2525443057</v>
      </c>
      <c r="P79" s="497">
        <v>14142.8285693898</v>
      </c>
      <c r="Q79" s="497">
        <v>16510.755905984199</v>
      </c>
      <c r="R79" s="497">
        <v>15699.8400964908</v>
      </c>
      <c r="S79" s="497">
        <v>17251.184933132801</v>
      </c>
      <c r="T79" s="497">
        <v>15536.1063562821</v>
      </c>
      <c r="U79" s="497">
        <v>15129.878603667101</v>
      </c>
      <c r="V79" s="497">
        <v>15242.3110648578</v>
      </c>
      <c r="W79" s="497">
        <v>16089.870912296799</v>
      </c>
      <c r="X79" s="497">
        <v>14350.7368063411</v>
      </c>
      <c r="Y79" s="497">
        <v>16702.106238568402</v>
      </c>
      <c r="Z79" s="470"/>
      <c r="AA79" s="496" t="str">
        <f>F79</f>
        <v>Reported closing balance</v>
      </c>
      <c r="AB79" s="497">
        <v>13867.5831329346</v>
      </c>
      <c r="AC79" s="497">
        <v>15909.933056974</v>
      </c>
      <c r="AD79" s="497">
        <v>14997.068450601</v>
      </c>
      <c r="AE79" s="498">
        <v>15568.2525443057</v>
      </c>
      <c r="AF79" s="499">
        <v>14142.8285693898</v>
      </c>
      <c r="AG79" s="497">
        <v>16510.755905984199</v>
      </c>
      <c r="AH79" s="497">
        <v>15699.8400964908</v>
      </c>
      <c r="AI79" s="497">
        <v>17251.184933132801</v>
      </c>
      <c r="AJ79" s="497">
        <v>15536.1063562821</v>
      </c>
      <c r="AK79" s="497">
        <v>15129.878603667101</v>
      </c>
      <c r="AL79" s="497">
        <v>15242.3110648578</v>
      </c>
      <c r="AM79" s="497">
        <v>16089.870912296799</v>
      </c>
      <c r="AN79" s="497">
        <v>14350.7368063411</v>
      </c>
      <c r="AO79" s="497">
        <v>16702.106238568402</v>
      </c>
    </row>
    <row r="80" spans="1:41" ht="13">
      <c r="A80" s="470"/>
      <c r="B80" s="470"/>
      <c r="C80" s="470"/>
      <c r="D80" s="470"/>
      <c r="E80" s="470"/>
      <c r="F80" s="470"/>
      <c r="G80" s="500"/>
      <c r="H80" s="470"/>
      <c r="I80" s="470"/>
      <c r="J80" s="472"/>
      <c r="K80" s="470"/>
      <c r="L80" s="470"/>
      <c r="M80" s="470"/>
      <c r="N80" s="470"/>
      <c r="O80" s="500"/>
      <c r="P80" s="470"/>
      <c r="Q80" s="470"/>
      <c r="R80" s="470"/>
      <c r="S80" s="470"/>
      <c r="T80" s="470"/>
      <c r="U80" s="470"/>
      <c r="V80" s="470"/>
      <c r="W80" s="470"/>
      <c r="X80" s="470"/>
      <c r="Y80" s="470"/>
      <c r="Z80" s="470"/>
      <c r="AA80" s="470"/>
      <c r="AB80" s="470"/>
      <c r="AC80" s="470"/>
      <c r="AD80" s="470"/>
      <c r="AE80" s="470"/>
      <c r="AF80" s="470"/>
      <c r="AG80" s="470"/>
      <c r="AH80" s="470"/>
      <c r="AI80" s="470"/>
      <c r="AJ80" s="470"/>
      <c r="AK80" s="470"/>
    </row>
    <row r="81" spans="1:41" ht="13">
      <c r="A81" s="507" t="s">
        <v>502</v>
      </c>
      <c r="B81" s="507"/>
      <c r="C81" s="507"/>
      <c r="D81" s="507"/>
      <c r="E81" s="470"/>
      <c r="F81" s="507" t="s">
        <v>502</v>
      </c>
      <c r="G81" s="508"/>
      <c r="H81" s="507"/>
      <c r="I81" s="507"/>
      <c r="J81" s="472"/>
      <c r="K81" s="507" t="str">
        <f>A81</f>
        <v xml:space="preserve">Revenues </v>
      </c>
      <c r="L81" s="507"/>
      <c r="M81" s="507"/>
      <c r="N81" s="507"/>
      <c r="O81" s="508"/>
      <c r="P81" s="507"/>
      <c r="Q81" s="507"/>
      <c r="R81" s="507"/>
      <c r="S81" s="507"/>
      <c r="T81" s="507"/>
      <c r="U81" s="507"/>
      <c r="V81" s="507"/>
      <c r="W81" s="507"/>
      <c r="X81" s="507"/>
      <c r="Y81" s="507"/>
      <c r="Z81" s="470"/>
      <c r="AA81" s="507" t="str">
        <f>F81</f>
        <v xml:space="preserve">Revenues </v>
      </c>
      <c r="AB81" s="507"/>
      <c r="AC81" s="507"/>
      <c r="AD81" s="507"/>
      <c r="AE81" s="508"/>
      <c r="AF81" s="509"/>
      <c r="AG81" s="507"/>
      <c r="AH81" s="507"/>
      <c r="AI81" s="507"/>
      <c r="AJ81" s="507"/>
      <c r="AK81" s="507"/>
      <c r="AL81" s="507"/>
      <c r="AM81" s="507"/>
      <c r="AN81" s="507"/>
      <c r="AO81" s="507"/>
    </row>
    <row r="82" spans="1:41" ht="13">
      <c r="A82" s="315" t="s">
        <v>293</v>
      </c>
      <c r="B82" s="315">
        <v>2023</v>
      </c>
      <c r="C82" s="315">
        <v>2024</v>
      </c>
      <c r="D82" s="315">
        <v>2025</v>
      </c>
      <c r="E82" s="470"/>
      <c r="F82" s="315" t="s">
        <v>293</v>
      </c>
      <c r="G82" s="479">
        <v>2023</v>
      </c>
      <c r="H82" s="315">
        <v>2024</v>
      </c>
      <c r="I82" s="315">
        <v>2025</v>
      </c>
      <c r="J82" s="472"/>
      <c r="K82" s="315" t="str">
        <f>A82</f>
        <v>Equipment &amp; Service</v>
      </c>
      <c r="L82" s="315" t="s">
        <v>148</v>
      </c>
      <c r="M82" s="315" t="s">
        <v>149</v>
      </c>
      <c r="N82" s="315" t="s">
        <v>150</v>
      </c>
      <c r="O82" s="479" t="s">
        <v>151</v>
      </c>
      <c r="P82" s="315" t="s">
        <v>152</v>
      </c>
      <c r="Q82" s="315" t="s">
        <v>153</v>
      </c>
      <c r="R82" s="315" t="s">
        <v>154</v>
      </c>
      <c r="S82" s="315" t="s">
        <v>155</v>
      </c>
      <c r="T82" s="315" t="s">
        <v>156</v>
      </c>
      <c r="U82" s="315" t="s">
        <v>157</v>
      </c>
      <c r="V82" s="315" t="s">
        <v>158</v>
      </c>
      <c r="W82" s="315" t="s">
        <v>820</v>
      </c>
      <c r="X82" s="315" t="s">
        <v>1275</v>
      </c>
      <c r="Y82" s="315" t="s">
        <v>1344</v>
      </c>
      <c r="Z82" s="470"/>
      <c r="AA82" s="315" t="str">
        <f>F82</f>
        <v>Equipment &amp; Service</v>
      </c>
      <c r="AB82" s="315" t="s">
        <v>148</v>
      </c>
      <c r="AC82" s="315" t="s">
        <v>149</v>
      </c>
      <c r="AD82" s="315" t="s">
        <v>150</v>
      </c>
      <c r="AE82" s="479" t="s">
        <v>151</v>
      </c>
      <c r="AF82" s="480" t="s">
        <v>152</v>
      </c>
      <c r="AG82" s="315" t="s">
        <v>153</v>
      </c>
      <c r="AH82" s="315" t="s">
        <v>154</v>
      </c>
      <c r="AI82" s="315" t="s">
        <v>155</v>
      </c>
      <c r="AJ82" s="315" t="s">
        <v>156</v>
      </c>
      <c r="AK82" s="315" t="s">
        <v>157</v>
      </c>
      <c r="AL82" s="315" t="s">
        <v>158</v>
      </c>
      <c r="AM82" s="315" t="s">
        <v>820</v>
      </c>
      <c r="AN82" s="315" t="s">
        <v>1275</v>
      </c>
      <c r="AO82" s="315" t="s">
        <v>1344</v>
      </c>
    </row>
    <row r="83" spans="1:41" ht="13">
      <c r="A83" s="481" t="s">
        <v>553</v>
      </c>
      <c r="B83" s="482">
        <v>38903.659714152898</v>
      </c>
      <c r="C83" s="482">
        <v>47530.232350032296</v>
      </c>
      <c r="D83" s="482">
        <v>48914.130241274506</v>
      </c>
      <c r="E83" s="470"/>
      <c r="F83" s="481" t="s">
        <v>553</v>
      </c>
      <c r="G83" s="483">
        <v>38903.659714152898</v>
      </c>
      <c r="H83" s="482">
        <v>47530.232350032296</v>
      </c>
      <c r="I83" s="482">
        <v>48914.130241274506</v>
      </c>
      <c r="J83" s="472"/>
      <c r="K83" s="481" t="str">
        <f>A83</f>
        <v>Reported opening balance</v>
      </c>
      <c r="L83" s="482">
        <v>8485.0400528851005</v>
      </c>
      <c r="M83" s="482">
        <v>9059.9807295390001</v>
      </c>
      <c r="N83" s="482">
        <v>10069.6841372535</v>
      </c>
      <c r="O83" s="483">
        <v>11288.954794475299</v>
      </c>
      <c r="P83" s="482">
        <v>10733.1447077799</v>
      </c>
      <c r="Q83" s="482">
        <v>12509.976531025301</v>
      </c>
      <c r="R83" s="482">
        <v>11729.224263104999</v>
      </c>
      <c r="S83" s="482">
        <v>12557.8868481221</v>
      </c>
      <c r="T83" s="482">
        <v>11212.365580766</v>
      </c>
      <c r="U83" s="482">
        <v>12515.526100765101</v>
      </c>
      <c r="V83" s="482">
        <v>11875.4769268457</v>
      </c>
      <c r="W83" s="482">
        <v>13310.7616328977</v>
      </c>
      <c r="X83" s="482">
        <v>11703.723978803901</v>
      </c>
      <c r="Y83" s="482">
        <v>11435.453801408501</v>
      </c>
      <c r="Z83" s="470"/>
      <c r="AA83" s="481" t="str">
        <f>F83</f>
        <v>Reported opening balance</v>
      </c>
      <c r="AB83" s="482">
        <v>8485.0400528851005</v>
      </c>
      <c r="AC83" s="482">
        <v>9059.9807295390001</v>
      </c>
      <c r="AD83" s="482">
        <v>10069.6841372535</v>
      </c>
      <c r="AE83" s="483">
        <v>11288.954794475299</v>
      </c>
      <c r="AF83" s="484">
        <v>10733.1447077799</v>
      </c>
      <c r="AG83" s="482">
        <v>12509.976531025301</v>
      </c>
      <c r="AH83" s="482">
        <v>11729.224263104999</v>
      </c>
      <c r="AI83" s="482">
        <v>12557.8868481221</v>
      </c>
      <c r="AJ83" s="482">
        <v>11212.365580766</v>
      </c>
      <c r="AK83" s="482">
        <v>12515.526100765101</v>
      </c>
      <c r="AL83" s="482">
        <v>11875.4769268457</v>
      </c>
      <c r="AM83" s="482">
        <v>13310.7616328977</v>
      </c>
      <c r="AN83" s="482">
        <v>11703.723978803901</v>
      </c>
      <c r="AO83" s="482">
        <v>11435.453801408501</v>
      </c>
    </row>
    <row r="84" spans="1:41" ht="13">
      <c r="A84" s="470" t="s">
        <v>561</v>
      </c>
      <c r="B84" s="485">
        <v>0</v>
      </c>
      <c r="C84" s="485">
        <v>0</v>
      </c>
      <c r="D84" s="485">
        <v>0</v>
      </c>
      <c r="E84" s="470"/>
      <c r="F84" s="470" t="s">
        <v>562</v>
      </c>
      <c r="G84" s="487">
        <v>0</v>
      </c>
      <c r="H84" s="485">
        <v>0</v>
      </c>
      <c r="I84" s="485">
        <v>0</v>
      </c>
      <c r="J84" s="472"/>
      <c r="K84" s="470" t="s">
        <v>561</v>
      </c>
      <c r="L84" s="485">
        <v>0</v>
      </c>
      <c r="M84" s="485">
        <v>0</v>
      </c>
      <c r="N84" s="485">
        <v>0</v>
      </c>
      <c r="O84" s="488">
        <v>0</v>
      </c>
      <c r="P84" s="485">
        <v>0</v>
      </c>
      <c r="Q84" s="485">
        <v>0</v>
      </c>
      <c r="R84" s="485">
        <v>0</v>
      </c>
      <c r="S84" s="485">
        <v>0</v>
      </c>
      <c r="T84" s="485">
        <v>0</v>
      </c>
      <c r="U84" s="485">
        <v>0</v>
      </c>
      <c r="V84" s="485">
        <v>0</v>
      </c>
      <c r="W84" s="485">
        <v>0</v>
      </c>
      <c r="X84" s="485">
        <v>0</v>
      </c>
      <c r="Y84" s="485">
        <v>0</v>
      </c>
      <c r="Z84" s="470"/>
      <c r="AA84" s="470" t="s">
        <v>561</v>
      </c>
      <c r="AB84" s="485">
        <v>0</v>
      </c>
      <c r="AC84" s="485">
        <v>0</v>
      </c>
      <c r="AD84" s="485">
        <v>0</v>
      </c>
      <c r="AE84" s="488">
        <v>0</v>
      </c>
      <c r="AF84" s="501">
        <v>0</v>
      </c>
      <c r="AG84" s="485">
        <v>0</v>
      </c>
      <c r="AH84" s="485">
        <v>0</v>
      </c>
      <c r="AI84" s="485">
        <v>0</v>
      </c>
      <c r="AJ84" s="485">
        <v>0</v>
      </c>
      <c r="AK84" s="485">
        <v>0</v>
      </c>
      <c r="AL84" s="485">
        <v>0</v>
      </c>
      <c r="AM84" s="485">
        <v>0</v>
      </c>
      <c r="AN84" s="485">
        <v>0</v>
      </c>
      <c r="AO84" s="485">
        <v>0</v>
      </c>
    </row>
    <row r="85" spans="1:41" ht="13">
      <c r="A85" s="481" t="s">
        <v>555</v>
      </c>
      <c r="B85" s="482">
        <v>38903.659714152898</v>
      </c>
      <c r="C85" s="482">
        <v>47530.232350032296</v>
      </c>
      <c r="D85" s="482">
        <v>48914.130241274506</v>
      </c>
      <c r="E85" s="470"/>
      <c r="F85" s="481" t="s">
        <v>555</v>
      </c>
      <c r="G85" s="483">
        <v>38903.659714152898</v>
      </c>
      <c r="H85" s="482">
        <v>47530.232350032296</v>
      </c>
      <c r="I85" s="482">
        <v>48914.130241274506</v>
      </c>
      <c r="J85" s="472"/>
      <c r="K85" s="481" t="str">
        <f t="shared" ref="K85:K92" si="12">A85</f>
        <v>Adjusted opening balance</v>
      </c>
      <c r="L85" s="482">
        <v>8485.0400528851005</v>
      </c>
      <c r="M85" s="482">
        <v>9059.9807295390001</v>
      </c>
      <c r="N85" s="482">
        <v>10069.6841372535</v>
      </c>
      <c r="O85" s="483">
        <v>11288.954794475299</v>
      </c>
      <c r="P85" s="482">
        <v>10733.1447077799</v>
      </c>
      <c r="Q85" s="482">
        <v>12509.976531025301</v>
      </c>
      <c r="R85" s="482">
        <v>11729.224263104999</v>
      </c>
      <c r="S85" s="482">
        <v>12557.8868481221</v>
      </c>
      <c r="T85" s="482">
        <v>11212.365580766</v>
      </c>
      <c r="U85" s="482">
        <v>12515.526100765101</v>
      </c>
      <c r="V85" s="482">
        <v>11875.4769268457</v>
      </c>
      <c r="W85" s="482">
        <v>13310.7616328977</v>
      </c>
      <c r="X85" s="482">
        <v>11703.723978803901</v>
      </c>
      <c r="Y85" s="482">
        <v>11435.453801408501</v>
      </c>
      <c r="Z85" s="470"/>
      <c r="AA85" s="481" t="str">
        <f t="shared" ref="AA85:AA90" si="13">F85</f>
        <v>Adjusted opening balance</v>
      </c>
      <c r="AB85" s="482">
        <v>8485.0400528851005</v>
      </c>
      <c r="AC85" s="482">
        <v>9059.9807295390001</v>
      </c>
      <c r="AD85" s="482">
        <v>10069.6841372535</v>
      </c>
      <c r="AE85" s="483">
        <v>11288.954794475299</v>
      </c>
      <c r="AF85" s="484">
        <v>10733.1447077799</v>
      </c>
      <c r="AG85" s="482">
        <v>12509.976531025301</v>
      </c>
      <c r="AH85" s="482">
        <v>11729.224263104999</v>
      </c>
      <c r="AI85" s="482">
        <v>12557.8868481221</v>
      </c>
      <c r="AJ85" s="482">
        <v>11212.365580766</v>
      </c>
      <c r="AK85" s="482">
        <v>12515.526100765101</v>
      </c>
      <c r="AL85" s="482">
        <v>11875.4769268457</v>
      </c>
      <c r="AM85" s="482">
        <v>13310.7616328977</v>
      </c>
      <c r="AN85" s="482">
        <v>11703.723978803901</v>
      </c>
      <c r="AO85" s="482">
        <v>11435.453801408501</v>
      </c>
    </row>
    <row r="86" spans="1:41" ht="13">
      <c r="A86" s="470" t="s">
        <v>556</v>
      </c>
      <c r="B86" s="472">
        <v>4711</v>
      </c>
      <c r="C86" s="472">
        <v>2094.2332573198</v>
      </c>
      <c r="D86" s="472">
        <v>1743.9686141529</v>
      </c>
      <c r="E86" s="470"/>
      <c r="F86" s="470" t="s">
        <v>556</v>
      </c>
      <c r="G86" s="487">
        <v>12</v>
      </c>
      <c r="H86" s="472">
        <v>5</v>
      </c>
      <c r="I86" s="472">
        <v>3</v>
      </c>
      <c r="J86" s="472"/>
      <c r="K86" s="470" t="str">
        <f t="shared" si="12"/>
        <v>Organic</v>
      </c>
      <c r="L86" s="472">
        <v>880.46688210410002</v>
      </c>
      <c r="M86" s="472">
        <v>2033.4890719621999</v>
      </c>
      <c r="N86" s="472">
        <v>820.70020341990005</v>
      </c>
      <c r="O86" s="487">
        <v>975.57011813019994</v>
      </c>
      <c r="P86" s="472">
        <v>700.89773869160001</v>
      </c>
      <c r="Q86" s="472">
        <v>128.69405315149999</v>
      </c>
      <c r="R86" s="472">
        <v>595.64917702119999</v>
      </c>
      <c r="S86" s="472">
        <v>668.99228845549999</v>
      </c>
      <c r="T86" s="472">
        <v>484.43368677239999</v>
      </c>
      <c r="U86" s="472">
        <v>38.499359337900003</v>
      </c>
      <c r="V86" s="472">
        <v>665.58284346180005</v>
      </c>
      <c r="W86" s="472">
        <v>555.45272458080001</v>
      </c>
      <c r="X86" s="472">
        <v>191.856101059</v>
      </c>
      <c r="Y86" s="472">
        <v>1539.9082009562999</v>
      </c>
      <c r="Z86" s="470"/>
      <c r="AA86" s="470" t="str">
        <f t="shared" si="13"/>
        <v>Organic</v>
      </c>
      <c r="AB86" s="472">
        <v>10</v>
      </c>
      <c r="AC86" s="472">
        <v>22</v>
      </c>
      <c r="AD86" s="472">
        <v>7</v>
      </c>
      <c r="AE86" s="487">
        <v>8</v>
      </c>
      <c r="AF86" s="491">
        <v>6</v>
      </c>
      <c r="AG86" s="472">
        <v>1</v>
      </c>
      <c r="AH86" s="472">
        <v>5</v>
      </c>
      <c r="AI86" s="472">
        <v>6</v>
      </c>
      <c r="AJ86" s="472">
        <v>4.4443368677240001</v>
      </c>
      <c r="AK86" s="472">
        <v>1</v>
      </c>
      <c r="AL86" s="472">
        <v>6</v>
      </c>
      <c r="AM86" s="472">
        <v>4</v>
      </c>
      <c r="AN86" s="472">
        <v>2</v>
      </c>
      <c r="AO86" s="472">
        <v>13</v>
      </c>
    </row>
    <row r="87" spans="1:41" ht="13">
      <c r="A87" s="470" t="s">
        <v>557</v>
      </c>
      <c r="B87" s="472">
        <v>1245.0817946023999</v>
      </c>
      <c r="C87" s="472">
        <v>-891.96072891429992</v>
      </c>
      <c r="D87" s="472">
        <v>-3562.4384785659004</v>
      </c>
      <c r="E87" s="470"/>
      <c r="F87" s="470" t="s">
        <v>557</v>
      </c>
      <c r="G87" s="487">
        <v>3.20042331171596</v>
      </c>
      <c r="H87" s="472">
        <v>-1.8766176490481512</v>
      </c>
      <c r="I87" s="472">
        <v>-7.2830457395312314</v>
      </c>
      <c r="J87" s="472"/>
      <c r="K87" s="470" t="str">
        <f t="shared" si="12"/>
        <v>Currency</v>
      </c>
      <c r="L87" s="472">
        <v>607.7191944791</v>
      </c>
      <c r="M87" s="472">
        <v>517.72619009089999</v>
      </c>
      <c r="N87" s="472">
        <v>157.18374703649999</v>
      </c>
      <c r="O87" s="487">
        <v>-37.547337004100001</v>
      </c>
      <c r="P87" s="472">
        <v>-323.16262453299998</v>
      </c>
      <c r="Q87" s="472">
        <v>-141.68469552689999</v>
      </c>
      <c r="R87" s="472">
        <v>-480.19960849850003</v>
      </c>
      <c r="S87" s="472">
        <v>53.086199644099999</v>
      </c>
      <c r="T87" s="472">
        <v>-18.1434125253</v>
      </c>
      <c r="U87" s="472">
        <v>-1119.2314186942999</v>
      </c>
      <c r="V87" s="472">
        <v>-1027.8031305827001</v>
      </c>
      <c r="W87" s="472">
        <v>-1397.2605167636</v>
      </c>
      <c r="X87" s="472">
        <v>-1119.753025231</v>
      </c>
      <c r="Y87" s="472">
        <v>-135.88992195599999</v>
      </c>
      <c r="Z87" s="470"/>
      <c r="AA87" s="470" t="str">
        <f t="shared" si="13"/>
        <v>Currency</v>
      </c>
      <c r="AB87" s="472">
        <v>7.1622430853754446</v>
      </c>
      <c r="AC87" s="472">
        <v>5.714429263661839</v>
      </c>
      <c r="AD87" s="472">
        <v>1.5609600548937552</v>
      </c>
      <c r="AE87" s="487">
        <v>-0.33260242146133218</v>
      </c>
      <c r="AF87" s="491">
        <v>-3.0108848183026558</v>
      </c>
      <c r="AG87" s="472">
        <v>-1.1325736317371629</v>
      </c>
      <c r="AH87" s="472">
        <v>-4.0940440537828033</v>
      </c>
      <c r="AI87" s="472">
        <v>0.42273194754926846</v>
      </c>
      <c r="AJ87" s="472">
        <v>-0.18143412525300001</v>
      </c>
      <c r="AK87" s="472">
        <v>-10</v>
      </c>
      <c r="AL87" s="472">
        <v>-8.6548366597323643</v>
      </c>
      <c r="AM87" s="472">
        <v>-10.497224391054036</v>
      </c>
      <c r="AN87" s="472">
        <v>-9.5674934513060581</v>
      </c>
      <c r="AO87" s="472">
        <v>-1.1883212010288782</v>
      </c>
    </row>
    <row r="88" spans="1:41" ht="13">
      <c r="A88" s="492" t="s">
        <v>558</v>
      </c>
      <c r="B88" s="493">
        <v>2670.0645656606002</v>
      </c>
      <c r="C88" s="493">
        <v>181.72536283670001</v>
      </c>
      <c r="D88" s="493">
        <v>25.1855841402</v>
      </c>
      <c r="E88" s="470"/>
      <c r="F88" s="492" t="s">
        <v>558</v>
      </c>
      <c r="G88" s="494">
        <v>6.8632734947793299</v>
      </c>
      <c r="H88" s="493">
        <v>0.38233636540717764</v>
      </c>
      <c r="I88" s="493">
        <v>5.148938357069674E-2</v>
      </c>
      <c r="J88" s="472"/>
      <c r="K88" s="492" t="str">
        <f t="shared" si="12"/>
        <v>Structure</v>
      </c>
      <c r="L88" s="493">
        <v>759.91857831159996</v>
      </c>
      <c r="M88" s="493">
        <v>898.58053943319999</v>
      </c>
      <c r="N88" s="493">
        <v>680.65617539519997</v>
      </c>
      <c r="O88" s="494">
        <v>330.90927252059998</v>
      </c>
      <c r="P88" s="493">
        <v>101.48575882740001</v>
      </c>
      <c r="Q88" s="493">
        <v>18.540212115100001</v>
      </c>
      <c r="R88" s="493">
        <v>30.903095218099999</v>
      </c>
      <c r="S88" s="493">
        <v>30.796296676099999</v>
      </c>
      <c r="T88" s="493">
        <v>25.068123790999998</v>
      </c>
      <c r="U88" s="493">
        <v>-4.0240000200000001E-2</v>
      </c>
      <c r="V88" s="493">
        <v>0.24340000019999999</v>
      </c>
      <c r="W88" s="493">
        <v>-8.5699650799999999E-2</v>
      </c>
      <c r="X88" s="493">
        <v>0.23519999999999999</v>
      </c>
      <c r="Y88" s="493">
        <v>-0.23519999999999999</v>
      </c>
      <c r="Z88" s="470"/>
      <c r="AA88" s="492" t="str">
        <f t="shared" si="13"/>
        <v>Structure</v>
      </c>
      <c r="AB88" s="493">
        <v>8.9559810392787824</v>
      </c>
      <c r="AC88" s="493">
        <v>9.9181285949481541</v>
      </c>
      <c r="AD88" s="493">
        <v>6.759459046754654</v>
      </c>
      <c r="AE88" s="494">
        <v>2.9312658128681996</v>
      </c>
      <c r="AF88" s="495">
        <v>0.94553610885203321</v>
      </c>
      <c r="AG88" s="493">
        <v>0.14820341244541463</v>
      </c>
      <c r="AH88" s="493">
        <v>0.26347092122117227</v>
      </c>
      <c r="AI88" s="493">
        <v>0.24523470428231531</v>
      </c>
      <c r="AJ88" s="493">
        <v>0.25068123791000002</v>
      </c>
      <c r="AK88" s="493">
        <v>-3.2152064464585346E-4</v>
      </c>
      <c r="AL88" s="493">
        <v>2.0496018955648847E-3</v>
      </c>
      <c r="AM88" s="493">
        <v>-6.4383731873157669E-4</v>
      </c>
      <c r="AN88" s="493">
        <v>2.0096167717724746E-3</v>
      </c>
      <c r="AO88" s="493">
        <v>-2.0567614026041582E-3</v>
      </c>
    </row>
    <row r="89" spans="1:41" ht="13">
      <c r="A89" s="470" t="s">
        <v>471</v>
      </c>
      <c r="B89" s="472">
        <v>8626</v>
      </c>
      <c r="C89" s="472">
        <v>1383.9978912422</v>
      </c>
      <c r="D89" s="472">
        <v>-1793.0842802727998</v>
      </c>
      <c r="E89" s="470"/>
      <c r="F89" s="470" t="s">
        <v>471</v>
      </c>
      <c r="G89" s="487">
        <v>22</v>
      </c>
      <c r="H89" s="472">
        <v>3</v>
      </c>
      <c r="I89" s="472">
        <v>-4</v>
      </c>
      <c r="J89" s="472"/>
      <c r="K89" s="470" t="str">
        <f t="shared" si="12"/>
        <v>Total</v>
      </c>
      <c r="L89" s="472">
        <v>2248.1046548947998</v>
      </c>
      <c r="M89" s="472">
        <v>3449.7958014862998</v>
      </c>
      <c r="N89" s="472">
        <v>1658.5401258515999</v>
      </c>
      <c r="O89" s="487">
        <v>1268.9320536466998</v>
      </c>
      <c r="P89" s="472">
        <v>479.22087298600002</v>
      </c>
      <c r="Q89" s="472">
        <v>5.5495697397000008</v>
      </c>
      <c r="R89" s="472">
        <v>146.35266374079995</v>
      </c>
      <c r="S89" s="472">
        <v>752.87478477570005</v>
      </c>
      <c r="T89" s="472">
        <v>491.35839803810001</v>
      </c>
      <c r="U89" s="472">
        <v>-1080.7722993565999</v>
      </c>
      <c r="V89" s="472">
        <v>-361.97688712070004</v>
      </c>
      <c r="W89" s="472">
        <v>-841.69349183359998</v>
      </c>
      <c r="X89" s="472">
        <v>-927.66172417200005</v>
      </c>
      <c r="Y89" s="472">
        <v>1403.7830790002997</v>
      </c>
      <c r="Z89" s="470"/>
      <c r="AA89" s="470" t="str">
        <f t="shared" si="13"/>
        <v>Total</v>
      </c>
      <c r="AB89" s="472">
        <v>26</v>
      </c>
      <c r="AC89" s="472">
        <v>38</v>
      </c>
      <c r="AD89" s="472">
        <v>16</v>
      </c>
      <c r="AE89" s="487">
        <v>11</v>
      </c>
      <c r="AF89" s="491">
        <v>4</v>
      </c>
      <c r="AG89" s="472">
        <v>0</v>
      </c>
      <c r="AH89" s="472">
        <v>1</v>
      </c>
      <c r="AI89" s="472">
        <v>6</v>
      </c>
      <c r="AJ89" s="472">
        <v>4.9135839803810004</v>
      </c>
      <c r="AK89" s="472">
        <v>-9</v>
      </c>
      <c r="AL89" s="472">
        <v>-3</v>
      </c>
      <c r="AM89" s="472">
        <v>-6</v>
      </c>
      <c r="AN89" s="472">
        <v>-8</v>
      </c>
      <c r="AO89" s="472">
        <v>12</v>
      </c>
    </row>
    <row r="90" spans="1:41" ht="13">
      <c r="A90" s="481" t="s">
        <v>559</v>
      </c>
      <c r="B90" s="482">
        <v>47530.032350032299</v>
      </c>
      <c r="C90" s="482">
        <v>48914.230241274505</v>
      </c>
      <c r="D90" s="482">
        <v>47120.945961001707</v>
      </c>
      <c r="E90" s="470"/>
      <c r="F90" s="481" t="s">
        <v>559</v>
      </c>
      <c r="G90" s="483">
        <v>47530.032350032299</v>
      </c>
      <c r="H90" s="482">
        <v>48914.230241274505</v>
      </c>
      <c r="I90" s="482">
        <v>47121.145961001697</v>
      </c>
      <c r="J90" s="472"/>
      <c r="K90" s="481" t="str">
        <f t="shared" si="12"/>
        <v>Operational closing balance</v>
      </c>
      <c r="L90" s="482">
        <v>10733.1447077799</v>
      </c>
      <c r="M90" s="482">
        <v>12509.7765310253</v>
      </c>
      <c r="N90" s="482">
        <v>11729.224263105099</v>
      </c>
      <c r="O90" s="483">
        <v>12557.886848122</v>
      </c>
      <c r="P90" s="482">
        <v>11212.3655807659</v>
      </c>
      <c r="Q90" s="482">
        <v>12515.526100765001</v>
      </c>
      <c r="R90" s="482">
        <v>11875.576926845799</v>
      </c>
      <c r="S90" s="482">
        <v>13310.7616328978</v>
      </c>
      <c r="T90" s="482">
        <v>11703.723978804101</v>
      </c>
      <c r="U90" s="482">
        <v>11434.7538014085</v>
      </c>
      <c r="V90" s="482">
        <v>11513.400039725</v>
      </c>
      <c r="W90" s="482">
        <v>12469.068141064101</v>
      </c>
      <c r="X90" s="482">
        <v>10776.062254631901</v>
      </c>
      <c r="Y90" s="482">
        <v>12839.2368804088</v>
      </c>
      <c r="Z90" s="470"/>
      <c r="AA90" s="481" t="str">
        <f t="shared" si="13"/>
        <v>Operational closing balance</v>
      </c>
      <c r="AB90" s="482">
        <v>10733.1447077799</v>
      </c>
      <c r="AC90" s="482">
        <v>12509.7765310253</v>
      </c>
      <c r="AD90" s="482">
        <v>11729.224263105099</v>
      </c>
      <c r="AE90" s="483">
        <v>12557.886848122</v>
      </c>
      <c r="AF90" s="484">
        <v>11212.3655807659</v>
      </c>
      <c r="AG90" s="482">
        <v>12515.526100765001</v>
      </c>
      <c r="AH90" s="482">
        <v>11875.576926845799</v>
      </c>
      <c r="AI90" s="482">
        <v>13310.7616328978</v>
      </c>
      <c r="AJ90" s="482">
        <v>11703.723978804101</v>
      </c>
      <c r="AK90" s="482">
        <v>11434.7538014085</v>
      </c>
      <c r="AL90" s="482">
        <v>11513.400039725</v>
      </c>
      <c r="AM90" s="482">
        <v>12469.068141064101</v>
      </c>
      <c r="AN90" s="482">
        <v>10776.062254631901</v>
      </c>
      <c r="AO90" s="482">
        <v>12839.2368804088</v>
      </c>
    </row>
    <row r="91" spans="1:41" ht="13">
      <c r="A91" s="470" t="s">
        <v>561</v>
      </c>
      <c r="B91" s="472">
        <v>0</v>
      </c>
      <c r="C91" s="472">
        <v>0</v>
      </c>
      <c r="D91" s="472">
        <v>0</v>
      </c>
      <c r="E91" s="470"/>
      <c r="F91" s="470" t="s">
        <v>562</v>
      </c>
      <c r="G91" s="487">
        <v>0</v>
      </c>
      <c r="H91" s="472">
        <v>0</v>
      </c>
      <c r="I91" s="472">
        <v>0</v>
      </c>
      <c r="J91" s="472"/>
      <c r="K91" s="470" t="str">
        <f t="shared" si="12"/>
        <v>Adjustment</v>
      </c>
      <c r="L91" s="472">
        <v>0</v>
      </c>
      <c r="M91" s="472">
        <v>0</v>
      </c>
      <c r="N91" s="472">
        <v>0</v>
      </c>
      <c r="O91" s="487">
        <v>0</v>
      </c>
      <c r="P91" s="472">
        <v>0</v>
      </c>
      <c r="Q91" s="472">
        <v>0</v>
      </c>
      <c r="R91" s="472">
        <v>0</v>
      </c>
      <c r="S91" s="472">
        <v>0</v>
      </c>
      <c r="T91" s="472">
        <v>0</v>
      </c>
      <c r="U91" s="472">
        <v>0</v>
      </c>
      <c r="V91" s="472">
        <v>0</v>
      </c>
      <c r="W91" s="472">
        <v>0</v>
      </c>
      <c r="X91" s="472">
        <v>0</v>
      </c>
      <c r="Y91" s="472">
        <v>0</v>
      </c>
      <c r="Z91" s="470"/>
      <c r="AA91" s="470" t="s">
        <v>561</v>
      </c>
      <c r="AB91" s="472">
        <v>0</v>
      </c>
      <c r="AC91" s="472">
        <v>0</v>
      </c>
      <c r="AD91" s="472">
        <v>0</v>
      </c>
      <c r="AE91" s="487">
        <v>0</v>
      </c>
      <c r="AF91" s="491">
        <v>0</v>
      </c>
      <c r="AG91" s="472">
        <v>0</v>
      </c>
      <c r="AH91" s="472">
        <v>0</v>
      </c>
      <c r="AI91" s="472">
        <v>0</v>
      </c>
      <c r="AJ91" s="472">
        <v>0</v>
      </c>
      <c r="AK91" s="472">
        <v>0</v>
      </c>
      <c r="AL91" s="472">
        <v>0</v>
      </c>
      <c r="AM91" s="472">
        <v>0</v>
      </c>
      <c r="AN91" s="472">
        <v>0</v>
      </c>
      <c r="AO91" s="472">
        <v>0</v>
      </c>
    </row>
    <row r="92" spans="1:41" ht="13">
      <c r="A92" s="496" t="s">
        <v>560</v>
      </c>
      <c r="B92" s="497">
        <v>47530.232350032296</v>
      </c>
      <c r="C92" s="497">
        <v>48914.230241274505</v>
      </c>
      <c r="D92" s="497">
        <v>47121.145961001697</v>
      </c>
      <c r="E92" s="470"/>
      <c r="F92" s="496" t="s">
        <v>560</v>
      </c>
      <c r="G92" s="498">
        <v>47530.232350032296</v>
      </c>
      <c r="H92" s="497">
        <v>48914.230241274505</v>
      </c>
      <c r="I92" s="497">
        <v>47121.145961001697</v>
      </c>
      <c r="J92" s="472"/>
      <c r="K92" s="496" t="str">
        <f t="shared" si="12"/>
        <v>Reported closing balance</v>
      </c>
      <c r="L92" s="497">
        <v>10733.1447077799</v>
      </c>
      <c r="M92" s="497">
        <v>12509.976531025301</v>
      </c>
      <c r="N92" s="497">
        <v>11729.224263105099</v>
      </c>
      <c r="O92" s="498">
        <v>12557.886848122</v>
      </c>
      <c r="P92" s="497">
        <v>11212.3655807659</v>
      </c>
      <c r="Q92" s="497">
        <v>12515.526100765001</v>
      </c>
      <c r="R92" s="497">
        <v>11875.576926845801</v>
      </c>
      <c r="S92" s="497">
        <v>13310.7616328978</v>
      </c>
      <c r="T92" s="497">
        <v>11703.723978804101</v>
      </c>
      <c r="U92" s="497">
        <v>11434.7538014085</v>
      </c>
      <c r="V92" s="497">
        <v>11512.600039725001</v>
      </c>
      <c r="W92" s="497">
        <v>12469.068141064099</v>
      </c>
      <c r="X92" s="497">
        <v>10776.062254631899</v>
      </c>
      <c r="Y92" s="497">
        <v>12839.2368804088</v>
      </c>
      <c r="Z92" s="470"/>
      <c r="AA92" s="496" t="str">
        <f>F92</f>
        <v>Reported closing balance</v>
      </c>
      <c r="AB92" s="497">
        <v>10733.1447077799</v>
      </c>
      <c r="AC92" s="497">
        <v>12509.976531025301</v>
      </c>
      <c r="AD92" s="497">
        <v>11729.224263105099</v>
      </c>
      <c r="AE92" s="498">
        <v>12557.886848122</v>
      </c>
      <c r="AF92" s="499">
        <v>11212.3655807659</v>
      </c>
      <c r="AG92" s="497">
        <v>12515.526100765001</v>
      </c>
      <c r="AH92" s="497">
        <v>11875.576926845801</v>
      </c>
      <c r="AI92" s="497">
        <v>13310.7616328978</v>
      </c>
      <c r="AJ92" s="497">
        <v>11703.723978804101</v>
      </c>
      <c r="AK92" s="497">
        <v>11434.7538014085</v>
      </c>
      <c r="AL92" s="497">
        <v>11512.600039725001</v>
      </c>
      <c r="AM92" s="497">
        <v>12469.068141064099</v>
      </c>
      <c r="AN92" s="497">
        <v>10776.062254631899</v>
      </c>
      <c r="AO92" s="497">
        <v>12839.2368804088</v>
      </c>
    </row>
    <row r="93" spans="1:41" ht="13">
      <c r="A93" s="470"/>
      <c r="B93" s="470"/>
      <c r="C93" s="470"/>
      <c r="D93" s="470"/>
      <c r="E93" s="470"/>
      <c r="F93" s="470"/>
      <c r="G93" s="500"/>
      <c r="H93" s="470"/>
      <c r="I93" s="470"/>
      <c r="J93" s="472"/>
      <c r="K93" s="470"/>
      <c r="L93" s="470"/>
      <c r="M93" s="470"/>
      <c r="N93" s="470"/>
      <c r="O93" s="500"/>
      <c r="P93" s="470"/>
      <c r="Q93" s="470"/>
      <c r="R93" s="470"/>
      <c r="S93" s="470"/>
      <c r="T93" s="470"/>
      <c r="U93" s="470"/>
      <c r="V93" s="470"/>
      <c r="W93" s="470"/>
      <c r="X93" s="470"/>
      <c r="Y93" s="470"/>
      <c r="Z93" s="470"/>
      <c r="AA93" s="470"/>
      <c r="AB93" s="470"/>
      <c r="AC93" s="470"/>
      <c r="AD93" s="470"/>
      <c r="AE93" s="470"/>
      <c r="AF93" s="470"/>
      <c r="AG93" s="470"/>
      <c r="AH93" s="470"/>
      <c r="AI93" s="470"/>
      <c r="AJ93" s="470"/>
      <c r="AK93" s="470"/>
    </row>
    <row r="94" spans="1:41" ht="13">
      <c r="A94" s="507" t="s">
        <v>502</v>
      </c>
      <c r="B94" s="507"/>
      <c r="C94" s="507"/>
      <c r="D94" s="507"/>
      <c r="E94" s="470"/>
      <c r="F94" s="507" t="s">
        <v>502</v>
      </c>
      <c r="G94" s="508"/>
      <c r="H94" s="507"/>
      <c r="I94" s="507"/>
      <c r="J94" s="472"/>
      <c r="K94" s="507" t="str">
        <f>A94</f>
        <v xml:space="preserve">Revenues </v>
      </c>
      <c r="L94" s="507"/>
      <c r="M94" s="507"/>
      <c r="N94" s="507"/>
      <c r="O94" s="508"/>
      <c r="P94" s="507"/>
      <c r="Q94" s="507"/>
      <c r="R94" s="507"/>
      <c r="S94" s="507"/>
      <c r="T94" s="507"/>
      <c r="U94" s="507"/>
      <c r="V94" s="507"/>
      <c r="W94" s="507"/>
      <c r="X94" s="507"/>
      <c r="Y94" s="507"/>
      <c r="Z94" s="470"/>
      <c r="AA94" s="507" t="str">
        <f>F94</f>
        <v xml:space="preserve">Revenues </v>
      </c>
      <c r="AB94" s="507"/>
      <c r="AC94" s="507"/>
      <c r="AD94" s="507"/>
      <c r="AE94" s="508"/>
      <c r="AF94" s="509"/>
      <c r="AG94" s="507"/>
      <c r="AH94" s="507"/>
      <c r="AI94" s="507"/>
      <c r="AJ94" s="507"/>
      <c r="AK94" s="507"/>
      <c r="AL94" s="507"/>
      <c r="AM94" s="507"/>
      <c r="AN94" s="507"/>
      <c r="AO94" s="507"/>
    </row>
    <row r="95" spans="1:41" ht="13">
      <c r="A95" s="315" t="s">
        <v>334</v>
      </c>
      <c r="B95" s="315">
        <v>2023</v>
      </c>
      <c r="C95" s="315">
        <v>2024</v>
      </c>
      <c r="D95" s="315">
        <v>2025</v>
      </c>
      <c r="E95" s="470"/>
      <c r="F95" s="315" t="s">
        <v>334</v>
      </c>
      <c r="G95" s="479">
        <v>2023</v>
      </c>
      <c r="H95" s="315">
        <v>2024</v>
      </c>
      <c r="I95" s="315">
        <v>2025</v>
      </c>
      <c r="J95" s="472"/>
      <c r="K95" s="315" t="str">
        <f>A95</f>
        <v xml:space="preserve">Equipment </v>
      </c>
      <c r="L95" s="315" t="s">
        <v>148</v>
      </c>
      <c r="M95" s="315" t="s">
        <v>149</v>
      </c>
      <c r="N95" s="315" t="s">
        <v>150</v>
      </c>
      <c r="O95" s="479" t="s">
        <v>151</v>
      </c>
      <c r="P95" s="315" t="s">
        <v>152</v>
      </c>
      <c r="Q95" s="315" t="s">
        <v>153</v>
      </c>
      <c r="R95" s="315" t="s">
        <v>154</v>
      </c>
      <c r="S95" s="315" t="s">
        <v>155</v>
      </c>
      <c r="T95" s="315" t="s">
        <v>156</v>
      </c>
      <c r="U95" s="315" t="s">
        <v>157</v>
      </c>
      <c r="V95" s="315" t="s">
        <v>158</v>
      </c>
      <c r="W95" s="315" t="s">
        <v>820</v>
      </c>
      <c r="X95" s="315" t="s">
        <v>1275</v>
      </c>
      <c r="Y95" s="315" t="s">
        <v>1344</v>
      </c>
      <c r="Z95" s="470"/>
      <c r="AA95" s="315" t="str">
        <f>F95</f>
        <v xml:space="preserve">Equipment </v>
      </c>
      <c r="AB95" s="315" t="s">
        <v>148</v>
      </c>
      <c r="AC95" s="315" t="s">
        <v>149</v>
      </c>
      <c r="AD95" s="315" t="s">
        <v>150</v>
      </c>
      <c r="AE95" s="479" t="s">
        <v>151</v>
      </c>
      <c r="AF95" s="480" t="s">
        <v>152</v>
      </c>
      <c r="AG95" s="315" t="s">
        <v>153</v>
      </c>
      <c r="AH95" s="315" t="s">
        <v>154</v>
      </c>
      <c r="AI95" s="315" t="s">
        <v>155</v>
      </c>
      <c r="AJ95" s="315" t="s">
        <v>156</v>
      </c>
      <c r="AK95" s="315" t="s">
        <v>157</v>
      </c>
      <c r="AL95" s="315" t="s">
        <v>158</v>
      </c>
      <c r="AM95" s="315" t="s">
        <v>820</v>
      </c>
      <c r="AN95" s="315" t="s">
        <v>1275</v>
      </c>
      <c r="AO95" s="315" t="s">
        <v>1344</v>
      </c>
    </row>
    <row r="96" spans="1:41" ht="13">
      <c r="A96" s="481" t="s">
        <v>553</v>
      </c>
      <c r="B96" s="482">
        <v>17169.6134543972</v>
      </c>
      <c r="C96" s="482">
        <v>20410.1837982896</v>
      </c>
      <c r="D96" s="482">
        <v>21726.3670352113</v>
      </c>
      <c r="E96" s="470"/>
      <c r="F96" s="481" t="s">
        <v>553</v>
      </c>
      <c r="G96" s="483">
        <v>17169.6134543972</v>
      </c>
      <c r="H96" s="482">
        <v>20410.1837982896</v>
      </c>
      <c r="I96" s="482">
        <v>21726.3670352113</v>
      </c>
      <c r="J96" s="472"/>
      <c r="K96" s="481" t="str">
        <f>A96</f>
        <v>Reported opening balance</v>
      </c>
      <c r="L96" s="482">
        <v>3809.6257314947006</v>
      </c>
      <c r="M96" s="482">
        <v>3693.7341801234998</v>
      </c>
      <c r="N96" s="482">
        <v>4383.4352226832998</v>
      </c>
      <c r="O96" s="483">
        <v>5282.8183200957001</v>
      </c>
      <c r="P96" s="482">
        <v>4119.3110178055003</v>
      </c>
      <c r="Q96" s="482">
        <v>5488.646848804301</v>
      </c>
      <c r="R96" s="482">
        <v>4871.4002468865992</v>
      </c>
      <c r="S96" s="482">
        <v>5930.8256847931998</v>
      </c>
      <c r="T96" s="482">
        <v>4708.3182788562999</v>
      </c>
      <c r="U96" s="482">
        <v>5547.0454628759007</v>
      </c>
      <c r="V96" s="482">
        <v>5178.3339756837995</v>
      </c>
      <c r="W96" s="482">
        <v>6292.6693177953002</v>
      </c>
      <c r="X96" s="482">
        <v>5072.1719460002005</v>
      </c>
      <c r="Y96" s="482">
        <v>5012.204861857701</v>
      </c>
      <c r="Z96" s="470"/>
      <c r="AA96" s="481" t="str">
        <f>F96</f>
        <v>Reported opening balance</v>
      </c>
      <c r="AB96" s="482">
        <v>3809.6257314947006</v>
      </c>
      <c r="AC96" s="482">
        <v>3693.7341801234998</v>
      </c>
      <c r="AD96" s="482">
        <v>4383.4352226832998</v>
      </c>
      <c r="AE96" s="483">
        <v>5282.8183200957001</v>
      </c>
      <c r="AF96" s="484">
        <v>4119.3110178055003</v>
      </c>
      <c r="AG96" s="482">
        <v>5488.646848804301</v>
      </c>
      <c r="AH96" s="482">
        <v>4871.4002468865992</v>
      </c>
      <c r="AI96" s="482">
        <v>5930.8256847931998</v>
      </c>
      <c r="AJ96" s="482">
        <v>4708.3182788562999</v>
      </c>
      <c r="AK96" s="482">
        <v>5547.0454628759007</v>
      </c>
      <c r="AL96" s="482">
        <v>5178.3339756837995</v>
      </c>
      <c r="AM96" s="482">
        <v>6292.6693177953002</v>
      </c>
      <c r="AN96" s="482">
        <v>5072.1719460002005</v>
      </c>
      <c r="AO96" s="482">
        <v>5012.204861857701</v>
      </c>
    </row>
    <row r="97" spans="1:41" ht="13">
      <c r="A97" s="470" t="s">
        <v>561</v>
      </c>
      <c r="B97" s="485">
        <v>0</v>
      </c>
      <c r="C97" s="485">
        <v>101.5</v>
      </c>
      <c r="D97" s="485">
        <v>0</v>
      </c>
      <c r="E97" s="470"/>
      <c r="F97" s="470" t="s">
        <v>562</v>
      </c>
      <c r="G97" s="487">
        <v>0</v>
      </c>
      <c r="H97" s="485">
        <v>0.82322629556173066</v>
      </c>
      <c r="I97" s="485">
        <v>0</v>
      </c>
      <c r="J97" s="472"/>
      <c r="K97" s="470" t="s">
        <v>561</v>
      </c>
      <c r="L97" s="485">
        <v>0</v>
      </c>
      <c r="M97" s="485">
        <v>0</v>
      </c>
      <c r="N97" s="485">
        <v>0</v>
      </c>
      <c r="O97" s="488">
        <v>0</v>
      </c>
      <c r="P97" s="485">
        <v>0</v>
      </c>
      <c r="Q97" s="485">
        <v>0</v>
      </c>
      <c r="R97" s="485">
        <v>101.5</v>
      </c>
      <c r="S97" s="485">
        <v>0</v>
      </c>
      <c r="T97" s="485">
        <v>0</v>
      </c>
      <c r="U97" s="485">
        <v>0</v>
      </c>
      <c r="V97" s="485">
        <v>0</v>
      </c>
      <c r="W97" s="485">
        <v>0</v>
      </c>
      <c r="X97" s="485">
        <v>0</v>
      </c>
      <c r="Y97" s="485">
        <v>0</v>
      </c>
      <c r="Z97" s="470"/>
      <c r="AA97" s="470" t="s">
        <v>561</v>
      </c>
      <c r="AB97" s="485">
        <v>0</v>
      </c>
      <c r="AC97" s="485">
        <v>0</v>
      </c>
      <c r="AD97" s="485">
        <v>0</v>
      </c>
      <c r="AE97" s="488">
        <v>0</v>
      </c>
      <c r="AF97" s="501">
        <v>0</v>
      </c>
      <c r="AG97" s="485">
        <v>1.2119927157363346</v>
      </c>
      <c r="AH97" s="485">
        <v>2.083589827480723</v>
      </c>
      <c r="AI97" s="485">
        <v>0</v>
      </c>
      <c r="AJ97" s="485">
        <v>0</v>
      </c>
      <c r="AK97" s="485">
        <v>0</v>
      </c>
      <c r="AL97" s="485">
        <v>0</v>
      </c>
      <c r="AM97" s="485">
        <v>0</v>
      </c>
      <c r="AN97" s="485">
        <v>0</v>
      </c>
      <c r="AO97" s="485">
        <v>0</v>
      </c>
    </row>
    <row r="98" spans="1:41" ht="13">
      <c r="A98" s="481" t="s">
        <v>555</v>
      </c>
      <c r="B98" s="482">
        <v>17169.6134543972</v>
      </c>
      <c r="C98" s="482">
        <v>20511.6837982896</v>
      </c>
      <c r="D98" s="482">
        <v>21726.3670352113</v>
      </c>
      <c r="E98" s="470"/>
      <c r="F98" s="481" t="s">
        <v>555</v>
      </c>
      <c r="G98" s="483">
        <v>17169.6134543972</v>
      </c>
      <c r="H98" s="482">
        <v>20578.2057982896</v>
      </c>
      <c r="I98" s="482">
        <v>21726.3670352113</v>
      </c>
      <c r="J98" s="472"/>
      <c r="K98" s="481" t="str">
        <f t="shared" ref="K98:K103" si="14">A98</f>
        <v>Adjusted opening balance</v>
      </c>
      <c r="L98" s="482">
        <v>3809.6257314947006</v>
      </c>
      <c r="M98" s="482">
        <v>3693.7341801234998</v>
      </c>
      <c r="N98" s="482">
        <v>4383.4352226832998</v>
      </c>
      <c r="O98" s="483">
        <v>5282.8183200957001</v>
      </c>
      <c r="P98" s="482">
        <v>4119.3110178055003</v>
      </c>
      <c r="Q98" s="482">
        <v>5488.646848804301</v>
      </c>
      <c r="R98" s="482">
        <v>4972.9002468865992</v>
      </c>
      <c r="S98" s="482">
        <v>5930.8256847931998</v>
      </c>
      <c r="T98" s="482">
        <v>4708.3182788562999</v>
      </c>
      <c r="U98" s="482">
        <v>5547.0454628759007</v>
      </c>
      <c r="V98" s="482">
        <v>5178.3339756837995</v>
      </c>
      <c r="W98" s="482">
        <v>6292.6693177953002</v>
      </c>
      <c r="X98" s="482">
        <v>5072.1719460002005</v>
      </c>
      <c r="Y98" s="482">
        <v>5012.204861857701</v>
      </c>
      <c r="Z98" s="470"/>
      <c r="AA98" s="481" t="str">
        <f t="shared" ref="AA98:AA103" si="15">F98</f>
        <v>Adjusted opening balance</v>
      </c>
      <c r="AB98" s="482">
        <v>3809.6257314947006</v>
      </c>
      <c r="AC98" s="482">
        <v>3693.7341801234998</v>
      </c>
      <c r="AD98" s="482">
        <v>4383.4352226832998</v>
      </c>
      <c r="AE98" s="483">
        <v>5282.8183200957001</v>
      </c>
      <c r="AF98" s="484">
        <v>4119.3110178055003</v>
      </c>
      <c r="AG98" s="482">
        <v>5555.168848804301</v>
      </c>
      <c r="AH98" s="482">
        <v>4972.9002468865992</v>
      </c>
      <c r="AI98" s="482">
        <v>5930.8256847931998</v>
      </c>
      <c r="AJ98" s="482">
        <v>4708.3182788562999</v>
      </c>
      <c r="AK98" s="482">
        <v>5547.0454628759007</v>
      </c>
      <c r="AL98" s="482">
        <v>5178.3339756837995</v>
      </c>
      <c r="AM98" s="482">
        <v>6292.6693177953002</v>
      </c>
      <c r="AN98" s="482">
        <v>5072.1719460002005</v>
      </c>
      <c r="AO98" s="482">
        <v>5012.204861857701</v>
      </c>
    </row>
    <row r="99" spans="1:41" ht="13">
      <c r="A99" s="470" t="s">
        <v>556</v>
      </c>
      <c r="B99" s="502">
        <v>2070</v>
      </c>
      <c r="C99" s="472">
        <v>1202.0501401193999</v>
      </c>
      <c r="D99" s="472">
        <v>1068.4018507160999</v>
      </c>
      <c r="E99" s="470"/>
      <c r="F99" s="470" t="s">
        <v>556</v>
      </c>
      <c r="G99" s="487">
        <v>12</v>
      </c>
      <c r="H99" s="472">
        <v>7</v>
      </c>
      <c r="I99" s="472">
        <v>5</v>
      </c>
      <c r="J99" s="472"/>
      <c r="K99" s="470" t="str">
        <f t="shared" si="14"/>
        <v>Organic</v>
      </c>
      <c r="L99" s="502">
        <v>-40.893011010100054</v>
      </c>
      <c r="M99" s="502">
        <v>1330.5329992410998</v>
      </c>
      <c r="N99" s="502">
        <v>266.61012683410007</v>
      </c>
      <c r="O99" s="503">
        <v>513.01387571989994</v>
      </c>
      <c r="P99" s="502">
        <v>540.90212581790001</v>
      </c>
      <c r="Q99" s="502">
        <v>20.660248122999974</v>
      </c>
      <c r="R99" s="502">
        <v>410.66868166949996</v>
      </c>
      <c r="S99" s="502">
        <v>229.81908450899994</v>
      </c>
      <c r="T99" s="502">
        <v>369.44548477239999</v>
      </c>
      <c r="U99" s="502">
        <v>-78.7144999625</v>
      </c>
      <c r="V99" s="502">
        <v>525.53001285959999</v>
      </c>
      <c r="W99" s="502">
        <v>252.1408530466</v>
      </c>
      <c r="X99" s="472">
        <v>-49.194908217900007</v>
      </c>
      <c r="Y99" s="472">
        <v>1078.7725515909999</v>
      </c>
      <c r="Z99" s="470"/>
      <c r="AA99" s="470" t="str">
        <f t="shared" si="15"/>
        <v>Organic</v>
      </c>
      <c r="AB99" s="502">
        <v>-1</v>
      </c>
      <c r="AC99" s="502">
        <v>37</v>
      </c>
      <c r="AD99" s="502">
        <v>6</v>
      </c>
      <c r="AE99" s="503">
        <v>10</v>
      </c>
      <c r="AF99" s="504">
        <v>13</v>
      </c>
      <c r="AG99" s="502">
        <v>1</v>
      </c>
      <c r="AH99" s="502">
        <v>8</v>
      </c>
      <c r="AI99" s="502">
        <v>4</v>
      </c>
      <c r="AJ99" s="502">
        <v>8</v>
      </c>
      <c r="AK99" s="502">
        <v>-1</v>
      </c>
      <c r="AL99" s="502">
        <v>10</v>
      </c>
      <c r="AM99" s="502">
        <v>4</v>
      </c>
      <c r="AN99" s="502">
        <v>-1</v>
      </c>
      <c r="AO99" s="502">
        <v>21</v>
      </c>
    </row>
    <row r="100" spans="1:41" ht="13">
      <c r="A100" s="470" t="s">
        <v>557</v>
      </c>
      <c r="B100" s="502">
        <v>551.78256310959989</v>
      </c>
      <c r="C100" s="472">
        <v>-322.68763668630004</v>
      </c>
      <c r="D100" s="472">
        <v>-1565.0045539313001</v>
      </c>
      <c r="E100" s="470"/>
      <c r="F100" s="470" t="s">
        <v>557</v>
      </c>
      <c r="G100" s="487">
        <v>3.21371569939617</v>
      </c>
      <c r="H100" s="472">
        <v>-1.5681038466099941</v>
      </c>
      <c r="I100" s="472">
        <v>-7.2000282025801932</v>
      </c>
      <c r="J100" s="472"/>
      <c r="K100" s="470" t="str">
        <f t="shared" si="14"/>
        <v>Currency</v>
      </c>
      <c r="L100" s="502">
        <v>226.82200943620001</v>
      </c>
      <c r="M100" s="502">
        <v>231.42486583649998</v>
      </c>
      <c r="N100" s="502">
        <v>73.153823182699995</v>
      </c>
      <c r="O100" s="503">
        <v>20.381864654199994</v>
      </c>
      <c r="P100" s="502">
        <v>-134.34641544620001</v>
      </c>
      <c r="Q100" s="502">
        <v>-29.783478379399995</v>
      </c>
      <c r="R100" s="502">
        <v>-207.84390340740003</v>
      </c>
      <c r="S100" s="502">
        <v>49.286160546699996</v>
      </c>
      <c r="T100" s="502">
        <v>-5.4918176283999998</v>
      </c>
      <c r="U100" s="502">
        <v>-455.82610105549998</v>
      </c>
      <c r="V100" s="502">
        <v>-478.83082264699999</v>
      </c>
      <c r="W100" s="502">
        <v>-624.85581260039999</v>
      </c>
      <c r="X100" s="472">
        <v>-453.88018849000002</v>
      </c>
      <c r="Y100" s="472">
        <v>-95.973621887199997</v>
      </c>
      <c r="Z100" s="470"/>
      <c r="AA100" s="470" t="str">
        <f t="shared" si="15"/>
        <v>Currency</v>
      </c>
      <c r="AB100" s="502">
        <v>5.9539184534856329</v>
      </c>
      <c r="AC100" s="502">
        <v>6.2653362302525588</v>
      </c>
      <c r="AD100" s="502">
        <v>1.6688697212666741</v>
      </c>
      <c r="AE100" s="503">
        <v>0.38581422678625771</v>
      </c>
      <c r="AF100" s="504">
        <v>-3.26138072278337</v>
      </c>
      <c r="AG100" s="502">
        <v>-0.53613993003670113</v>
      </c>
      <c r="AH100" s="502">
        <v>-4.1795309193568801</v>
      </c>
      <c r="AI100" s="502">
        <v>0.83101684598606684</v>
      </c>
      <c r="AJ100" s="502">
        <v>-0.11664074735691021</v>
      </c>
      <c r="AK100" s="502">
        <v>-9</v>
      </c>
      <c r="AL100" s="502">
        <v>-9.2468122932100059</v>
      </c>
      <c r="AM100" s="502">
        <v>-9.9299006676442438</v>
      </c>
      <c r="AN100" s="502">
        <v>-8.948438525391861</v>
      </c>
      <c r="AO100" s="502">
        <v>-1.9147984675875511</v>
      </c>
    </row>
    <row r="101" spans="1:41" ht="13">
      <c r="A101" s="492" t="s">
        <v>558</v>
      </c>
      <c r="B101" s="505">
        <v>618.12344221730007</v>
      </c>
      <c r="C101" s="493">
        <v>335.42073348859998</v>
      </c>
      <c r="D101" s="493">
        <v>3.4929999821742275E-7</v>
      </c>
      <c r="E101" s="470"/>
      <c r="F101" s="492" t="s">
        <v>558</v>
      </c>
      <c r="G101" s="494">
        <v>3.6001010963877955</v>
      </c>
      <c r="H101" s="493">
        <v>1.3067161254211483</v>
      </c>
      <c r="I101" s="493">
        <v>1.6077239128443436E-9</v>
      </c>
      <c r="J101" s="472"/>
      <c r="K101" s="492" t="str">
        <f t="shared" si="14"/>
        <v>Structure</v>
      </c>
      <c r="L101" s="505">
        <v>123.75645968000003</v>
      </c>
      <c r="M101" s="505">
        <v>232.75414403889999</v>
      </c>
      <c r="N101" s="505">
        <v>147.00121417510002</v>
      </c>
      <c r="O101" s="506">
        <v>114.61162432329999</v>
      </c>
      <c r="P101" s="505">
        <v>182.45155067900001</v>
      </c>
      <c r="Q101" s="505">
        <v>66.521844327899998</v>
      </c>
      <c r="R101" s="505">
        <v>3.7089505351999961</v>
      </c>
      <c r="S101" s="505">
        <v>82.738387946499998</v>
      </c>
      <c r="T101" s="505">
        <v>9.99982319171977E-11</v>
      </c>
      <c r="U101" s="505">
        <v>-2.0000000267028639E-10</v>
      </c>
      <c r="V101" s="505">
        <v>1.9999998879249858E-10</v>
      </c>
      <c r="W101" s="505">
        <v>3.4919999999938334E-7</v>
      </c>
      <c r="X101" s="493">
        <v>-56.872985051699999</v>
      </c>
      <c r="Y101" s="493">
        <v>-56.872985051800001</v>
      </c>
      <c r="Z101" s="470"/>
      <c r="AA101" s="492" t="str">
        <f t="shared" si="15"/>
        <v>Structure</v>
      </c>
      <c r="AB101" s="505">
        <v>3.2485201540111497</v>
      </c>
      <c r="AC101" s="505">
        <v>6.301323611519817</v>
      </c>
      <c r="AD101" s="505">
        <v>3.3535619145094584</v>
      </c>
      <c r="AE101" s="506">
        <v>2.1695166742214176</v>
      </c>
      <c r="AF101" s="510">
        <v>4.4291763814473581</v>
      </c>
      <c r="AG101" s="505">
        <v>-2.8022928599941476E-6</v>
      </c>
      <c r="AH101" s="505">
        <v>7.4583248226667564E-2</v>
      </c>
      <c r="AI101" s="505">
        <v>1.3950568157591194</v>
      </c>
      <c r="AJ101" s="505">
        <v>2.123863043971792E-12</v>
      </c>
      <c r="AK101" s="505">
        <v>-3.6055230484192771E-12</v>
      </c>
      <c r="AL101" s="505">
        <v>3.86224584454479E-12</v>
      </c>
      <c r="AM101" s="505">
        <v>5.5493143269401781E-9</v>
      </c>
      <c r="AN101" s="505">
        <v>-1.1212747843958393</v>
      </c>
      <c r="AO101" s="505">
        <v>-1.1346899542075153</v>
      </c>
    </row>
    <row r="102" spans="1:41" ht="13">
      <c r="A102" s="470" t="s">
        <v>471</v>
      </c>
      <c r="B102" s="502">
        <v>3240</v>
      </c>
      <c r="C102" s="472">
        <v>1214.7832369216999</v>
      </c>
      <c r="D102" s="472">
        <v>-496.70270286590005</v>
      </c>
      <c r="E102" s="470"/>
      <c r="F102" s="470" t="s">
        <v>471</v>
      </c>
      <c r="G102" s="487">
        <v>19</v>
      </c>
      <c r="H102" s="472">
        <v>6</v>
      </c>
      <c r="I102" s="472">
        <v>-2</v>
      </c>
      <c r="J102" s="472"/>
      <c r="K102" s="470" t="str">
        <f t="shared" si="14"/>
        <v>Total</v>
      </c>
      <c r="L102" s="502">
        <v>309.68545810609999</v>
      </c>
      <c r="M102" s="502">
        <v>1794.7120091164998</v>
      </c>
      <c r="N102" s="502">
        <v>486.76516419190011</v>
      </c>
      <c r="O102" s="503">
        <v>648.00736469739991</v>
      </c>
      <c r="P102" s="502">
        <v>589.00726105069998</v>
      </c>
      <c r="Q102" s="502">
        <v>57.398614071499978</v>
      </c>
      <c r="R102" s="502">
        <v>206.53372879729991</v>
      </c>
      <c r="S102" s="502">
        <v>361.84363300219991</v>
      </c>
      <c r="T102" s="502">
        <v>363.9536671441</v>
      </c>
      <c r="U102" s="502">
        <v>-534.54060101820005</v>
      </c>
      <c r="V102" s="502">
        <v>46.699190212799998</v>
      </c>
      <c r="W102" s="502">
        <v>-372.81495920460003</v>
      </c>
      <c r="X102" s="472">
        <v>-559.94808175959997</v>
      </c>
      <c r="Y102" s="472">
        <v>925.92594465199988</v>
      </c>
      <c r="Z102" s="470"/>
      <c r="AA102" s="470" t="str">
        <f t="shared" si="15"/>
        <v>Total</v>
      </c>
      <c r="AB102" s="502">
        <v>8</v>
      </c>
      <c r="AC102" s="502">
        <v>49</v>
      </c>
      <c r="AD102" s="502">
        <v>11</v>
      </c>
      <c r="AE102" s="503">
        <v>12</v>
      </c>
      <c r="AF102" s="504">
        <v>14</v>
      </c>
      <c r="AG102" s="502">
        <v>0</v>
      </c>
      <c r="AH102" s="502">
        <v>4</v>
      </c>
      <c r="AI102" s="502">
        <v>6</v>
      </c>
      <c r="AJ102" s="502">
        <v>8</v>
      </c>
      <c r="AK102" s="502">
        <v>-10</v>
      </c>
      <c r="AL102" s="502">
        <v>1</v>
      </c>
      <c r="AM102" s="502">
        <v>-6</v>
      </c>
      <c r="AN102" s="502">
        <v>-11</v>
      </c>
      <c r="AO102" s="502">
        <v>18</v>
      </c>
    </row>
    <row r="103" spans="1:41" ht="13">
      <c r="A103" s="481" t="s">
        <v>559</v>
      </c>
      <c r="B103" s="482">
        <v>20410.183450509099</v>
      </c>
      <c r="C103" s="482">
        <v>21726.467035211303</v>
      </c>
      <c r="D103" s="482">
        <v>21229.114332345398</v>
      </c>
      <c r="E103" s="470"/>
      <c r="F103" s="481" t="s">
        <v>559</v>
      </c>
      <c r="G103" s="483">
        <v>20410.183450509099</v>
      </c>
      <c r="H103" s="482">
        <v>21726.467035211299</v>
      </c>
      <c r="I103" s="482">
        <v>21229.114332345398</v>
      </c>
      <c r="J103" s="472"/>
      <c r="K103" s="481" t="str">
        <f t="shared" si="14"/>
        <v>Operational closing balance</v>
      </c>
      <c r="L103" s="482">
        <v>4120.3111896008004</v>
      </c>
      <c r="M103" s="482">
        <v>5488.8461892399991</v>
      </c>
      <c r="N103" s="482">
        <v>4870.2003868751999</v>
      </c>
      <c r="O103" s="483">
        <v>5930.8256847930998</v>
      </c>
      <c r="P103" s="482">
        <v>4708.3182788562008</v>
      </c>
      <c r="Q103" s="482">
        <v>5546.0454628758007</v>
      </c>
      <c r="R103" s="482">
        <v>5179.433975683899</v>
      </c>
      <c r="S103" s="482">
        <v>6292.6693177953994</v>
      </c>
      <c r="T103" s="482">
        <v>5072.2719460004</v>
      </c>
      <c r="U103" s="482">
        <v>5012.204861857701</v>
      </c>
      <c r="V103" s="482">
        <v>5224.7831658965997</v>
      </c>
      <c r="W103" s="482">
        <v>5919.8543585907</v>
      </c>
      <c r="X103" s="482">
        <v>4512.223864240601</v>
      </c>
      <c r="Y103" s="482">
        <v>5938.130806509701</v>
      </c>
      <c r="Z103" s="470"/>
      <c r="AA103" s="481" t="str">
        <f t="shared" si="15"/>
        <v>Operational closing balance</v>
      </c>
      <c r="AB103" s="482">
        <v>4120.3111896008004</v>
      </c>
      <c r="AC103" s="482">
        <v>5488.8461892399991</v>
      </c>
      <c r="AD103" s="482">
        <v>4870.2003868751999</v>
      </c>
      <c r="AE103" s="483">
        <v>5930.8256847930998</v>
      </c>
      <c r="AF103" s="484">
        <v>4708.3182788562008</v>
      </c>
      <c r="AG103" s="482">
        <v>5547.0454628758007</v>
      </c>
      <c r="AH103" s="482">
        <v>5179.433975683899</v>
      </c>
      <c r="AI103" s="482">
        <v>6292.6693177953994</v>
      </c>
      <c r="AJ103" s="482">
        <v>5072.2719460004</v>
      </c>
      <c r="AK103" s="482">
        <v>5012.204861857701</v>
      </c>
      <c r="AL103" s="482">
        <v>5224.7831658965997</v>
      </c>
      <c r="AM103" s="482">
        <v>5919.8543585907</v>
      </c>
      <c r="AN103" s="482">
        <v>4512.223864240601</v>
      </c>
      <c r="AO103" s="482">
        <v>5938.130806509701</v>
      </c>
    </row>
    <row r="104" spans="1:41" ht="13">
      <c r="A104" s="470" t="s">
        <v>561</v>
      </c>
      <c r="B104" s="485">
        <v>0</v>
      </c>
      <c r="C104" s="472">
        <v>0</v>
      </c>
      <c r="D104" s="472">
        <v>0</v>
      </c>
      <c r="E104" s="470"/>
      <c r="F104" s="470" t="s">
        <v>562</v>
      </c>
      <c r="G104" s="487">
        <v>0</v>
      </c>
      <c r="H104" s="472">
        <v>0</v>
      </c>
      <c r="I104" s="472">
        <v>0</v>
      </c>
      <c r="J104" s="472"/>
      <c r="K104" s="470" t="s">
        <v>561</v>
      </c>
      <c r="L104" s="485">
        <v>0</v>
      </c>
      <c r="M104" s="485">
        <v>0</v>
      </c>
      <c r="N104" s="485">
        <v>0</v>
      </c>
      <c r="O104" s="488">
        <v>0</v>
      </c>
      <c r="P104" s="485">
        <v>0</v>
      </c>
      <c r="Q104" s="485">
        <v>0</v>
      </c>
      <c r="R104" s="485">
        <v>0</v>
      </c>
      <c r="S104" s="485">
        <v>0</v>
      </c>
      <c r="T104" s="485">
        <v>0</v>
      </c>
      <c r="U104" s="485">
        <v>0</v>
      </c>
      <c r="V104" s="485">
        <v>0</v>
      </c>
      <c r="W104" s="485">
        <v>0</v>
      </c>
      <c r="X104" s="472">
        <v>0</v>
      </c>
      <c r="Y104" s="472">
        <v>0</v>
      </c>
      <c r="Z104" s="470"/>
      <c r="AA104" s="470" t="s">
        <v>561</v>
      </c>
      <c r="AB104" s="485">
        <v>0</v>
      </c>
      <c r="AC104" s="485">
        <v>0</v>
      </c>
      <c r="AD104" s="485">
        <v>0</v>
      </c>
      <c r="AE104" s="488">
        <v>0</v>
      </c>
      <c r="AF104" s="501">
        <v>0</v>
      </c>
      <c r="AG104" s="485">
        <v>0</v>
      </c>
      <c r="AH104" s="485">
        <v>0</v>
      </c>
      <c r="AI104" s="485">
        <v>0</v>
      </c>
      <c r="AJ104" s="485">
        <v>0</v>
      </c>
      <c r="AK104" s="485">
        <v>0</v>
      </c>
      <c r="AL104" s="485">
        <v>0</v>
      </c>
      <c r="AM104" s="485">
        <v>0</v>
      </c>
      <c r="AN104" s="485">
        <v>0</v>
      </c>
      <c r="AO104" s="485">
        <v>0</v>
      </c>
    </row>
    <row r="105" spans="1:41" ht="13">
      <c r="A105" s="496" t="s">
        <v>560</v>
      </c>
      <c r="B105" s="497">
        <v>20410.183798289603</v>
      </c>
      <c r="C105" s="497">
        <v>21726.467035211303</v>
      </c>
      <c r="D105" s="497">
        <v>21229</v>
      </c>
      <c r="E105" s="470"/>
      <c r="F105" s="496" t="s">
        <v>560</v>
      </c>
      <c r="G105" s="498">
        <v>20410.183798289603</v>
      </c>
      <c r="H105" s="497">
        <v>21726.467035211299</v>
      </c>
      <c r="I105" s="497">
        <v>21228.564332345399</v>
      </c>
      <c r="J105" s="472"/>
      <c r="K105" s="496" t="str">
        <f>A105</f>
        <v>Reported closing balance</v>
      </c>
      <c r="L105" s="497">
        <v>4120.3110178055003</v>
      </c>
      <c r="M105" s="497">
        <v>5488.646848804301</v>
      </c>
      <c r="N105" s="497">
        <v>4870.4002468866993</v>
      </c>
      <c r="O105" s="498">
        <v>5930.8256847930998</v>
      </c>
      <c r="P105" s="497">
        <v>4708.3182788561999</v>
      </c>
      <c r="Q105" s="497">
        <v>5546.0454628758007</v>
      </c>
      <c r="R105" s="497">
        <v>5179.4339756838999</v>
      </c>
      <c r="S105" s="497">
        <v>6292.6693177954003</v>
      </c>
      <c r="T105" s="497">
        <v>5072.2719460004009</v>
      </c>
      <c r="U105" s="497">
        <v>5012.2048618577001</v>
      </c>
      <c r="V105" s="497">
        <v>5224.8331658966017</v>
      </c>
      <c r="W105" s="497">
        <v>5920.2543585906988</v>
      </c>
      <c r="X105" s="497">
        <v>4512.3238642405995</v>
      </c>
      <c r="Y105" s="497">
        <v>5937.8308065096999</v>
      </c>
      <c r="Z105" s="470"/>
      <c r="AA105" s="496" t="str">
        <f>F105</f>
        <v>Reported closing balance</v>
      </c>
      <c r="AB105" s="497">
        <v>4120.3110178055003</v>
      </c>
      <c r="AC105" s="497">
        <v>5488.646848804301</v>
      </c>
      <c r="AD105" s="497">
        <v>4870.4002468866993</v>
      </c>
      <c r="AE105" s="498">
        <v>5930.8256847930998</v>
      </c>
      <c r="AF105" s="499">
        <v>4708.3182788561999</v>
      </c>
      <c r="AG105" s="497">
        <v>5547.0454628758007</v>
      </c>
      <c r="AH105" s="497">
        <v>5179.4339756838999</v>
      </c>
      <c r="AI105" s="497">
        <v>6292.6693177954003</v>
      </c>
      <c r="AJ105" s="497">
        <v>5072.2719460004009</v>
      </c>
      <c r="AK105" s="497">
        <v>5012.2048618577001</v>
      </c>
      <c r="AL105" s="497">
        <v>5224.8331658966017</v>
      </c>
      <c r="AM105" s="497">
        <v>5920.2543585906988</v>
      </c>
      <c r="AN105" s="497">
        <v>4512.3238642405995</v>
      </c>
      <c r="AO105" s="497">
        <v>5937.8308065096999</v>
      </c>
    </row>
    <row r="106" spans="1:41" ht="13">
      <c r="A106" s="470"/>
      <c r="B106" s="470"/>
      <c r="C106" s="470"/>
      <c r="D106" s="470"/>
      <c r="E106" s="470"/>
      <c r="F106" s="470"/>
      <c r="G106" s="500"/>
      <c r="H106" s="470"/>
      <c r="I106" s="470"/>
      <c r="J106" s="472"/>
      <c r="K106" s="470"/>
      <c r="L106" s="470"/>
      <c r="M106" s="470"/>
      <c r="N106" s="470"/>
      <c r="O106" s="500"/>
      <c r="P106" s="470"/>
      <c r="Q106" s="470"/>
      <c r="R106" s="470"/>
      <c r="S106" s="470"/>
      <c r="T106" s="470"/>
      <c r="U106" s="470"/>
      <c r="V106" s="470"/>
      <c r="W106" s="470"/>
      <c r="X106" s="470"/>
      <c r="Y106" s="470"/>
      <c r="Z106" s="470"/>
      <c r="AA106" s="470"/>
      <c r="AB106" s="470"/>
      <c r="AC106" s="470"/>
      <c r="AD106" s="470"/>
      <c r="AE106" s="470"/>
      <c r="AF106" s="470"/>
      <c r="AG106" s="470"/>
      <c r="AH106" s="470"/>
      <c r="AI106" s="470"/>
      <c r="AJ106" s="470"/>
      <c r="AK106" s="470"/>
    </row>
    <row r="107" spans="1:41" ht="13">
      <c r="A107" s="507" t="s">
        <v>502</v>
      </c>
      <c r="B107" s="507"/>
      <c r="C107" s="507"/>
      <c r="D107" s="507"/>
      <c r="E107" s="470"/>
      <c r="F107" s="507" t="s">
        <v>502</v>
      </c>
      <c r="G107" s="508"/>
      <c r="H107" s="507"/>
      <c r="I107" s="507"/>
      <c r="J107" s="472"/>
      <c r="K107" s="507" t="str">
        <f t="shared" ref="K107:K116" si="16">A107</f>
        <v xml:space="preserve">Revenues </v>
      </c>
      <c r="L107" s="507"/>
      <c r="M107" s="507"/>
      <c r="N107" s="507"/>
      <c r="O107" s="508"/>
      <c r="P107" s="507"/>
      <c r="Q107" s="507"/>
      <c r="R107" s="507"/>
      <c r="S107" s="507"/>
      <c r="T107" s="507"/>
      <c r="U107" s="507"/>
      <c r="V107" s="507"/>
      <c r="W107" s="507"/>
      <c r="X107" s="507"/>
      <c r="Y107" s="507"/>
      <c r="Z107" s="470"/>
      <c r="AA107" s="507" t="str">
        <f>F107</f>
        <v xml:space="preserve">Revenues </v>
      </c>
      <c r="AB107" s="507"/>
      <c r="AC107" s="507"/>
      <c r="AD107" s="507"/>
      <c r="AE107" s="508"/>
      <c r="AF107" s="509"/>
      <c r="AG107" s="507"/>
      <c r="AH107" s="507"/>
      <c r="AI107" s="507"/>
      <c r="AJ107" s="507"/>
      <c r="AK107" s="507"/>
      <c r="AL107" s="507"/>
      <c r="AM107" s="507"/>
      <c r="AN107" s="507"/>
      <c r="AO107" s="507"/>
    </row>
    <row r="108" spans="1:41" ht="13">
      <c r="A108" s="315" t="s">
        <v>295</v>
      </c>
      <c r="B108" s="315">
        <v>2023</v>
      </c>
      <c r="C108" s="315">
        <v>2024</v>
      </c>
      <c r="D108" s="315">
        <v>2025</v>
      </c>
      <c r="E108" s="470"/>
      <c r="F108" s="315" t="s">
        <v>295</v>
      </c>
      <c r="G108" s="479">
        <v>2023</v>
      </c>
      <c r="H108" s="315">
        <v>2024</v>
      </c>
      <c r="I108" s="315">
        <v>2025</v>
      </c>
      <c r="J108" s="472"/>
      <c r="K108" s="315" t="str">
        <f t="shared" si="16"/>
        <v>Service</v>
      </c>
      <c r="L108" s="315" t="s">
        <v>148</v>
      </c>
      <c r="M108" s="315" t="s">
        <v>149</v>
      </c>
      <c r="N108" s="315" t="s">
        <v>150</v>
      </c>
      <c r="O108" s="479" t="s">
        <v>151</v>
      </c>
      <c r="P108" s="315" t="s">
        <v>152</v>
      </c>
      <c r="Q108" s="315" t="s">
        <v>153</v>
      </c>
      <c r="R108" s="315" t="s">
        <v>154</v>
      </c>
      <c r="S108" s="315" t="s">
        <v>155</v>
      </c>
      <c r="T108" s="315" t="s">
        <v>156</v>
      </c>
      <c r="U108" s="315" t="s">
        <v>157</v>
      </c>
      <c r="V108" s="315" t="s">
        <v>158</v>
      </c>
      <c r="W108" s="315" t="s">
        <v>820</v>
      </c>
      <c r="X108" s="315" t="s">
        <v>1275</v>
      </c>
      <c r="Y108" s="315" t="s">
        <v>1344</v>
      </c>
      <c r="Z108" s="470"/>
      <c r="AA108" s="315" t="str">
        <f>F108</f>
        <v>Service</v>
      </c>
      <c r="AB108" s="315" t="s">
        <v>148</v>
      </c>
      <c r="AC108" s="315" t="s">
        <v>149</v>
      </c>
      <c r="AD108" s="315" t="s">
        <v>150</v>
      </c>
      <c r="AE108" s="479" t="s">
        <v>151</v>
      </c>
      <c r="AF108" s="480" t="s">
        <v>152</v>
      </c>
      <c r="AG108" s="315" t="s">
        <v>153</v>
      </c>
      <c r="AH108" s="315" t="s">
        <v>154</v>
      </c>
      <c r="AI108" s="315" t="s">
        <v>155</v>
      </c>
      <c r="AJ108" s="315" t="s">
        <v>156</v>
      </c>
      <c r="AK108" s="315" t="s">
        <v>157</v>
      </c>
      <c r="AL108" s="315" t="s">
        <v>158</v>
      </c>
      <c r="AM108" s="315" t="s">
        <v>820</v>
      </c>
      <c r="AN108" s="315" t="s">
        <v>1275</v>
      </c>
      <c r="AO108" s="315" t="s">
        <v>1344</v>
      </c>
    </row>
    <row r="109" spans="1:41" ht="13">
      <c r="A109" s="481" t="s">
        <v>553</v>
      </c>
      <c r="B109" s="482">
        <v>21734.046259755698</v>
      </c>
      <c r="C109" s="482">
        <v>27120.048551742701</v>
      </c>
      <c r="D109" s="482">
        <v>27187.763206063199</v>
      </c>
      <c r="E109" s="470"/>
      <c r="F109" s="481" t="s">
        <v>553</v>
      </c>
      <c r="G109" s="483">
        <v>21734.046259755698</v>
      </c>
      <c r="H109" s="482">
        <v>27120.048551742701</v>
      </c>
      <c r="I109" s="482">
        <v>27187.763206063199</v>
      </c>
      <c r="J109" s="472"/>
      <c r="K109" s="481" t="str">
        <f t="shared" si="16"/>
        <v>Reported opening balance</v>
      </c>
      <c r="L109" s="482">
        <v>4675.4143213903999</v>
      </c>
      <c r="M109" s="482">
        <v>5366.2465494155003</v>
      </c>
      <c r="N109" s="482">
        <v>5686.2489145702002</v>
      </c>
      <c r="O109" s="483">
        <v>6006.1364743795993</v>
      </c>
      <c r="P109" s="482">
        <v>6613.8336899743999</v>
      </c>
      <c r="Q109" s="482">
        <v>7021.3296822209995</v>
      </c>
      <c r="R109" s="482">
        <v>6857.8240162184002</v>
      </c>
      <c r="S109" s="482">
        <v>6627.0611633289</v>
      </c>
      <c r="T109" s="482">
        <v>6504.0473019096999</v>
      </c>
      <c r="U109" s="482">
        <v>6969.4806378891999</v>
      </c>
      <c r="V109" s="482">
        <v>6697.1429511619008</v>
      </c>
      <c r="W109" s="482">
        <v>7018.0923151023999</v>
      </c>
      <c r="X109" s="482">
        <v>6631.5520328037001</v>
      </c>
      <c r="Y109" s="482">
        <v>6423.2489395508001</v>
      </c>
      <c r="Z109" s="470"/>
      <c r="AA109" s="481" t="str">
        <f>F109</f>
        <v>Reported opening balance</v>
      </c>
      <c r="AB109" s="482">
        <v>4675.4143213903999</v>
      </c>
      <c r="AC109" s="482">
        <v>5366.2465494155003</v>
      </c>
      <c r="AD109" s="482">
        <v>5686.2489145702002</v>
      </c>
      <c r="AE109" s="483">
        <v>6006.1364743795993</v>
      </c>
      <c r="AF109" s="484">
        <v>6613.8336899743999</v>
      </c>
      <c r="AG109" s="482">
        <v>7021.3296822209995</v>
      </c>
      <c r="AH109" s="482">
        <v>6857.8240162184002</v>
      </c>
      <c r="AI109" s="482">
        <v>6627.0611633289</v>
      </c>
      <c r="AJ109" s="482">
        <v>6504.0473019096999</v>
      </c>
      <c r="AK109" s="482">
        <v>6969.4806378891999</v>
      </c>
      <c r="AL109" s="482">
        <v>6697.1429511619008</v>
      </c>
      <c r="AM109" s="482">
        <v>7018.0923151023999</v>
      </c>
      <c r="AN109" s="482">
        <v>6631.5520328037001</v>
      </c>
      <c r="AO109" s="482">
        <v>6423.2489395508001</v>
      </c>
    </row>
    <row r="110" spans="1:41" ht="13">
      <c r="A110" s="470" t="s">
        <v>561</v>
      </c>
      <c r="B110" s="485">
        <v>0</v>
      </c>
      <c r="C110" s="485">
        <v>-101.5</v>
      </c>
      <c r="D110" s="485">
        <v>0</v>
      </c>
      <c r="E110" s="470"/>
      <c r="F110" s="470" t="s">
        <v>562</v>
      </c>
      <c r="G110" s="487">
        <v>0</v>
      </c>
      <c r="H110" s="485">
        <v>-0.61954903834124253</v>
      </c>
      <c r="I110" s="485">
        <v>0</v>
      </c>
      <c r="J110" s="472"/>
      <c r="K110" s="470" t="str">
        <f t="shared" si="16"/>
        <v>Adjustment</v>
      </c>
      <c r="L110" s="485">
        <v>0</v>
      </c>
      <c r="M110" s="485">
        <v>0</v>
      </c>
      <c r="N110" s="485">
        <v>0</v>
      </c>
      <c r="O110" s="488">
        <v>0</v>
      </c>
      <c r="P110" s="485">
        <v>0</v>
      </c>
      <c r="Q110" s="485">
        <v>0</v>
      </c>
      <c r="R110" s="485">
        <v>-101.5</v>
      </c>
      <c r="S110" s="485">
        <v>0</v>
      </c>
      <c r="T110" s="485">
        <v>0</v>
      </c>
      <c r="U110" s="485">
        <v>0</v>
      </c>
      <c r="V110" s="485">
        <v>0</v>
      </c>
      <c r="W110" s="485">
        <v>0</v>
      </c>
      <c r="X110" s="485">
        <v>0</v>
      </c>
      <c r="Y110" s="485">
        <v>0</v>
      </c>
      <c r="Z110" s="470"/>
      <c r="AA110" s="470" t="s">
        <v>561</v>
      </c>
      <c r="AB110" s="485">
        <v>0</v>
      </c>
      <c r="AC110" s="485">
        <v>0</v>
      </c>
      <c r="AD110" s="485">
        <v>0</v>
      </c>
      <c r="AE110" s="488">
        <v>0</v>
      </c>
      <c r="AF110" s="501">
        <v>0</v>
      </c>
      <c r="AG110" s="485">
        <v>-0.94742738214448363</v>
      </c>
      <c r="AH110" s="485">
        <v>-1.4800613104092162</v>
      </c>
      <c r="AI110" s="485">
        <v>0</v>
      </c>
      <c r="AJ110" s="485">
        <v>0</v>
      </c>
      <c r="AK110" s="485">
        <v>0</v>
      </c>
      <c r="AL110" s="485">
        <v>0</v>
      </c>
      <c r="AM110" s="485">
        <v>0</v>
      </c>
      <c r="AN110" s="485">
        <v>0</v>
      </c>
      <c r="AO110" s="485">
        <v>0</v>
      </c>
    </row>
    <row r="111" spans="1:41" ht="13">
      <c r="A111" s="481" t="s">
        <v>555</v>
      </c>
      <c r="B111" s="482">
        <v>21734.046259755698</v>
      </c>
      <c r="C111" s="482">
        <v>27018.548551742701</v>
      </c>
      <c r="D111" s="482">
        <v>27187.763206063199</v>
      </c>
      <c r="E111" s="470"/>
      <c r="F111" s="481" t="s">
        <v>555</v>
      </c>
      <c r="G111" s="483">
        <v>21734.046259755698</v>
      </c>
      <c r="H111" s="482">
        <v>26952.0265517427</v>
      </c>
      <c r="I111" s="482">
        <v>27187.763206063199</v>
      </c>
      <c r="J111" s="472"/>
      <c r="K111" s="481" t="str">
        <f t="shared" si="16"/>
        <v>Adjusted opening balance</v>
      </c>
      <c r="L111" s="482">
        <v>4675.4143213903999</v>
      </c>
      <c r="M111" s="482">
        <v>5366.2465494155003</v>
      </c>
      <c r="N111" s="482">
        <v>5686.2489145702002</v>
      </c>
      <c r="O111" s="483">
        <v>6006.1364743795993</v>
      </c>
      <c r="P111" s="482">
        <v>6613.8336899743999</v>
      </c>
      <c r="Q111" s="482">
        <v>7021.3296822209995</v>
      </c>
      <c r="R111" s="482">
        <v>6756.3240162184002</v>
      </c>
      <c r="S111" s="482">
        <v>6627.0611633289</v>
      </c>
      <c r="T111" s="482">
        <v>6504.0473019096999</v>
      </c>
      <c r="U111" s="482">
        <v>6969.4806378891999</v>
      </c>
      <c r="V111" s="482">
        <v>6697.1429511619008</v>
      </c>
      <c r="W111" s="482">
        <v>7018.0923151023999</v>
      </c>
      <c r="X111" s="482">
        <v>6631.5520328037001</v>
      </c>
      <c r="Y111" s="482">
        <v>6423.2489395508001</v>
      </c>
      <c r="Z111" s="470"/>
      <c r="AA111" s="481" t="str">
        <f t="shared" ref="AA111:AA116" si="17">F111</f>
        <v>Adjusted opening balance</v>
      </c>
      <c r="AB111" s="482">
        <v>4675.4143213903999</v>
      </c>
      <c r="AC111" s="482">
        <v>5366.2465494155003</v>
      </c>
      <c r="AD111" s="482">
        <v>5686.2489145702002</v>
      </c>
      <c r="AE111" s="483">
        <v>6006.1364743795993</v>
      </c>
      <c r="AF111" s="484">
        <v>6613.8336899743999</v>
      </c>
      <c r="AG111" s="482">
        <v>6954.8076822209996</v>
      </c>
      <c r="AH111" s="482">
        <v>6756.3240162184002</v>
      </c>
      <c r="AI111" s="482">
        <v>6627.0611633289</v>
      </c>
      <c r="AJ111" s="482">
        <v>6504.0473019096999</v>
      </c>
      <c r="AK111" s="482">
        <v>6969.4806378891999</v>
      </c>
      <c r="AL111" s="482">
        <v>6697.1429511619008</v>
      </c>
      <c r="AM111" s="482">
        <v>7018.0923151023999</v>
      </c>
      <c r="AN111" s="482">
        <v>6631.5520328037001</v>
      </c>
      <c r="AO111" s="482">
        <v>6423.2489395508001</v>
      </c>
    </row>
    <row r="112" spans="1:41" ht="13">
      <c r="A112" s="470" t="s">
        <v>556</v>
      </c>
      <c r="B112" s="502">
        <v>2641</v>
      </c>
      <c r="C112" s="472">
        <v>892.18311720040003</v>
      </c>
      <c r="D112" s="472">
        <v>738.56676343679999</v>
      </c>
      <c r="E112" s="470"/>
      <c r="F112" s="470" t="s">
        <v>556</v>
      </c>
      <c r="G112" s="487">
        <v>13</v>
      </c>
      <c r="H112" s="472">
        <v>3</v>
      </c>
      <c r="I112" s="472">
        <v>3</v>
      </c>
      <c r="J112" s="472"/>
      <c r="K112" s="470" t="str">
        <f t="shared" si="16"/>
        <v>Organic</v>
      </c>
      <c r="L112" s="502">
        <v>921.35989311420008</v>
      </c>
      <c r="M112" s="502">
        <v>702.95607272109999</v>
      </c>
      <c r="N112" s="502">
        <v>554.89007658579999</v>
      </c>
      <c r="O112" s="503">
        <v>462.5562424103</v>
      </c>
      <c r="P112" s="502">
        <v>159.9956128737</v>
      </c>
      <c r="Q112" s="502">
        <v>108.03380502850001</v>
      </c>
      <c r="R112" s="502">
        <v>184.9804953517</v>
      </c>
      <c r="S112" s="502">
        <v>439.17320394650005</v>
      </c>
      <c r="T112" s="502">
        <v>114.988202</v>
      </c>
      <c r="U112" s="502">
        <v>118.0138593004</v>
      </c>
      <c r="V112" s="502">
        <v>190.0528306022</v>
      </c>
      <c r="W112" s="502">
        <v>315.31187153420001</v>
      </c>
      <c r="X112" s="472">
        <v>241.0510092769</v>
      </c>
      <c r="Y112" s="472">
        <v>461.13564936529997</v>
      </c>
      <c r="Z112" s="470"/>
      <c r="AA112" s="470" t="str">
        <f t="shared" si="17"/>
        <v>Organic</v>
      </c>
      <c r="AB112" s="502">
        <v>19</v>
      </c>
      <c r="AC112" s="502">
        <v>14</v>
      </c>
      <c r="AD112" s="502">
        <v>11</v>
      </c>
      <c r="AE112" s="503">
        <v>7</v>
      </c>
      <c r="AF112" s="504">
        <v>2</v>
      </c>
      <c r="AG112" s="502">
        <v>2</v>
      </c>
      <c r="AH112" s="502">
        <v>3</v>
      </c>
      <c r="AI112" s="502">
        <v>7</v>
      </c>
      <c r="AJ112" s="502">
        <v>2</v>
      </c>
      <c r="AK112" s="502">
        <v>2</v>
      </c>
      <c r="AL112" s="502">
        <v>3</v>
      </c>
      <c r="AM112" s="502">
        <v>4</v>
      </c>
      <c r="AN112" s="502">
        <v>3</v>
      </c>
      <c r="AO112" s="502">
        <v>7</v>
      </c>
    </row>
    <row r="113" spans="1:41" ht="13">
      <c r="A113" s="470" t="s">
        <v>557</v>
      </c>
      <c r="B113" s="502">
        <v>693.2992314928</v>
      </c>
      <c r="C113" s="472">
        <v>-569.273092228</v>
      </c>
      <c r="D113" s="472">
        <v>-2060.4339246345999</v>
      </c>
      <c r="E113" s="470"/>
      <c r="F113" s="470" t="s">
        <v>557</v>
      </c>
      <c r="G113" s="487">
        <v>3.1899224985849144</v>
      </c>
      <c r="H113" s="472">
        <v>-2.1121717550073842</v>
      </c>
      <c r="I113" s="472">
        <v>-7.5774307324229042</v>
      </c>
      <c r="J113" s="472"/>
      <c r="K113" s="470" t="str">
        <f t="shared" si="16"/>
        <v>Currency</v>
      </c>
      <c r="L113" s="502">
        <v>380.89718504289999</v>
      </c>
      <c r="M113" s="502">
        <v>286.30132425440001</v>
      </c>
      <c r="N113" s="502">
        <v>84.0299238538</v>
      </c>
      <c r="O113" s="503">
        <v>-57.929201658299995</v>
      </c>
      <c r="P113" s="502">
        <v>-188.81620908679997</v>
      </c>
      <c r="Q113" s="502">
        <v>-111.90121714749999</v>
      </c>
      <c r="R113" s="502">
        <v>-272.35570509109999</v>
      </c>
      <c r="S113" s="502">
        <v>3.8000390973999996</v>
      </c>
      <c r="T113" s="502">
        <v>-12.651594896900001</v>
      </c>
      <c r="U113" s="502">
        <v>-664.40531763880006</v>
      </c>
      <c r="V113" s="502">
        <v>-598.97230793570009</v>
      </c>
      <c r="W113" s="502">
        <v>-784.40470416319999</v>
      </c>
      <c r="X113" s="472">
        <v>-665.87283674100001</v>
      </c>
      <c r="Y113" s="472">
        <v>-39.916300068799998</v>
      </c>
      <c r="Z113" s="470"/>
      <c r="AA113" s="470" t="str">
        <f t="shared" si="17"/>
        <v>Currency</v>
      </c>
      <c r="AB113" s="502">
        <v>8.146811359589341</v>
      </c>
      <c r="AC113" s="502">
        <v>5.3352249401508471</v>
      </c>
      <c r="AD113" s="502">
        <v>1.4777742781974479</v>
      </c>
      <c r="AE113" s="503">
        <v>-0.96450025578687437</v>
      </c>
      <c r="AF113" s="504">
        <v>-2.8548678109795471</v>
      </c>
      <c r="AG113" s="502">
        <v>-1.6089764413408572</v>
      </c>
      <c r="AH113" s="502">
        <v>-4.0311226110132727</v>
      </c>
      <c r="AI113" s="502">
        <v>5.7341240766384707E-2</v>
      </c>
      <c r="AJ113" s="502">
        <v>-0.19451880205707109</v>
      </c>
      <c r="AK113" s="502">
        <v>-9.5287633633477338</v>
      </c>
      <c r="AL113" s="502">
        <v>-8.9436990117074213</v>
      </c>
      <c r="AM113" s="502">
        <v>-11.176893505308</v>
      </c>
      <c r="AN113" s="502">
        <v>-10.040980353425367</v>
      </c>
      <c r="AO113" s="502">
        <v>-0.62143473566807583</v>
      </c>
    </row>
    <row r="114" spans="1:41" ht="13">
      <c r="A114" s="492" t="s">
        <v>558</v>
      </c>
      <c r="B114" s="505">
        <v>2051.9411234432996</v>
      </c>
      <c r="C114" s="493">
        <v>-153.69537065189999</v>
      </c>
      <c r="D114" s="493">
        <v>25.185583790900001</v>
      </c>
      <c r="E114" s="470"/>
      <c r="F114" s="492" t="s">
        <v>558</v>
      </c>
      <c r="G114" s="494">
        <v>9.4411371859588762</v>
      </c>
      <c r="H114" s="493">
        <v>-0.3234390203814318</v>
      </c>
      <c r="I114" s="493">
        <v>9.2635733215755356E-2</v>
      </c>
      <c r="J114" s="472"/>
      <c r="K114" s="492" t="str">
        <f t="shared" si="16"/>
        <v>Structure</v>
      </c>
      <c r="L114" s="505">
        <v>636.16211863159992</v>
      </c>
      <c r="M114" s="505">
        <v>665.82639539429999</v>
      </c>
      <c r="N114" s="505">
        <v>533.65496122009995</v>
      </c>
      <c r="O114" s="506">
        <v>216.29764819729999</v>
      </c>
      <c r="P114" s="505">
        <v>-80.965791851600002</v>
      </c>
      <c r="Q114" s="505">
        <v>-47.981632212799994</v>
      </c>
      <c r="R114" s="505">
        <v>27.194144682900003</v>
      </c>
      <c r="S114" s="505">
        <v>-51.942091270399999</v>
      </c>
      <c r="T114" s="505">
        <v>25.0681237909</v>
      </c>
      <c r="U114" s="505">
        <v>-4.0239999999999998E-2</v>
      </c>
      <c r="V114" s="505">
        <v>0.24340000000000001</v>
      </c>
      <c r="W114" s="505">
        <v>-8.5699999999999998E-2</v>
      </c>
      <c r="X114" s="493">
        <v>57.108185051699998</v>
      </c>
      <c r="Y114" s="493">
        <v>56.637785051800002</v>
      </c>
      <c r="Z114" s="470"/>
      <c r="AA114" s="492" t="str">
        <f t="shared" si="17"/>
        <v>Structure</v>
      </c>
      <c r="AB114" s="505">
        <v>13.6065399748875</v>
      </c>
      <c r="AC114" s="505">
        <v>12.407674326235025</v>
      </c>
      <c r="AD114" s="505">
        <v>9.3850088034782537</v>
      </c>
      <c r="AE114" s="506">
        <v>3.601277611988368</v>
      </c>
      <c r="AF114" s="510">
        <v>-1.224188506196221</v>
      </c>
      <c r="AG114" s="505">
        <v>0.26658347195704474</v>
      </c>
      <c r="AH114" s="505">
        <v>0.40249911960440449</v>
      </c>
      <c r="AI114" s="505">
        <v>-0.78378771510097989</v>
      </c>
      <c r="AJ114" s="505">
        <v>0.38542345446257087</v>
      </c>
      <c r="AK114" s="505">
        <v>-5.7737444281339182E-4</v>
      </c>
      <c r="AL114" s="505">
        <v>3.6343856145070346E-3</v>
      </c>
      <c r="AM114" s="505">
        <v>-1.2211295627385826E-3</v>
      </c>
      <c r="AN114" s="505">
        <v>0.86115866646613182</v>
      </c>
      <c r="AO114" s="505">
        <v>0.88176226057588969</v>
      </c>
    </row>
    <row r="115" spans="1:41" ht="13">
      <c r="A115" s="470" t="s">
        <v>471</v>
      </c>
      <c r="B115" s="502">
        <v>5386</v>
      </c>
      <c r="C115" s="472">
        <v>169.2146543205001</v>
      </c>
      <c r="D115" s="472">
        <v>-1296.4815774069</v>
      </c>
      <c r="E115" s="470"/>
      <c r="F115" s="470" t="s">
        <v>471</v>
      </c>
      <c r="G115" s="487">
        <v>25</v>
      </c>
      <c r="H115" s="472">
        <v>1</v>
      </c>
      <c r="I115" s="472">
        <v>-5</v>
      </c>
      <c r="J115" s="472"/>
      <c r="K115" s="470" t="str">
        <f t="shared" si="16"/>
        <v>Total</v>
      </c>
      <c r="L115" s="502">
        <v>1938.4191967887</v>
      </c>
      <c r="M115" s="502">
        <v>1655.0837923698</v>
      </c>
      <c r="N115" s="502">
        <v>1172.5749616597</v>
      </c>
      <c r="O115" s="503">
        <v>620.92468894930005</v>
      </c>
      <c r="P115" s="502">
        <v>-109.78638806469998</v>
      </c>
      <c r="Q115" s="502">
        <v>-51.849044331799973</v>
      </c>
      <c r="R115" s="502">
        <v>-60.181065056499989</v>
      </c>
      <c r="S115" s="502">
        <v>391.03115177350003</v>
      </c>
      <c r="T115" s="502">
        <v>127.404730894</v>
      </c>
      <c r="U115" s="502">
        <v>-546.4316983384</v>
      </c>
      <c r="V115" s="502">
        <v>-408.67607733350007</v>
      </c>
      <c r="W115" s="502">
        <v>-469.17853262899996</v>
      </c>
      <c r="X115" s="472">
        <v>-367.71364241240002</v>
      </c>
      <c r="Y115" s="472">
        <v>477.85713434829995</v>
      </c>
      <c r="Z115" s="470"/>
      <c r="AA115" s="470" t="str">
        <f t="shared" si="17"/>
        <v>Total</v>
      </c>
      <c r="AB115" s="502">
        <v>41</v>
      </c>
      <c r="AC115" s="502">
        <v>31</v>
      </c>
      <c r="AD115" s="502">
        <v>21</v>
      </c>
      <c r="AE115" s="503">
        <v>10</v>
      </c>
      <c r="AF115" s="504">
        <v>-2</v>
      </c>
      <c r="AG115" s="502">
        <v>0</v>
      </c>
      <c r="AH115" s="502">
        <v>-1</v>
      </c>
      <c r="AI115" s="502">
        <v>6</v>
      </c>
      <c r="AJ115" s="502">
        <v>2</v>
      </c>
      <c r="AK115" s="502">
        <v>-8</v>
      </c>
      <c r="AL115" s="502">
        <v>-6</v>
      </c>
      <c r="AM115" s="502">
        <v>-7</v>
      </c>
      <c r="AN115" s="502">
        <v>-6</v>
      </c>
      <c r="AO115" s="502">
        <v>7</v>
      </c>
    </row>
    <row r="116" spans="1:41" ht="13">
      <c r="A116" s="481" t="s">
        <v>559</v>
      </c>
      <c r="B116" s="482">
        <v>27120.048899523201</v>
      </c>
      <c r="C116" s="482">
        <v>27187.763206063199</v>
      </c>
      <c r="D116" s="482">
        <v>25892.4816286563</v>
      </c>
      <c r="E116" s="470"/>
      <c r="F116" s="481" t="s">
        <v>559</v>
      </c>
      <c r="G116" s="483">
        <v>27120.048899523201</v>
      </c>
      <c r="H116" s="482">
        <v>27187.763206063199</v>
      </c>
      <c r="I116" s="482">
        <v>25892.381628656301</v>
      </c>
      <c r="J116" s="472"/>
      <c r="K116" s="481" t="str">
        <f t="shared" si="16"/>
        <v>Operational closing balance</v>
      </c>
      <c r="L116" s="482">
        <v>6612.8335181790999</v>
      </c>
      <c r="M116" s="482">
        <v>7021.3303417853003</v>
      </c>
      <c r="N116" s="482">
        <v>6858.8238762299006</v>
      </c>
      <c r="O116" s="483">
        <v>6627.0611633288991</v>
      </c>
      <c r="P116" s="482">
        <v>6504.0473019096999</v>
      </c>
      <c r="Q116" s="482">
        <v>6969.4806378891999</v>
      </c>
      <c r="R116" s="482">
        <v>6696.1429511618999</v>
      </c>
      <c r="S116" s="482">
        <v>7018.0923151023999</v>
      </c>
      <c r="T116" s="482">
        <v>6631.5520328037001</v>
      </c>
      <c r="U116" s="482">
        <v>6422.5489395508002</v>
      </c>
      <c r="V116" s="482">
        <v>6288.4668738284008</v>
      </c>
      <c r="W116" s="482">
        <v>6548.9137824733998</v>
      </c>
      <c r="X116" s="482">
        <v>6263.8383903913</v>
      </c>
      <c r="Y116" s="482">
        <v>6901.1060738991</v>
      </c>
      <c r="Z116" s="470"/>
      <c r="AA116" s="481" t="str">
        <f t="shared" si="17"/>
        <v>Operational closing balance</v>
      </c>
      <c r="AB116" s="482">
        <v>6612.8335181790999</v>
      </c>
      <c r="AC116" s="482">
        <v>7021.3303417853003</v>
      </c>
      <c r="AD116" s="482">
        <v>6858.8238762299006</v>
      </c>
      <c r="AE116" s="483">
        <v>6627.0611633288991</v>
      </c>
      <c r="AF116" s="484">
        <v>6504.0473019096999</v>
      </c>
      <c r="AG116" s="482">
        <v>6969.4806378891999</v>
      </c>
      <c r="AH116" s="482">
        <v>6696.1429511618999</v>
      </c>
      <c r="AI116" s="482">
        <v>7018.0923151023999</v>
      </c>
      <c r="AJ116" s="482">
        <v>6631.5520328037001</v>
      </c>
      <c r="AK116" s="482">
        <v>6422.5489395508002</v>
      </c>
      <c r="AL116" s="482">
        <v>6288.4668738284008</v>
      </c>
      <c r="AM116" s="482">
        <v>6548.9137824733998</v>
      </c>
      <c r="AN116" s="482">
        <v>6263.8383903913</v>
      </c>
      <c r="AO116" s="482">
        <v>6901.1060738991</v>
      </c>
    </row>
    <row r="117" spans="1:41" ht="13">
      <c r="A117" s="470" t="s">
        <v>561</v>
      </c>
      <c r="B117" s="485">
        <v>0</v>
      </c>
      <c r="C117" s="472">
        <v>0</v>
      </c>
      <c r="D117" s="472">
        <v>0</v>
      </c>
      <c r="E117" s="470"/>
      <c r="F117" s="470" t="s">
        <v>562</v>
      </c>
      <c r="G117" s="487">
        <v>0</v>
      </c>
      <c r="H117" s="472">
        <v>0</v>
      </c>
      <c r="I117" s="472">
        <v>0</v>
      </c>
      <c r="J117" s="472"/>
      <c r="K117" s="470" t="s">
        <v>561</v>
      </c>
      <c r="L117" s="485">
        <v>0</v>
      </c>
      <c r="M117" s="485">
        <v>0</v>
      </c>
      <c r="N117" s="485">
        <v>0</v>
      </c>
      <c r="O117" s="488">
        <v>0</v>
      </c>
      <c r="P117" s="485">
        <v>0</v>
      </c>
      <c r="Q117" s="485">
        <v>0</v>
      </c>
      <c r="R117" s="485">
        <v>0</v>
      </c>
      <c r="S117" s="485">
        <v>0</v>
      </c>
      <c r="T117" s="485">
        <v>0</v>
      </c>
      <c r="U117" s="485">
        <v>0</v>
      </c>
      <c r="V117" s="485">
        <v>0</v>
      </c>
      <c r="W117" s="485">
        <v>0</v>
      </c>
      <c r="X117" s="472">
        <v>0</v>
      </c>
      <c r="Y117" s="472">
        <v>0</v>
      </c>
      <c r="Z117" s="470"/>
      <c r="AA117" s="470" t="s">
        <v>561</v>
      </c>
      <c r="AB117" s="485">
        <v>0</v>
      </c>
      <c r="AC117" s="485">
        <v>0</v>
      </c>
      <c r="AD117" s="485">
        <v>0</v>
      </c>
      <c r="AE117" s="488">
        <v>0</v>
      </c>
      <c r="AF117" s="501">
        <v>0</v>
      </c>
      <c r="AG117" s="485">
        <v>0</v>
      </c>
      <c r="AH117" s="485">
        <v>0</v>
      </c>
      <c r="AI117" s="485">
        <v>0</v>
      </c>
      <c r="AJ117" s="485">
        <v>0</v>
      </c>
      <c r="AK117" s="485">
        <v>0</v>
      </c>
      <c r="AL117" s="485">
        <v>0</v>
      </c>
      <c r="AM117" s="485">
        <v>0</v>
      </c>
      <c r="AN117" s="485">
        <v>0</v>
      </c>
      <c r="AO117" s="485">
        <v>0</v>
      </c>
    </row>
    <row r="118" spans="1:41" ht="13">
      <c r="A118" s="496" t="s">
        <v>560</v>
      </c>
      <c r="B118" s="497">
        <v>27120.048551742701</v>
      </c>
      <c r="C118" s="497">
        <v>27187.763206063199</v>
      </c>
      <c r="D118" s="497">
        <v>25891.681628656297</v>
      </c>
      <c r="E118" s="470"/>
      <c r="F118" s="496" t="s">
        <v>560</v>
      </c>
      <c r="G118" s="498">
        <v>27120.048551742701</v>
      </c>
      <c r="H118" s="497">
        <v>27187.763206063199</v>
      </c>
      <c r="I118" s="497">
        <v>25891.581628656299</v>
      </c>
      <c r="J118" s="472"/>
      <c r="K118" s="496" t="str">
        <f>A118</f>
        <v>Reported closing balance</v>
      </c>
      <c r="L118" s="497">
        <v>6612.8336899743999</v>
      </c>
      <c r="M118" s="497">
        <v>7021.3296822209995</v>
      </c>
      <c r="N118" s="497">
        <v>6858.8240162184002</v>
      </c>
      <c r="O118" s="498">
        <v>6627.0611633289</v>
      </c>
      <c r="P118" s="497">
        <v>6504.0473019096999</v>
      </c>
      <c r="Q118" s="497">
        <v>6969.4806378891999</v>
      </c>
      <c r="R118" s="497">
        <v>6696.1429511619008</v>
      </c>
      <c r="S118" s="497">
        <v>7018.0923151023999</v>
      </c>
      <c r="T118" s="497">
        <v>6631.5520328037001</v>
      </c>
      <c r="U118" s="497">
        <v>6422.5489395508002</v>
      </c>
      <c r="V118" s="497">
        <v>6287.7668738283992</v>
      </c>
      <c r="W118" s="497">
        <v>6548.8137824734004</v>
      </c>
      <c r="X118" s="497">
        <v>6263.7383903912996</v>
      </c>
      <c r="Y118" s="497">
        <v>6901.4060738991002</v>
      </c>
      <c r="Z118" s="470"/>
      <c r="AA118" s="496" t="str">
        <f>F118</f>
        <v>Reported closing balance</v>
      </c>
      <c r="AB118" s="497">
        <v>6612.8336899743999</v>
      </c>
      <c r="AC118" s="497">
        <v>7021.3296822209995</v>
      </c>
      <c r="AD118" s="497">
        <v>6858.8240162184002</v>
      </c>
      <c r="AE118" s="498">
        <v>6627.0611633289</v>
      </c>
      <c r="AF118" s="499">
        <v>6504.0473019096999</v>
      </c>
      <c r="AG118" s="497">
        <v>6969.4806378891999</v>
      </c>
      <c r="AH118" s="497">
        <v>6696.1429511619008</v>
      </c>
      <c r="AI118" s="497">
        <v>7018.0923151023999</v>
      </c>
      <c r="AJ118" s="497">
        <v>6631.5520328037001</v>
      </c>
      <c r="AK118" s="497">
        <v>6422.5489395508002</v>
      </c>
      <c r="AL118" s="497">
        <v>6287.7668738283992</v>
      </c>
      <c r="AM118" s="497">
        <v>6548.8137824734004</v>
      </c>
      <c r="AN118" s="497">
        <v>6263.7383903912996</v>
      </c>
      <c r="AO118" s="497">
        <v>6901.4060738991002</v>
      </c>
    </row>
    <row r="119" spans="1:41" ht="13">
      <c r="A119" s="470"/>
      <c r="B119" s="470"/>
      <c r="C119" s="470"/>
      <c r="D119" s="470"/>
      <c r="E119" s="470"/>
      <c r="F119" s="470"/>
      <c r="G119" s="500"/>
      <c r="H119" s="470"/>
      <c r="I119" s="470"/>
      <c r="J119" s="472"/>
      <c r="K119" s="470"/>
      <c r="L119" s="470"/>
      <c r="M119" s="470"/>
      <c r="N119" s="470"/>
      <c r="O119" s="500"/>
      <c r="P119" s="470"/>
      <c r="Q119" s="470"/>
      <c r="R119" s="470"/>
      <c r="S119" s="470"/>
      <c r="T119" s="470"/>
      <c r="U119" s="470"/>
      <c r="V119" s="470"/>
      <c r="W119" s="470"/>
      <c r="X119" s="470"/>
      <c r="Y119" s="470"/>
      <c r="Z119" s="470"/>
      <c r="AA119" s="470"/>
      <c r="AB119" s="470"/>
      <c r="AC119" s="470"/>
      <c r="AD119" s="470"/>
      <c r="AE119" s="470"/>
      <c r="AF119" s="470"/>
      <c r="AG119" s="470"/>
      <c r="AH119" s="470"/>
      <c r="AI119" s="470"/>
      <c r="AJ119" s="470"/>
      <c r="AK119" s="470"/>
    </row>
    <row r="120" spans="1:41" ht="13">
      <c r="A120" s="507" t="s">
        <v>502</v>
      </c>
      <c r="B120" s="507"/>
      <c r="C120" s="507"/>
      <c r="D120" s="507"/>
      <c r="E120" s="470"/>
      <c r="F120" s="507" t="s">
        <v>502</v>
      </c>
      <c r="G120" s="508"/>
      <c r="H120" s="507"/>
      <c r="I120" s="507"/>
      <c r="J120" s="472"/>
      <c r="K120" s="507" t="str">
        <f t="shared" ref="K120:K129" si="18">A120</f>
        <v xml:space="preserve">Revenues </v>
      </c>
      <c r="L120" s="507"/>
      <c r="M120" s="507"/>
      <c r="N120" s="507"/>
      <c r="O120" s="508"/>
      <c r="P120" s="507"/>
      <c r="Q120" s="507"/>
      <c r="R120" s="507"/>
      <c r="S120" s="507"/>
      <c r="T120" s="507"/>
      <c r="U120" s="507"/>
      <c r="V120" s="507"/>
      <c r="W120" s="507"/>
      <c r="X120" s="507"/>
      <c r="Y120" s="507"/>
      <c r="Z120" s="470"/>
      <c r="AA120" s="507" t="str">
        <f>F120</f>
        <v xml:space="preserve">Revenues </v>
      </c>
      <c r="AB120" s="507"/>
      <c r="AC120" s="507"/>
      <c r="AD120" s="507"/>
      <c r="AE120" s="508"/>
      <c r="AF120" s="509"/>
      <c r="AG120" s="507"/>
      <c r="AH120" s="507"/>
      <c r="AI120" s="507"/>
      <c r="AJ120" s="507"/>
      <c r="AK120" s="507"/>
      <c r="AL120" s="507"/>
      <c r="AM120" s="507"/>
      <c r="AN120" s="507"/>
      <c r="AO120" s="507"/>
    </row>
    <row r="121" spans="1:41" ht="13">
      <c r="A121" s="315" t="s">
        <v>296</v>
      </c>
      <c r="B121" s="315">
        <v>2023</v>
      </c>
      <c r="C121" s="315">
        <v>2024</v>
      </c>
      <c r="D121" s="315">
        <v>2025</v>
      </c>
      <c r="E121" s="470"/>
      <c r="F121" s="315" t="s">
        <v>296</v>
      </c>
      <c r="G121" s="479">
        <v>2023</v>
      </c>
      <c r="H121" s="315">
        <v>2024</v>
      </c>
      <c r="I121" s="315">
        <v>2025</v>
      </c>
      <c r="J121" s="472"/>
      <c r="K121" s="315" t="str">
        <f t="shared" si="18"/>
        <v>Tools &amp; Attachments</v>
      </c>
      <c r="L121" s="315" t="s">
        <v>148</v>
      </c>
      <c r="M121" s="315" t="s">
        <v>149</v>
      </c>
      <c r="N121" s="315" t="s">
        <v>150</v>
      </c>
      <c r="O121" s="479" t="s">
        <v>151</v>
      </c>
      <c r="P121" s="315" t="s">
        <v>152</v>
      </c>
      <c r="Q121" s="315" t="s">
        <v>153</v>
      </c>
      <c r="R121" s="315" t="s">
        <v>154</v>
      </c>
      <c r="S121" s="315" t="s">
        <v>155</v>
      </c>
      <c r="T121" s="315" t="s">
        <v>156</v>
      </c>
      <c r="U121" s="315" t="s">
        <v>157</v>
      </c>
      <c r="V121" s="315" t="s">
        <v>158</v>
      </c>
      <c r="W121" s="315" t="s">
        <v>820</v>
      </c>
      <c r="X121" s="315" t="s">
        <v>1275</v>
      </c>
      <c r="Y121" s="315" t="s">
        <v>1344</v>
      </c>
      <c r="Z121" s="470"/>
      <c r="AA121" s="315" t="str">
        <f>F121</f>
        <v>Tools &amp; Attachments</v>
      </c>
      <c r="AB121" s="315" t="s">
        <v>148</v>
      </c>
      <c r="AC121" s="315" t="s">
        <v>149</v>
      </c>
      <c r="AD121" s="315" t="s">
        <v>150</v>
      </c>
      <c r="AE121" s="479" t="s">
        <v>151</v>
      </c>
      <c r="AF121" s="480" t="s">
        <v>152</v>
      </c>
      <c r="AG121" s="315" t="s">
        <v>153</v>
      </c>
      <c r="AH121" s="315" t="s">
        <v>154</v>
      </c>
      <c r="AI121" s="315" t="s">
        <v>155</v>
      </c>
      <c r="AJ121" s="315" t="s">
        <v>156</v>
      </c>
      <c r="AK121" s="315" t="s">
        <v>157</v>
      </c>
      <c r="AL121" s="315" t="s">
        <v>158</v>
      </c>
      <c r="AM121" s="315" t="s">
        <v>820</v>
      </c>
      <c r="AN121" s="315" t="s">
        <v>1275</v>
      </c>
      <c r="AO121" s="315" t="s">
        <v>1344</v>
      </c>
    </row>
    <row r="122" spans="1:41" ht="13">
      <c r="A122" s="481" t="s">
        <v>553</v>
      </c>
      <c r="B122" s="482">
        <v>10805.786807709101</v>
      </c>
      <c r="C122" s="482">
        <v>12723.131843975299</v>
      </c>
      <c r="D122" s="482">
        <v>14639.986332974098</v>
      </c>
      <c r="E122" s="470"/>
      <c r="F122" s="481" t="s">
        <v>553</v>
      </c>
      <c r="G122" s="483">
        <v>10805.786807709101</v>
      </c>
      <c r="H122" s="482">
        <v>12723.131843975299</v>
      </c>
      <c r="I122" s="482">
        <v>14639.986332974098</v>
      </c>
      <c r="J122" s="472"/>
      <c r="K122" s="481" t="str">
        <f t="shared" si="18"/>
        <v>Reported opening balance</v>
      </c>
      <c r="L122" s="482">
        <v>2587.5679193008</v>
      </c>
      <c r="M122" s="482">
        <v>2793.9343391415</v>
      </c>
      <c r="N122" s="482">
        <v>2711.2016151501998</v>
      </c>
      <c r="O122" s="483">
        <v>2713.0829341166</v>
      </c>
      <c r="P122" s="482">
        <v>3125.4963094281002</v>
      </c>
      <c r="Q122" s="482">
        <v>3417.8026817412001</v>
      </c>
      <c r="R122" s="482">
        <v>3194.7805751239998</v>
      </c>
      <c r="S122" s="482">
        <v>2985.0522776819998</v>
      </c>
      <c r="T122" s="482">
        <v>2948.8386474096001</v>
      </c>
      <c r="U122" s="482">
        <v>3991.2357640445998</v>
      </c>
      <c r="V122" s="482">
        <v>3809.3538564466999</v>
      </c>
      <c r="W122" s="482">
        <v>3890.5580650731999</v>
      </c>
      <c r="X122" s="482">
        <v>3810.9029369288</v>
      </c>
      <c r="Y122" s="482">
        <v>3664.9993624147</v>
      </c>
      <c r="Z122" s="470"/>
      <c r="AA122" s="481" t="str">
        <f>F122</f>
        <v>Reported opening balance</v>
      </c>
      <c r="AB122" s="482">
        <v>2587.5679193008</v>
      </c>
      <c r="AC122" s="482">
        <v>2793.9343391415</v>
      </c>
      <c r="AD122" s="482">
        <v>2711.2016151501998</v>
      </c>
      <c r="AE122" s="483">
        <v>2713.0829341166</v>
      </c>
      <c r="AF122" s="484">
        <v>3125.4963094281002</v>
      </c>
      <c r="AG122" s="482">
        <v>3417.8026817412001</v>
      </c>
      <c r="AH122" s="482">
        <v>3194.7805751239998</v>
      </c>
      <c r="AI122" s="482">
        <v>2985.0522776819998</v>
      </c>
      <c r="AJ122" s="482">
        <v>2948.8386474096001</v>
      </c>
      <c r="AK122" s="482">
        <v>3991.2357640445998</v>
      </c>
      <c r="AL122" s="482">
        <v>3809.3538564466999</v>
      </c>
      <c r="AM122" s="482">
        <v>3890.5580650731999</v>
      </c>
      <c r="AN122" s="482">
        <v>3810.9029369288</v>
      </c>
      <c r="AO122" s="482">
        <v>3664.9993624147</v>
      </c>
    </row>
    <row r="123" spans="1:41" ht="13">
      <c r="A123" s="470" t="s">
        <v>561</v>
      </c>
      <c r="B123" s="485">
        <v>0</v>
      </c>
      <c r="C123" s="485">
        <v>0</v>
      </c>
      <c r="D123" s="485">
        <v>0</v>
      </c>
      <c r="E123" s="470"/>
      <c r="F123" s="470" t="s">
        <v>562</v>
      </c>
      <c r="G123" s="487">
        <v>0</v>
      </c>
      <c r="H123" s="485">
        <v>0</v>
      </c>
      <c r="I123" s="485">
        <v>0</v>
      </c>
      <c r="J123" s="472"/>
      <c r="K123" s="470" t="str">
        <f t="shared" si="18"/>
        <v>Adjustment</v>
      </c>
      <c r="L123" s="485">
        <v>0</v>
      </c>
      <c r="M123" s="485">
        <v>0</v>
      </c>
      <c r="N123" s="485">
        <v>0</v>
      </c>
      <c r="O123" s="488">
        <v>0</v>
      </c>
      <c r="P123" s="485">
        <v>0</v>
      </c>
      <c r="Q123" s="485">
        <v>0</v>
      </c>
      <c r="R123" s="485">
        <v>0</v>
      </c>
      <c r="S123" s="485">
        <v>0</v>
      </c>
      <c r="T123" s="485">
        <v>0</v>
      </c>
      <c r="U123" s="485">
        <v>0</v>
      </c>
      <c r="V123" s="485">
        <v>0</v>
      </c>
      <c r="W123" s="485">
        <v>0</v>
      </c>
      <c r="X123" s="485">
        <v>0</v>
      </c>
      <c r="Y123" s="485">
        <v>0</v>
      </c>
      <c r="Z123" s="470"/>
      <c r="AA123" s="470" t="s">
        <v>561</v>
      </c>
      <c r="AB123" s="485">
        <v>0</v>
      </c>
      <c r="AC123" s="485">
        <v>0</v>
      </c>
      <c r="AD123" s="485">
        <v>0</v>
      </c>
      <c r="AE123" s="488">
        <v>0</v>
      </c>
      <c r="AF123" s="501">
        <v>0</v>
      </c>
      <c r="AG123" s="485">
        <v>0</v>
      </c>
      <c r="AH123" s="485">
        <v>0</v>
      </c>
      <c r="AI123" s="485">
        <v>0</v>
      </c>
      <c r="AJ123" s="485">
        <v>0</v>
      </c>
      <c r="AK123" s="485">
        <v>0</v>
      </c>
      <c r="AL123" s="485">
        <v>0</v>
      </c>
      <c r="AM123" s="485">
        <v>0</v>
      </c>
      <c r="AN123" s="485">
        <v>0</v>
      </c>
      <c r="AO123" s="485">
        <v>0</v>
      </c>
    </row>
    <row r="124" spans="1:41" ht="13">
      <c r="A124" s="481" t="s">
        <v>555</v>
      </c>
      <c r="B124" s="482">
        <v>10805.786807709101</v>
      </c>
      <c r="C124" s="482">
        <v>12723.131843975299</v>
      </c>
      <c r="D124" s="482">
        <v>14639.986332974098</v>
      </c>
      <c r="E124" s="470"/>
      <c r="F124" s="481" t="s">
        <v>555</v>
      </c>
      <c r="G124" s="483">
        <v>10805.786807709101</v>
      </c>
      <c r="H124" s="482">
        <v>12723.131843975299</v>
      </c>
      <c r="I124" s="482">
        <v>14639.986332974098</v>
      </c>
      <c r="J124" s="472"/>
      <c r="K124" s="481" t="str">
        <f t="shared" si="18"/>
        <v>Adjusted opening balance</v>
      </c>
      <c r="L124" s="482">
        <v>2587.5679193008</v>
      </c>
      <c r="M124" s="482">
        <v>2793.9343391415</v>
      </c>
      <c r="N124" s="482">
        <v>2711.2016151501998</v>
      </c>
      <c r="O124" s="483">
        <v>2713.0829341166</v>
      </c>
      <c r="P124" s="482">
        <v>3125.4963094281002</v>
      </c>
      <c r="Q124" s="482">
        <v>3417.8026817412001</v>
      </c>
      <c r="R124" s="482">
        <v>3194.7805751239998</v>
      </c>
      <c r="S124" s="482">
        <v>2985.0522776819998</v>
      </c>
      <c r="T124" s="482">
        <v>2948.8386474096001</v>
      </c>
      <c r="U124" s="482">
        <v>3991.2357640445998</v>
      </c>
      <c r="V124" s="482">
        <v>3809.3538564466999</v>
      </c>
      <c r="W124" s="482">
        <v>3890.5580650731999</v>
      </c>
      <c r="X124" s="482">
        <v>3810.9029369288</v>
      </c>
      <c r="Y124" s="482">
        <v>3664.9993624147</v>
      </c>
      <c r="Z124" s="470"/>
      <c r="AA124" s="481" t="str">
        <f t="shared" ref="AA124:AA129" si="19">F124</f>
        <v>Adjusted opening balance</v>
      </c>
      <c r="AB124" s="482">
        <v>2587.5679193008</v>
      </c>
      <c r="AC124" s="482">
        <v>2793.9343391415</v>
      </c>
      <c r="AD124" s="482">
        <v>2711.2016151501998</v>
      </c>
      <c r="AE124" s="483">
        <v>2713.0829341166</v>
      </c>
      <c r="AF124" s="484">
        <v>3125.4963094281002</v>
      </c>
      <c r="AG124" s="482">
        <v>3417.8026817412001</v>
      </c>
      <c r="AH124" s="482">
        <v>3194.7805751239998</v>
      </c>
      <c r="AI124" s="482">
        <v>2985.0522776819998</v>
      </c>
      <c r="AJ124" s="482">
        <v>2948.8386474096001</v>
      </c>
      <c r="AK124" s="482">
        <v>3991.2357640445998</v>
      </c>
      <c r="AL124" s="482">
        <v>3809.3538564466999</v>
      </c>
      <c r="AM124" s="482">
        <v>3890.5580650731999</v>
      </c>
      <c r="AN124" s="482">
        <v>3810.9029369288</v>
      </c>
      <c r="AO124" s="482">
        <v>3664.9993624147</v>
      </c>
    </row>
    <row r="125" spans="1:41" ht="13">
      <c r="A125" s="470" t="s">
        <v>556</v>
      </c>
      <c r="B125" s="502">
        <v>-69</v>
      </c>
      <c r="C125" s="472">
        <v>-783.68146170029991</v>
      </c>
      <c r="D125" s="472">
        <v>158.80095549390001</v>
      </c>
      <c r="E125" s="470"/>
      <c r="F125" s="470" t="s">
        <v>556</v>
      </c>
      <c r="G125" s="487">
        <v>0</v>
      </c>
      <c r="H125" s="472">
        <v>-6</v>
      </c>
      <c r="I125" s="472">
        <v>1</v>
      </c>
      <c r="J125" s="472"/>
      <c r="K125" s="470" t="str">
        <f t="shared" si="18"/>
        <v>Organic</v>
      </c>
      <c r="L125" s="502">
        <v>86.165282994899997</v>
      </c>
      <c r="M125" s="502">
        <v>-14.984892716899999</v>
      </c>
      <c r="N125" s="502">
        <v>-45.382403568999997</v>
      </c>
      <c r="O125" s="503">
        <v>-95.495681736799995</v>
      </c>
      <c r="P125" s="502">
        <v>-234</v>
      </c>
      <c r="Q125" s="502">
        <v>-373.57249128220002</v>
      </c>
      <c r="R125" s="502">
        <v>-152.75394726779999</v>
      </c>
      <c r="S125" s="502">
        <v>-23.355023150299999</v>
      </c>
      <c r="T125" s="502">
        <v>-89.414978686300003</v>
      </c>
      <c r="U125" s="502">
        <v>-66.931086063600006</v>
      </c>
      <c r="V125" s="502">
        <v>163.67634967289999</v>
      </c>
      <c r="W125" s="502">
        <v>151.47067057090001</v>
      </c>
      <c r="X125" s="472">
        <v>161.11248054929999</v>
      </c>
      <c r="Y125" s="472">
        <v>269.82639597299999</v>
      </c>
      <c r="Z125" s="470"/>
      <c r="AA125" s="470" t="str">
        <f t="shared" si="19"/>
        <v>Organic</v>
      </c>
      <c r="AB125" s="502">
        <v>3</v>
      </c>
      <c r="AC125" s="502">
        <v>0</v>
      </c>
      <c r="AD125" s="502">
        <v>-2</v>
      </c>
      <c r="AE125" s="503">
        <v>-4</v>
      </c>
      <c r="AF125" s="504">
        <v>-8</v>
      </c>
      <c r="AG125" s="502">
        <v>-10</v>
      </c>
      <c r="AH125" s="502">
        <v>-5</v>
      </c>
      <c r="AI125" s="502">
        <v>-1</v>
      </c>
      <c r="AJ125" s="502">
        <v>-3</v>
      </c>
      <c r="AK125" s="502">
        <v>-2</v>
      </c>
      <c r="AL125" s="502">
        <v>4</v>
      </c>
      <c r="AM125" s="502">
        <v>4</v>
      </c>
      <c r="AN125" s="502">
        <v>5</v>
      </c>
      <c r="AO125" s="502">
        <v>7</v>
      </c>
    </row>
    <row r="126" spans="1:41" ht="13">
      <c r="A126" s="470" t="s">
        <v>557</v>
      </c>
      <c r="B126" s="502">
        <v>235.73808701370001</v>
      </c>
      <c r="C126" s="472">
        <v>-153.17892857420003</v>
      </c>
      <c r="D126" s="472">
        <v>-1060.496324037</v>
      </c>
      <c r="E126" s="470"/>
      <c r="F126" s="470" t="s">
        <v>557</v>
      </c>
      <c r="G126" s="487">
        <v>2.1815911345346826</v>
      </c>
      <c r="H126" s="472">
        <v>-1.2039404326909797</v>
      </c>
      <c r="I126" s="472">
        <v>-7.2390526871598748</v>
      </c>
      <c r="J126" s="472"/>
      <c r="K126" s="470" t="str">
        <f t="shared" si="18"/>
        <v>Currency</v>
      </c>
      <c r="L126" s="502">
        <v>146.63982718170001</v>
      </c>
      <c r="M126" s="502">
        <v>97.625840191600005</v>
      </c>
      <c r="N126" s="502">
        <v>26.091797919200001</v>
      </c>
      <c r="O126" s="503">
        <v>-34.619378278799999</v>
      </c>
      <c r="P126" s="502">
        <v>-70.877295332399996</v>
      </c>
      <c r="Q126" s="502">
        <v>-19.978801356799998</v>
      </c>
      <c r="R126" s="502">
        <v>-102.7699101118</v>
      </c>
      <c r="S126" s="502">
        <v>40.447078226800002</v>
      </c>
      <c r="T126" s="502">
        <v>-7.6855830999999999E-2</v>
      </c>
      <c r="U126" s="502">
        <v>-331.95290564620001</v>
      </c>
      <c r="V126" s="502">
        <v>-294.73507745529997</v>
      </c>
      <c r="W126" s="502">
        <f>+-433.0314851045-1</f>
        <v>-434.03148510450001</v>
      </c>
      <c r="X126" s="472">
        <v>-407.72750141709997</v>
      </c>
      <c r="Y126" s="472">
        <v>-80.765224654600004</v>
      </c>
      <c r="Z126" s="470"/>
      <c r="AA126" s="470" t="str">
        <f t="shared" si="19"/>
        <v>Currency</v>
      </c>
      <c r="AB126" s="502">
        <v>5.6670909423442035</v>
      </c>
      <c r="AC126" s="502">
        <v>3.4942066756514318</v>
      </c>
      <c r="AD126" s="502">
        <v>0.9623702558083097</v>
      </c>
      <c r="AE126" s="503">
        <v>-1.2760162191677464</v>
      </c>
      <c r="AF126" s="504">
        <v>-2.2677132946405254</v>
      </c>
      <c r="AG126" s="502">
        <v>-0.58455104689138448</v>
      </c>
      <c r="AH126" s="502">
        <v>-3.2168065284987897</v>
      </c>
      <c r="AI126" s="502">
        <v>1.3549872653556543</v>
      </c>
      <c r="AJ126" s="502">
        <v>-2.6063084552799729E-3</v>
      </c>
      <c r="AK126" s="502">
        <v>-8.3170457790699093</v>
      </c>
      <c r="AL126" s="502">
        <v>-7.7371409578165</v>
      </c>
      <c r="AM126" s="502">
        <v>-11.130318012522778</v>
      </c>
      <c r="AN126" s="502">
        <v>-10.698973659656808</v>
      </c>
      <c r="AO126" s="502">
        <v>-2.2036900055935482</v>
      </c>
    </row>
    <row r="127" spans="1:41" ht="13">
      <c r="A127" s="492" t="s">
        <v>558</v>
      </c>
      <c r="B127" s="505">
        <v>1750.3046442802001</v>
      </c>
      <c r="C127" s="493">
        <v>2855.0585819159</v>
      </c>
      <c r="D127" s="493">
        <v>1049.4286336363</v>
      </c>
      <c r="E127" s="470"/>
      <c r="F127" s="492" t="s">
        <v>558</v>
      </c>
      <c r="G127" s="494">
        <v>16.197845426965966</v>
      </c>
      <c r="H127" s="493">
        <v>22.439904081225386</v>
      </c>
      <c r="I127" s="493">
        <v>7.1682350636669598</v>
      </c>
      <c r="J127" s="472"/>
      <c r="K127" s="492" t="str">
        <f t="shared" si="18"/>
        <v>Structure</v>
      </c>
      <c r="L127" s="505">
        <v>304.12327995070001</v>
      </c>
      <c r="M127" s="505">
        <v>541.2273951249</v>
      </c>
      <c r="N127" s="505">
        <v>502.8695656237</v>
      </c>
      <c r="O127" s="506">
        <v>402.08440358090002</v>
      </c>
      <c r="P127" s="505">
        <v>128.76333595649999</v>
      </c>
      <c r="Q127" s="505">
        <v>966.9843749424</v>
      </c>
      <c r="R127" s="505">
        <v>870.09713870209998</v>
      </c>
      <c r="S127" s="505">
        <v>889.21373231489997</v>
      </c>
      <c r="T127" s="505">
        <v>951.55612403650002</v>
      </c>
      <c r="U127" s="505">
        <v>72.647590079799997</v>
      </c>
      <c r="V127" s="505">
        <v>26.055528545600001</v>
      </c>
      <c r="W127" s="505">
        <v>-0.83060902560000005</v>
      </c>
      <c r="X127" s="493">
        <v>4.3999999999999997E-9</v>
      </c>
      <c r="Y127" s="493">
        <v>1.11259E-4</v>
      </c>
      <c r="Z127" s="470"/>
      <c r="AA127" s="492" t="str">
        <f t="shared" si="19"/>
        <v>Structure</v>
      </c>
      <c r="AB127" s="505">
        <v>11.753248201998066</v>
      </c>
      <c r="AC127" s="505">
        <v>19.371514482019091</v>
      </c>
      <c r="AD127" s="505">
        <v>18.547848408383349</v>
      </c>
      <c r="AE127" s="506">
        <v>14.82020319116495</v>
      </c>
      <c r="AF127" s="510">
        <v>4.1197724523968793</v>
      </c>
      <c r="AG127" s="505">
        <v>28.292574644764734</v>
      </c>
      <c r="AH127" s="505">
        <v>27.23495771437538</v>
      </c>
      <c r="AI127" s="505">
        <v>29.788883061217486</v>
      </c>
      <c r="AJ127" s="505">
        <v>32.26884335880473</v>
      </c>
      <c r="AK127" s="505">
        <v>1.8201778690763455</v>
      </c>
      <c r="AL127" s="505">
        <v>0.68398813886783816</v>
      </c>
      <c r="AM127" s="505">
        <v>-2.1349354301035791E-2</v>
      </c>
      <c r="AN127" s="505">
        <v>1.154582017128453E-10</v>
      </c>
      <c r="AO127" s="505">
        <v>3.0357167627635422E-6</v>
      </c>
    </row>
    <row r="128" spans="1:41" ht="13">
      <c r="A128" s="470" t="s">
        <v>471</v>
      </c>
      <c r="B128" s="502">
        <v>1917</v>
      </c>
      <c r="C128" s="472">
        <v>1918.3121510172998</v>
      </c>
      <c r="D128" s="472">
        <v>148.23326509319992</v>
      </c>
      <c r="E128" s="470"/>
      <c r="F128" s="470" t="s">
        <v>471</v>
      </c>
      <c r="G128" s="487">
        <v>18</v>
      </c>
      <c r="H128" s="472">
        <v>15</v>
      </c>
      <c r="I128" s="472">
        <v>1</v>
      </c>
      <c r="J128" s="472"/>
      <c r="K128" s="470" t="str">
        <f t="shared" si="18"/>
        <v>Total</v>
      </c>
      <c r="L128" s="502">
        <v>536.92839012729996</v>
      </c>
      <c r="M128" s="502">
        <v>623.86834259960006</v>
      </c>
      <c r="N128" s="502">
        <v>483.5789599739</v>
      </c>
      <c r="O128" s="503">
        <v>271.96934356530005</v>
      </c>
      <c r="P128" s="502">
        <v>-176</v>
      </c>
      <c r="Q128" s="502">
        <v>573.43308230339994</v>
      </c>
      <c r="R128" s="502">
        <v>614.57328132249995</v>
      </c>
      <c r="S128" s="502">
        <v>906.30578739139992</v>
      </c>
      <c r="T128" s="502">
        <v>862.06428951919997</v>
      </c>
      <c r="U128" s="502">
        <v>-326.23640162999999</v>
      </c>
      <c r="V128" s="502">
        <v>-105.00319923679999</v>
      </c>
      <c r="W128" s="502">
        <v>-282.5914235592</v>
      </c>
      <c r="X128" s="472">
        <v>-246.61502086339999</v>
      </c>
      <c r="Y128" s="472">
        <v>189.06128257739999</v>
      </c>
      <c r="Z128" s="470"/>
      <c r="AA128" s="470" t="str">
        <f t="shared" si="19"/>
        <v>Total</v>
      </c>
      <c r="AB128" s="502">
        <v>21</v>
      </c>
      <c r="AC128" s="502">
        <v>22</v>
      </c>
      <c r="AD128" s="502">
        <v>18</v>
      </c>
      <c r="AE128" s="503">
        <v>10</v>
      </c>
      <c r="AF128" s="504">
        <v>-6</v>
      </c>
      <c r="AG128" s="502">
        <v>17</v>
      </c>
      <c r="AH128" s="502">
        <v>19</v>
      </c>
      <c r="AI128" s="502">
        <v>30</v>
      </c>
      <c r="AJ128" s="502">
        <v>29</v>
      </c>
      <c r="AK128" s="502">
        <v>-8</v>
      </c>
      <c r="AL128" s="502">
        <v>-3</v>
      </c>
      <c r="AM128" s="502">
        <v>-7</v>
      </c>
      <c r="AN128" s="502">
        <v>-6</v>
      </c>
      <c r="AO128" s="502">
        <v>5</v>
      </c>
    </row>
    <row r="129" spans="1:41" ht="13">
      <c r="A129" s="481" t="s">
        <v>559</v>
      </c>
      <c r="B129" s="482">
        <v>12723.131843975199</v>
      </c>
      <c r="C129" s="482">
        <v>14640.186332974101</v>
      </c>
      <c r="D129" s="482">
        <v>14788.2195980673</v>
      </c>
      <c r="E129" s="470"/>
      <c r="F129" s="481" t="s">
        <v>559</v>
      </c>
      <c r="G129" s="483">
        <v>12723.131843975199</v>
      </c>
      <c r="H129" s="482">
        <v>14640.786332974099</v>
      </c>
      <c r="I129" s="482">
        <v>14788.2195980673</v>
      </c>
      <c r="J129" s="472"/>
      <c r="K129" s="481" t="str">
        <f t="shared" si="18"/>
        <v>Operational closing balance</v>
      </c>
      <c r="L129" s="482">
        <v>3125.4963094281002</v>
      </c>
      <c r="M129" s="482">
        <v>3417.8026817411001</v>
      </c>
      <c r="N129" s="482">
        <v>3194.7805751240999</v>
      </c>
      <c r="O129" s="483">
        <v>2985.0522776818998</v>
      </c>
      <c r="P129" s="482">
        <v>2948.8386474096001</v>
      </c>
      <c r="Q129" s="482">
        <v>3991.2357640445998</v>
      </c>
      <c r="R129" s="482">
        <v>3809.3538564464998</v>
      </c>
      <c r="S129" s="482">
        <v>3891.3580650733998</v>
      </c>
      <c r="T129" s="482">
        <v>3810.9029369288</v>
      </c>
      <c r="U129" s="482">
        <v>3664.9993624146</v>
      </c>
      <c r="V129" s="482">
        <v>3704.3506572099</v>
      </c>
      <c r="W129" s="482">
        <v>3607.966641514</v>
      </c>
      <c r="X129" s="482">
        <v>3564.2879160654002</v>
      </c>
      <c r="Y129" s="482">
        <v>3854.0606449921002</v>
      </c>
      <c r="Z129" s="470"/>
      <c r="AA129" s="481" t="str">
        <f t="shared" si="19"/>
        <v>Operational closing balance</v>
      </c>
      <c r="AB129" s="482">
        <v>3125.4963094281002</v>
      </c>
      <c r="AC129" s="482">
        <v>3417.8026817411001</v>
      </c>
      <c r="AD129" s="482">
        <v>3194.7805751240999</v>
      </c>
      <c r="AE129" s="483">
        <v>2985.0522776818998</v>
      </c>
      <c r="AF129" s="484">
        <v>2948.8386474096001</v>
      </c>
      <c r="AG129" s="482">
        <v>3991.2357640445998</v>
      </c>
      <c r="AH129" s="482">
        <v>3809.3538564464998</v>
      </c>
      <c r="AI129" s="482">
        <v>3891.3580650733998</v>
      </c>
      <c r="AJ129" s="482">
        <v>3810.9029369288</v>
      </c>
      <c r="AK129" s="482">
        <v>3664.9993624146</v>
      </c>
      <c r="AL129" s="482">
        <v>3704.3506572099</v>
      </c>
      <c r="AM129" s="482">
        <v>3607.966641514</v>
      </c>
      <c r="AN129" s="482">
        <v>3564.2879160654002</v>
      </c>
      <c r="AO129" s="482">
        <v>3854.0606449921002</v>
      </c>
    </row>
    <row r="130" spans="1:41" ht="13">
      <c r="A130" s="470" t="s">
        <v>561</v>
      </c>
      <c r="B130" s="485">
        <v>0</v>
      </c>
      <c r="C130" s="472">
        <v>0</v>
      </c>
      <c r="D130" s="472">
        <v>0</v>
      </c>
      <c r="E130" s="470"/>
      <c r="F130" s="470" t="s">
        <v>562</v>
      </c>
      <c r="G130" s="487">
        <v>0</v>
      </c>
      <c r="H130" s="472">
        <v>0</v>
      </c>
      <c r="I130" s="472">
        <v>0</v>
      </c>
      <c r="J130" s="472"/>
      <c r="K130" s="470" t="s">
        <v>561</v>
      </c>
      <c r="L130" s="485">
        <v>0</v>
      </c>
      <c r="M130" s="485">
        <v>0</v>
      </c>
      <c r="N130" s="485">
        <v>0</v>
      </c>
      <c r="O130" s="488">
        <v>0</v>
      </c>
      <c r="P130" s="485">
        <v>0</v>
      </c>
      <c r="Q130" s="485">
        <v>0</v>
      </c>
      <c r="R130" s="485">
        <v>0</v>
      </c>
      <c r="S130" s="485">
        <v>0</v>
      </c>
      <c r="T130" s="485">
        <v>0</v>
      </c>
      <c r="U130" s="485">
        <v>0</v>
      </c>
      <c r="V130" s="485">
        <v>0</v>
      </c>
      <c r="W130" s="485">
        <v>0</v>
      </c>
      <c r="X130" s="472">
        <v>0</v>
      </c>
      <c r="Y130" s="472">
        <v>0</v>
      </c>
      <c r="Z130" s="470"/>
      <c r="AA130" s="470" t="s">
        <v>561</v>
      </c>
      <c r="AB130" s="485">
        <v>0</v>
      </c>
      <c r="AC130" s="485">
        <v>0</v>
      </c>
      <c r="AD130" s="485">
        <v>0</v>
      </c>
      <c r="AE130" s="488">
        <v>0</v>
      </c>
      <c r="AF130" s="501">
        <v>0</v>
      </c>
      <c r="AG130" s="485">
        <v>0</v>
      </c>
      <c r="AH130" s="485">
        <v>0</v>
      </c>
      <c r="AI130" s="485">
        <v>0</v>
      </c>
      <c r="AJ130" s="485">
        <v>0</v>
      </c>
      <c r="AK130" s="485">
        <v>0</v>
      </c>
      <c r="AL130" s="485">
        <v>0</v>
      </c>
      <c r="AM130" s="485">
        <v>0</v>
      </c>
      <c r="AN130" s="485">
        <v>0</v>
      </c>
      <c r="AO130" s="485">
        <v>0</v>
      </c>
    </row>
    <row r="131" spans="1:41" ht="13">
      <c r="A131" s="496" t="s">
        <v>560</v>
      </c>
      <c r="B131" s="497">
        <v>12723.131843975199</v>
      </c>
      <c r="C131" s="497">
        <v>14640.186332974101</v>
      </c>
      <c r="D131" s="497">
        <v>14788.419598067299</v>
      </c>
      <c r="E131" s="470"/>
      <c r="F131" s="496" t="s">
        <v>560</v>
      </c>
      <c r="G131" s="498">
        <v>12723.131843975199</v>
      </c>
      <c r="H131" s="497">
        <v>14640.786332974099</v>
      </c>
      <c r="I131" s="497">
        <v>14788.419598067299</v>
      </c>
      <c r="J131" s="472"/>
      <c r="K131" s="496" t="str">
        <f>A131</f>
        <v>Reported closing balance</v>
      </c>
      <c r="L131" s="497">
        <v>3125.4963094281002</v>
      </c>
      <c r="M131" s="497">
        <v>3417.8026817411001</v>
      </c>
      <c r="N131" s="497">
        <v>3194.7805751240999</v>
      </c>
      <c r="O131" s="498">
        <v>2985.0522776818998</v>
      </c>
      <c r="P131" s="497">
        <v>2948.8386474096001</v>
      </c>
      <c r="Q131" s="497">
        <v>3991.2357640445998</v>
      </c>
      <c r="R131" s="497">
        <v>3809.3538564464998</v>
      </c>
      <c r="S131" s="497">
        <v>3891.3580650734002</v>
      </c>
      <c r="T131" s="497">
        <v>3810.9029369288</v>
      </c>
      <c r="U131" s="497">
        <v>3664.9993624146</v>
      </c>
      <c r="V131" s="497">
        <v>3704.3506572099</v>
      </c>
      <c r="W131" s="497">
        <v>3608.1666415139998</v>
      </c>
      <c r="X131" s="497">
        <v>3564.2879160654002</v>
      </c>
      <c r="Y131" s="497">
        <v>3854.0606449921002</v>
      </c>
      <c r="Z131" s="470"/>
      <c r="AA131" s="496" t="str">
        <f>F131</f>
        <v>Reported closing balance</v>
      </c>
      <c r="AB131" s="497">
        <v>3125.4963094281002</v>
      </c>
      <c r="AC131" s="497">
        <v>3417.8026817411001</v>
      </c>
      <c r="AD131" s="497">
        <v>3194.7805751240999</v>
      </c>
      <c r="AE131" s="498">
        <v>2985.0522776818998</v>
      </c>
      <c r="AF131" s="499">
        <v>2948.8386474096001</v>
      </c>
      <c r="AG131" s="497">
        <v>3991.2357640445998</v>
      </c>
      <c r="AH131" s="497">
        <v>3809.3538564464998</v>
      </c>
      <c r="AI131" s="497">
        <v>3891.3580650734002</v>
      </c>
      <c r="AJ131" s="497">
        <v>3810.9029369288</v>
      </c>
      <c r="AK131" s="497">
        <v>3664.9993624146</v>
      </c>
      <c r="AL131" s="497">
        <v>3704.3506572099</v>
      </c>
      <c r="AM131" s="497">
        <v>3608.1666415139998</v>
      </c>
      <c r="AN131" s="497">
        <v>3564.2879160654002</v>
      </c>
      <c r="AO131" s="497">
        <v>3854.0606449921002</v>
      </c>
    </row>
    <row r="132" spans="1:41" ht="10.5" customHeight="1">
      <c r="A132" s="470"/>
      <c r="B132" s="470"/>
      <c r="C132" s="470"/>
      <c r="D132" s="470"/>
      <c r="E132" s="470"/>
      <c r="F132" s="470"/>
      <c r="G132" s="500"/>
      <c r="H132" s="470"/>
      <c r="I132" s="470"/>
      <c r="J132" s="472"/>
      <c r="K132" s="470"/>
      <c r="L132" s="470"/>
      <c r="M132" s="470"/>
      <c r="N132" s="470"/>
      <c r="O132" s="500"/>
      <c r="P132" s="470"/>
      <c r="Q132" s="470"/>
      <c r="R132" s="470"/>
      <c r="S132" s="470"/>
      <c r="T132" s="470"/>
      <c r="U132" s="470"/>
      <c r="V132" s="470"/>
      <c r="W132" s="470"/>
      <c r="X132" s="470"/>
      <c r="Y132" s="470"/>
      <c r="Z132" s="470"/>
      <c r="AA132" s="470"/>
      <c r="AB132" s="470"/>
      <c r="AC132" s="470"/>
      <c r="AD132" s="470"/>
      <c r="AE132" s="470"/>
      <c r="AF132" s="470"/>
      <c r="AG132" s="470"/>
      <c r="AH132" s="470"/>
      <c r="AI132" s="470"/>
      <c r="AJ132" s="470"/>
      <c r="AK132" s="470"/>
    </row>
    <row r="133" spans="1:41" ht="13">
      <c r="A133" s="511" t="s">
        <v>189</v>
      </c>
      <c r="B133" s="511"/>
      <c r="C133" s="511"/>
      <c r="D133" s="511"/>
      <c r="E133" s="470"/>
      <c r="F133" s="511" t="s">
        <v>189</v>
      </c>
      <c r="G133" s="512"/>
      <c r="H133" s="511"/>
      <c r="I133" s="511"/>
      <c r="J133" s="472"/>
      <c r="K133" s="511" t="str">
        <f t="shared" ref="K133:K144" si="20">A133</f>
        <v>Operating profit</v>
      </c>
      <c r="L133" s="511"/>
      <c r="M133" s="511"/>
      <c r="N133" s="511"/>
      <c r="O133" s="512"/>
      <c r="P133" s="511"/>
      <c r="Q133" s="511"/>
      <c r="R133" s="511"/>
      <c r="S133" s="511"/>
      <c r="T133" s="511"/>
      <c r="U133" s="511"/>
      <c r="V133" s="511"/>
      <c r="W133" s="511"/>
      <c r="X133" s="511"/>
      <c r="Y133" s="511"/>
      <c r="Z133" s="470"/>
      <c r="AA133" s="511" t="str">
        <f t="shared" ref="AA133:AA144" si="21">F133</f>
        <v>Operating profit</v>
      </c>
      <c r="AB133" s="511"/>
      <c r="AC133" s="511"/>
      <c r="AD133" s="511"/>
      <c r="AE133" s="512"/>
      <c r="AF133" s="513"/>
      <c r="AG133" s="511"/>
      <c r="AH133" s="511"/>
      <c r="AI133" s="511"/>
      <c r="AJ133" s="511"/>
      <c r="AK133" s="511"/>
      <c r="AL133" s="511"/>
      <c r="AM133" s="511"/>
      <c r="AN133" s="511"/>
      <c r="AO133" s="511"/>
    </row>
    <row r="134" spans="1:41" ht="13">
      <c r="A134" s="315" t="s">
        <v>298</v>
      </c>
      <c r="B134" s="315">
        <v>2023</v>
      </c>
      <c r="C134" s="315">
        <v>2024</v>
      </c>
      <c r="D134" s="315">
        <v>2025</v>
      </c>
      <c r="E134" s="470"/>
      <c r="F134" s="315" t="s">
        <v>298</v>
      </c>
      <c r="G134" s="479">
        <v>2023</v>
      </c>
      <c r="H134" s="315">
        <v>2024</v>
      </c>
      <c r="I134" s="315">
        <v>2025</v>
      </c>
      <c r="J134" s="472"/>
      <c r="K134" s="315" t="str">
        <f t="shared" si="20"/>
        <v>Epiroc Group</v>
      </c>
      <c r="L134" s="315" t="s">
        <v>148</v>
      </c>
      <c r="M134" s="315" t="s">
        <v>149</v>
      </c>
      <c r="N134" s="315" t="s">
        <v>150</v>
      </c>
      <c r="O134" s="479" t="s">
        <v>151</v>
      </c>
      <c r="P134" s="315" t="s">
        <v>152</v>
      </c>
      <c r="Q134" s="315" t="s">
        <v>153</v>
      </c>
      <c r="R134" s="315" t="s">
        <v>154</v>
      </c>
      <c r="S134" s="315" t="s">
        <v>155</v>
      </c>
      <c r="T134" s="315" t="s">
        <v>156</v>
      </c>
      <c r="U134" s="315" t="s">
        <v>157</v>
      </c>
      <c r="V134" s="315" t="s">
        <v>158</v>
      </c>
      <c r="W134" s="315" t="s">
        <v>820</v>
      </c>
      <c r="X134" s="315" t="s">
        <v>1275</v>
      </c>
      <c r="Y134" s="315" t="s">
        <v>1344</v>
      </c>
      <c r="Z134" s="470"/>
      <c r="AA134" s="315" t="str">
        <f t="shared" si="21"/>
        <v>Epiroc Group</v>
      </c>
      <c r="AB134" s="315" t="s">
        <v>148</v>
      </c>
      <c r="AC134" s="315" t="s">
        <v>149</v>
      </c>
      <c r="AD134" s="315" t="s">
        <v>150</v>
      </c>
      <c r="AE134" s="479" t="s">
        <v>151</v>
      </c>
      <c r="AF134" s="480" t="s">
        <v>152</v>
      </c>
      <c r="AG134" s="315" t="s">
        <v>153</v>
      </c>
      <c r="AH134" s="315" t="s">
        <v>154</v>
      </c>
      <c r="AI134" s="315" t="s">
        <v>155</v>
      </c>
      <c r="AJ134" s="315" t="s">
        <v>156</v>
      </c>
      <c r="AK134" s="315" t="s">
        <v>157</v>
      </c>
      <c r="AL134" s="315" t="s">
        <v>158</v>
      </c>
      <c r="AM134" s="315" t="s">
        <v>820</v>
      </c>
      <c r="AN134" s="315" t="s">
        <v>1275</v>
      </c>
      <c r="AO134" s="315" t="s">
        <v>1344</v>
      </c>
    </row>
    <row r="135" spans="1:41" ht="13">
      <c r="A135" s="481" t="s">
        <v>553</v>
      </c>
      <c r="B135" s="482">
        <v>11146.9612224087</v>
      </c>
      <c r="C135" s="482">
        <v>13182.824691603399</v>
      </c>
      <c r="D135" s="482">
        <v>12385.3019075458</v>
      </c>
      <c r="E135" s="470"/>
      <c r="F135" s="481" t="s">
        <v>553</v>
      </c>
      <c r="G135" s="483">
        <v>11146.9612224087</v>
      </c>
      <c r="H135" s="482">
        <v>13182.824691603399</v>
      </c>
      <c r="I135" s="482">
        <v>12385.3019075458</v>
      </c>
      <c r="J135" s="472"/>
      <c r="K135" s="481" t="str">
        <f t="shared" si="20"/>
        <v>Reported opening balance</v>
      </c>
      <c r="L135" s="482">
        <v>2631.1792427419</v>
      </c>
      <c r="M135" s="482">
        <v>2380.7958624020998</v>
      </c>
      <c r="N135" s="482">
        <v>2899.9799321402002</v>
      </c>
      <c r="O135" s="483">
        <v>3235.0061851245</v>
      </c>
      <c r="P135" s="482">
        <v>3161.4946645324999</v>
      </c>
      <c r="Q135" s="482">
        <v>3412.7008393647998</v>
      </c>
      <c r="R135" s="482">
        <v>3260.0402711436</v>
      </c>
      <c r="S135" s="482">
        <v>3348.5889165624999</v>
      </c>
      <c r="T135" s="482">
        <v>2760.2532162946</v>
      </c>
      <c r="U135" s="482">
        <v>2921.1358278078001</v>
      </c>
      <c r="V135" s="482">
        <v>3276.5083549020001</v>
      </c>
      <c r="W135" s="482">
        <v>3427.4045085414</v>
      </c>
      <c r="X135" s="482">
        <v>3087.5440519169001</v>
      </c>
      <c r="Y135" s="482">
        <v>2831.4177998968003</v>
      </c>
      <c r="Z135" s="470"/>
      <c r="AA135" s="481" t="str">
        <f t="shared" si="21"/>
        <v>Reported opening balance</v>
      </c>
      <c r="AB135" s="482">
        <v>2631.1792427419</v>
      </c>
      <c r="AC135" s="482">
        <v>2380.7958624020998</v>
      </c>
      <c r="AD135" s="482">
        <v>2899.9799321402002</v>
      </c>
      <c r="AE135" s="483">
        <v>3235.0061851245</v>
      </c>
      <c r="AF135" s="484">
        <v>3161.4946645324999</v>
      </c>
      <c r="AG135" s="482">
        <v>3412.7008393647998</v>
      </c>
      <c r="AH135" s="482">
        <v>3260.0402711436</v>
      </c>
      <c r="AI135" s="482">
        <v>3348.5889165624999</v>
      </c>
      <c r="AJ135" s="482">
        <v>2760.2532162946</v>
      </c>
      <c r="AK135" s="482">
        <v>2921.1358278078001</v>
      </c>
      <c r="AL135" s="482">
        <v>3276.5083549020001</v>
      </c>
      <c r="AM135" s="482">
        <v>3427.4045085414</v>
      </c>
      <c r="AN135" s="482">
        <v>3087.5440519169001</v>
      </c>
      <c r="AO135" s="482">
        <v>2831.4177998968003</v>
      </c>
    </row>
    <row r="136" spans="1:41" ht="13">
      <c r="A136" s="470" t="s">
        <v>562</v>
      </c>
      <c r="B136" s="486">
        <v>608</v>
      </c>
      <c r="C136" s="485">
        <v>-66</v>
      </c>
      <c r="D136" s="485">
        <v>239.20000000000005</v>
      </c>
      <c r="E136" s="470"/>
      <c r="F136" s="470" t="s">
        <v>562</v>
      </c>
      <c r="G136" s="515">
        <v>1.2234800623889739E-2</v>
      </c>
      <c r="H136" s="485">
        <v>-1.0937431115579602E-3</v>
      </c>
      <c r="I136" s="485">
        <v>6.3787260370517448E-3</v>
      </c>
      <c r="J136" s="472"/>
      <c r="K136" s="470" t="str">
        <f t="shared" si="20"/>
        <v>Adjustment IAC</v>
      </c>
      <c r="L136" s="486">
        <v>-43</v>
      </c>
      <c r="M136" s="486">
        <v>420</v>
      </c>
      <c r="N136" s="486">
        <v>164</v>
      </c>
      <c r="O136" s="489">
        <v>67</v>
      </c>
      <c r="P136" s="486">
        <v>26</v>
      </c>
      <c r="Q136" s="486">
        <v>16</v>
      </c>
      <c r="R136" s="486">
        <v>12</v>
      </c>
      <c r="S136" s="486">
        <v>-120</v>
      </c>
      <c r="T136" s="486">
        <v>127.1</v>
      </c>
      <c r="U136" s="486">
        <v>325.10000000000002</v>
      </c>
      <c r="V136" s="486">
        <v>-191</v>
      </c>
      <c r="W136" s="486">
        <v>-22</v>
      </c>
      <c r="X136" s="485">
        <v>11.2</v>
      </c>
      <c r="Y136" s="485">
        <v>152.6</v>
      </c>
      <c r="Z136" s="470"/>
      <c r="AA136" s="470" t="str">
        <f t="shared" si="21"/>
        <v>Adjustment IAC</v>
      </c>
      <c r="AB136" s="514">
        <v>-3.8779277085649278E-3</v>
      </c>
      <c r="AC136" s="514">
        <v>3.5389969574965506E-2</v>
      </c>
      <c r="AD136" s="514">
        <v>1.2810654980605587E-2</v>
      </c>
      <c r="AE136" s="516">
        <v>4.8075879143424979E-3</v>
      </c>
      <c r="AF136" s="517">
        <v>1.8748760869694522E-3</v>
      </c>
      <c r="AG136" s="514">
        <v>1.005661051036693E-3</v>
      </c>
      <c r="AH136" s="514">
        <v>8.0015637986364369E-4</v>
      </c>
      <c r="AI136" s="514">
        <v>-7.7082912570458021E-3</v>
      </c>
      <c r="AJ136" s="514">
        <v>8.986886843491089E-3</v>
      </c>
      <c r="AK136" s="514">
        <v>1.9690194794907481E-2</v>
      </c>
      <c r="AL136" s="514">
        <v>-1.3166038968656712E-2</v>
      </c>
      <c r="AM136" s="514">
        <v>-2E-3</v>
      </c>
      <c r="AN136" s="514">
        <v>7.2090134703997881E-4</v>
      </c>
      <c r="AO136" s="514">
        <v>1.0086002934816185E-2</v>
      </c>
    </row>
    <row r="137" spans="1:41" ht="13">
      <c r="A137" s="481" t="s">
        <v>555</v>
      </c>
      <c r="B137" s="482">
        <v>11754.9612224087</v>
      </c>
      <c r="C137" s="482">
        <v>13116.824691603399</v>
      </c>
      <c r="D137" s="482">
        <v>12624.0973990044</v>
      </c>
      <c r="E137" s="470"/>
      <c r="F137" s="481" t="s">
        <v>555</v>
      </c>
      <c r="G137" s="483">
        <v>11754.9612224087</v>
      </c>
      <c r="H137" s="482">
        <v>13116.824691603399</v>
      </c>
      <c r="I137" s="482">
        <v>12624.0973990044</v>
      </c>
      <c r="J137" s="472"/>
      <c r="K137" s="481" t="str">
        <f t="shared" si="20"/>
        <v>Adjusted opening balance</v>
      </c>
      <c r="L137" s="482">
        <v>2588.1792427419</v>
      </c>
      <c r="M137" s="482">
        <v>2800.7958624020998</v>
      </c>
      <c r="N137" s="482">
        <v>3063.9799321402002</v>
      </c>
      <c r="O137" s="483">
        <v>3302.0061851245</v>
      </c>
      <c r="P137" s="482">
        <v>3187.4946645324999</v>
      </c>
      <c r="Q137" s="482">
        <v>3428.7008393647998</v>
      </c>
      <c r="R137" s="482">
        <v>3272.0402711436</v>
      </c>
      <c r="S137" s="482">
        <v>3228.5889165624999</v>
      </c>
      <c r="T137" s="482">
        <v>2887.3532162945999</v>
      </c>
      <c r="U137" s="482">
        <v>3246.2358278078</v>
      </c>
      <c r="V137" s="482">
        <v>3085.5083549020001</v>
      </c>
      <c r="W137" s="482">
        <v>3405</v>
      </c>
      <c r="X137" s="482">
        <v>3098.7440519168999</v>
      </c>
      <c r="Y137" s="482">
        <v>2984.0177998968002</v>
      </c>
      <c r="Z137" s="470"/>
      <c r="AA137" s="481" t="str">
        <f t="shared" si="21"/>
        <v>Adjusted opening balance</v>
      </c>
      <c r="AB137" s="482">
        <v>2588.1792427419</v>
      </c>
      <c r="AC137" s="482">
        <v>2800.7958624020998</v>
      </c>
      <c r="AD137" s="482">
        <v>3063.9799321402002</v>
      </c>
      <c r="AE137" s="483">
        <v>3302.0061851245</v>
      </c>
      <c r="AF137" s="484">
        <v>3187.4946645324999</v>
      </c>
      <c r="AG137" s="482">
        <v>3428.7008393647998</v>
      </c>
      <c r="AH137" s="482">
        <v>3272.0402711436</v>
      </c>
      <c r="AI137" s="482">
        <v>3228.5889165624999</v>
      </c>
      <c r="AJ137" s="482">
        <v>2887.3532162945999</v>
      </c>
      <c r="AK137" s="482">
        <v>3246.2358278078</v>
      </c>
      <c r="AL137" s="482">
        <v>3085.5083549020001</v>
      </c>
      <c r="AM137" s="482">
        <v>3405</v>
      </c>
      <c r="AN137" s="482">
        <v>3098.7440519168999</v>
      </c>
      <c r="AO137" s="482">
        <v>2984.0177998968002</v>
      </c>
    </row>
    <row r="138" spans="1:41" ht="13">
      <c r="A138" s="470" t="s">
        <v>556</v>
      </c>
      <c r="B138" s="486">
        <v>394.4397764176</v>
      </c>
      <c r="C138" s="472">
        <v>-985.87680015169997</v>
      </c>
      <c r="D138" s="472">
        <v>182.37311645599999</v>
      </c>
      <c r="E138" s="470"/>
      <c r="F138" s="470" t="s">
        <v>556</v>
      </c>
      <c r="G138" s="515">
        <v>-1.2067458389318836E-2</v>
      </c>
      <c r="H138" s="955">
        <v>-1.9847928149546362E-2</v>
      </c>
      <c r="I138" s="955">
        <v>-3.4190937145889382E-3</v>
      </c>
      <c r="J138" s="472"/>
      <c r="K138" s="470" t="str">
        <f t="shared" si="20"/>
        <v>Organic</v>
      </c>
      <c r="L138" s="486">
        <v>321.33101647730001</v>
      </c>
      <c r="M138" s="486">
        <v>695.28635133880005</v>
      </c>
      <c r="N138" s="486">
        <v>-172.8638032689</v>
      </c>
      <c r="O138" s="489">
        <v>-449.31378812960003</v>
      </c>
      <c r="P138" s="486">
        <v>-362</v>
      </c>
      <c r="Q138" s="486">
        <v>-630.63308106800002</v>
      </c>
      <c r="R138" s="486">
        <v>-130.03192564460002</v>
      </c>
      <c r="S138" s="486">
        <v>136.78820656089999</v>
      </c>
      <c r="T138" s="486">
        <v>-97</v>
      </c>
      <c r="U138" s="486">
        <v>-3.5167453102000001</v>
      </c>
      <c r="V138" s="486">
        <v>42.357631963000003</v>
      </c>
      <c r="W138" s="486">
        <v>240.53222980319998</v>
      </c>
      <c r="X138" s="472">
        <v>137.5394151914</v>
      </c>
      <c r="Y138" s="472">
        <v>570.16077986959999</v>
      </c>
      <c r="Z138" s="470"/>
      <c r="AA138" s="470" t="str">
        <f t="shared" si="21"/>
        <v>Organic</v>
      </c>
      <c r="AB138" s="514">
        <v>7.0309415747142421E-3</v>
      </c>
      <c r="AC138" s="514">
        <v>1.4106774348267277E-2</v>
      </c>
      <c r="AD138" s="514">
        <v>-2.4692554037496952E-2</v>
      </c>
      <c r="AE138" s="516">
        <v>-4.363801825583527E-2</v>
      </c>
      <c r="AF138" s="517">
        <v>-3.2783071558413666E-2</v>
      </c>
      <c r="AG138" s="514">
        <v>-3.5280751364306889E-2</v>
      </c>
      <c r="AH138" s="514">
        <v>-6.6877547700783593E-4</v>
      </c>
      <c r="AI138" s="514">
        <v>-1.2302372411341495E-4</v>
      </c>
      <c r="AJ138" s="514">
        <v>-1.2046939214313254E-2</v>
      </c>
      <c r="AK138" s="514">
        <v>-1.2217928127941939E-3</v>
      </c>
      <c r="AL138" s="514">
        <v>-8.0644190843967151E-3</v>
      </c>
      <c r="AM138" s="514">
        <v>5.6160937339344505E-3</v>
      </c>
      <c r="AN138" s="514">
        <v>4.986318285786751E-3</v>
      </c>
      <c r="AO138" s="514">
        <v>1.4009205613286843E-2</v>
      </c>
    </row>
    <row r="139" spans="1:41" ht="13">
      <c r="A139" s="470" t="s">
        <v>557</v>
      </c>
      <c r="B139" s="486">
        <v>530.09652675270002</v>
      </c>
      <c r="C139" s="472">
        <v>445.82188549030002</v>
      </c>
      <c r="D139" s="472">
        <f>+-684.8154674574-2</f>
        <v>-686.81546745740002</v>
      </c>
      <c r="E139" s="470"/>
      <c r="F139" s="470" t="s">
        <v>557</v>
      </c>
      <c r="G139" s="515">
        <v>3.0067165834333411E-3</v>
      </c>
      <c r="H139" s="955">
        <v>1.0573685015900725E-2</v>
      </c>
      <c r="I139" s="955">
        <v>5.0017178651062836E-3</v>
      </c>
      <c r="J139" s="472"/>
      <c r="K139" s="470" t="str">
        <f t="shared" si="20"/>
        <v>Currency</v>
      </c>
      <c r="L139" s="486">
        <v>204.990792809</v>
      </c>
      <c r="M139" s="486">
        <v>-242.78152914910001</v>
      </c>
      <c r="N139" s="486">
        <v>253.733037905</v>
      </c>
      <c r="O139" s="489">
        <v>314.15422518780002</v>
      </c>
      <c r="P139" s="486">
        <v>49.477742361200001</v>
      </c>
      <c r="Q139" s="486">
        <v>392.6790066236</v>
      </c>
      <c r="R139" s="486">
        <v>-53.227047228899998</v>
      </c>
      <c r="S139" s="486">
        <v>56.8921837344</v>
      </c>
      <c r="T139" s="486">
        <v>268.25713554020001</v>
      </c>
      <c r="U139" s="486">
        <v>-246.2696620959</v>
      </c>
      <c r="V139" s="486">
        <v>-229.79097633699999</v>
      </c>
      <c r="W139" s="486">
        <v>-477.01196456470001</v>
      </c>
      <c r="X139" s="472">
        <v>-386.881829869</v>
      </c>
      <c r="Y139" s="472">
        <v>-202.0490624208</v>
      </c>
      <c r="Z139" s="470"/>
      <c r="AA139" s="470" t="str">
        <f t="shared" si="21"/>
        <v>Currency</v>
      </c>
      <c r="AB139" s="514">
        <v>2.0532173969126885E-3</v>
      </c>
      <c r="AC139" s="514">
        <v>-2.4330048839667405E-2</v>
      </c>
      <c r="AD139" s="514">
        <v>1.3939479774155165E-2</v>
      </c>
      <c r="AE139" s="516">
        <v>2.1274923875928272E-2</v>
      </c>
      <c r="AF139" s="517">
        <v>9.8821555767401991E-3</v>
      </c>
      <c r="AG139" s="514">
        <v>2.589001331698525E-2</v>
      </c>
      <c r="AH139" s="514">
        <v>4.7040141356165452E-3</v>
      </c>
      <c r="AI139" s="514">
        <v>2.1711629273005531E-3</v>
      </c>
      <c r="AJ139" s="514">
        <v>1.7502950884709139E-2</v>
      </c>
      <c r="AK139" s="514">
        <v>2.6004073725504687E-3</v>
      </c>
      <c r="AL139" s="514">
        <v>2.0008959591383607E-3</v>
      </c>
      <c r="AM139" s="514">
        <v>-7.1861937210989683E-3</v>
      </c>
      <c r="AN139" s="514">
        <v>-5.7160496858984387E-3</v>
      </c>
      <c r="AO139" s="514">
        <v>-9.5377931668258475E-3</v>
      </c>
    </row>
    <row r="140" spans="1:41" ht="13">
      <c r="A140" s="492" t="s">
        <v>558</v>
      </c>
      <c r="B140" s="518">
        <v>436.72716602449992</v>
      </c>
      <c r="C140" s="493">
        <v>49.241093090899952</v>
      </c>
      <c r="D140" s="493">
        <v>5</v>
      </c>
      <c r="E140" s="470"/>
      <c r="F140" s="492" t="s">
        <v>558</v>
      </c>
      <c r="G140" s="520">
        <v>-1.0126949061260425E-2</v>
      </c>
      <c r="H140" s="956">
        <v>-9.6042568011753555E-3</v>
      </c>
      <c r="I140" s="955">
        <v>-8.8218675485009432E-3</v>
      </c>
      <c r="J140" s="472"/>
      <c r="K140" s="492" t="str">
        <f t="shared" si="20"/>
        <v>Structure</v>
      </c>
      <c r="L140" s="518">
        <v>72.593612503499998</v>
      </c>
      <c r="M140" s="518">
        <v>175.60026829759994</v>
      </c>
      <c r="N140" s="518">
        <v>126.79110525370004</v>
      </c>
      <c r="O140" s="521">
        <v>61.742179969699976</v>
      </c>
      <c r="P140" s="518">
        <v>13.399771887199989</v>
      </c>
      <c r="Q140" s="518">
        <v>55.489062886099987</v>
      </c>
      <c r="R140" s="518">
        <v>-3.2693340572000125</v>
      </c>
      <c r="S140" s="518">
        <v>-16.378407625200008</v>
      </c>
      <c r="T140" s="518">
        <v>41</v>
      </c>
      <c r="U140" s="518">
        <v>-12.236639865100045</v>
      </c>
      <c r="V140" s="518">
        <v>-2.084050863199991</v>
      </c>
      <c r="W140" s="518">
        <v>-23</v>
      </c>
      <c r="X140" s="493">
        <v>18.492448049</v>
      </c>
      <c r="Y140" s="493">
        <v>-3.3533040973000041</v>
      </c>
      <c r="Z140" s="470"/>
      <c r="AA140" s="492" t="str">
        <f t="shared" si="21"/>
        <v>Structure</v>
      </c>
      <c r="AB140" s="519">
        <v>-1.2674093091792269E-2</v>
      </c>
      <c r="AC140" s="519">
        <v>-1.0320262136867922E-2</v>
      </c>
      <c r="AD140" s="519">
        <v>-1.0433901441566366E-2</v>
      </c>
      <c r="AE140" s="522">
        <v>-7.1896389322367582E-3</v>
      </c>
      <c r="AF140" s="523">
        <v>-2.7945959870134761E-3</v>
      </c>
      <c r="AG140" s="519">
        <v>-9.5027942274475818E-3</v>
      </c>
      <c r="AH140" s="519">
        <v>-1.2729324304132001E-2</v>
      </c>
      <c r="AI140" s="519">
        <v>-1.2009614616139086E-2</v>
      </c>
      <c r="AJ140" s="519">
        <v>-1.0159708927420543E-2</v>
      </c>
      <c r="AK140" s="519">
        <v>-1.75230868687568E-3</v>
      </c>
      <c r="AL140" s="519">
        <v>-4.7583894323140695E-4</v>
      </c>
      <c r="AM140" s="519">
        <v>-1E-3</v>
      </c>
      <c r="AN140" s="519">
        <v>1.2853372362029252E-3</v>
      </c>
      <c r="AO140" s="519">
        <v>-1.9799528550138722E-4</v>
      </c>
    </row>
    <row r="141" spans="1:41" ht="13">
      <c r="A141" s="470" t="s">
        <v>471</v>
      </c>
      <c r="B141" s="486">
        <f>SUM(B138:B140)</f>
        <v>1361.2634691947999</v>
      </c>
      <c r="C141" s="472">
        <v>-491.83278405690021</v>
      </c>
      <c r="D141" s="472">
        <v>-498.54044250840008</v>
      </c>
      <c r="E141" s="470"/>
      <c r="F141" s="470" t="s">
        <v>471</v>
      </c>
      <c r="G141" s="515">
        <v>-1.9187690867145918E-2</v>
      </c>
      <c r="H141" s="955">
        <v>-1.8878499934820991E-2</v>
      </c>
      <c r="I141" s="957">
        <v>-4.2392433979836002E-3</v>
      </c>
      <c r="J141" s="472"/>
      <c r="K141" s="470" t="str">
        <f t="shared" si="20"/>
        <v>Total</v>
      </c>
      <c r="L141" s="486">
        <v>598.91542178980001</v>
      </c>
      <c r="M141" s="486">
        <v>627.90509048729996</v>
      </c>
      <c r="N141" s="486">
        <v>207.66033988980004</v>
      </c>
      <c r="O141" s="489">
        <v>-73.417382972100029</v>
      </c>
      <c r="P141" s="486">
        <v>-300.14144823800007</v>
      </c>
      <c r="Q141" s="486">
        <v>-182.46501155830003</v>
      </c>
      <c r="R141" s="486">
        <v>-186.52830693070004</v>
      </c>
      <c r="S141" s="486">
        <v>177.30198267009999</v>
      </c>
      <c r="T141" s="486">
        <v>212</v>
      </c>
      <c r="U141" s="486">
        <v>-262.02304727120008</v>
      </c>
      <c r="V141" s="486">
        <v>-189.51739523719999</v>
      </c>
      <c r="W141" s="486">
        <v>-259</v>
      </c>
      <c r="X141" s="472">
        <v>-230.84996662860001</v>
      </c>
      <c r="Y141" s="472">
        <v>364.7584133515</v>
      </c>
      <c r="Z141" s="470"/>
      <c r="AA141" s="470" t="str">
        <f t="shared" si="21"/>
        <v>Total</v>
      </c>
      <c r="AB141" s="514">
        <v>-3.589934120165339E-3</v>
      </c>
      <c r="AC141" s="514">
        <v>-2.0493253575716242E-2</v>
      </c>
      <c r="AD141" s="514">
        <v>-2.1186975704908156E-2</v>
      </c>
      <c r="AE141" s="516">
        <v>-2.9552733312143753E-2</v>
      </c>
      <c r="AF141" s="517">
        <v>-2.569551196868694E-2</v>
      </c>
      <c r="AG141" s="514">
        <v>-1.8893532274769226E-2</v>
      </c>
      <c r="AH141" s="514">
        <v>-8.6940856455232918E-3</v>
      </c>
      <c r="AI141" s="514">
        <v>-9.9614754129519478E-3</v>
      </c>
      <c r="AJ141" s="514">
        <v>-4.7036972570246582E-3</v>
      </c>
      <c r="AK141" s="514">
        <v>-3.7369412711940522E-4</v>
      </c>
      <c r="AL141" s="514">
        <v>-5.5393620684897624E-3</v>
      </c>
      <c r="AM141" s="514">
        <v>-2E-3</v>
      </c>
      <c r="AN141" s="514">
        <v>-4.443941639087623E-4</v>
      </c>
      <c r="AO141" s="514">
        <v>4.2734171609596075E-3</v>
      </c>
    </row>
    <row r="142" spans="1:41" ht="13">
      <c r="A142" s="481" t="s">
        <v>559</v>
      </c>
      <c r="B142" s="482">
        <v>13117</v>
      </c>
      <c r="C142" s="482">
        <v>12624.991907546499</v>
      </c>
      <c r="D142" s="482">
        <v>12124.926811478299</v>
      </c>
      <c r="E142" s="470"/>
      <c r="F142" s="481" t="s">
        <v>559</v>
      </c>
      <c r="G142" s="483">
        <v>13117</v>
      </c>
      <c r="H142" s="482">
        <v>12624.7919075465</v>
      </c>
      <c r="I142" s="482">
        <v>12124.926811478299</v>
      </c>
      <c r="J142" s="472"/>
      <c r="K142" s="481" t="str">
        <f t="shared" si="20"/>
        <v>Operational closing balance</v>
      </c>
      <c r="L142" s="482">
        <v>3187.0946645316999</v>
      </c>
      <c r="M142" s="482">
        <v>3428.7009528893996</v>
      </c>
      <c r="N142" s="482">
        <v>3271.6402720300002</v>
      </c>
      <c r="O142" s="483">
        <v>3228.5888021524001</v>
      </c>
      <c r="P142" s="482">
        <v>2887.3532162944998</v>
      </c>
      <c r="Q142" s="482">
        <v>3246.2358278064999</v>
      </c>
      <c r="R142" s="482">
        <v>3085.5119642128998</v>
      </c>
      <c r="S142" s="482">
        <v>3405.8908992326001</v>
      </c>
      <c r="T142" s="482">
        <v>3098.7230712768996</v>
      </c>
      <c r="U142" s="482">
        <v>2984.2127805365999</v>
      </c>
      <c r="V142" s="482">
        <v>2895.9909596647999</v>
      </c>
      <c r="W142" s="482">
        <v>3146</v>
      </c>
      <c r="X142" s="482">
        <v>2867.8940852882997</v>
      </c>
      <c r="Y142" s="482">
        <v>3348.7762132483003</v>
      </c>
      <c r="Z142" s="470"/>
      <c r="AA142" s="481" t="str">
        <f t="shared" si="21"/>
        <v>Operational closing balance</v>
      </c>
      <c r="AB142" s="482">
        <v>3187.0946645316999</v>
      </c>
      <c r="AC142" s="482">
        <v>3428.7009528893996</v>
      </c>
      <c r="AD142" s="482">
        <v>3271.6402720300002</v>
      </c>
      <c r="AE142" s="483">
        <v>3228.5888021524001</v>
      </c>
      <c r="AF142" s="484">
        <v>2887.3532162944998</v>
      </c>
      <c r="AG142" s="482">
        <v>3246.2358278064999</v>
      </c>
      <c r="AH142" s="482">
        <v>3085.3119642129</v>
      </c>
      <c r="AI142" s="482">
        <v>3405.8908992326001</v>
      </c>
      <c r="AJ142" s="482">
        <v>3098.7230712768996</v>
      </c>
      <c r="AK142" s="482">
        <v>2984.2127805365999</v>
      </c>
      <c r="AL142" s="482">
        <v>2895.9909596647999</v>
      </c>
      <c r="AM142" s="482">
        <v>3146</v>
      </c>
      <c r="AN142" s="482">
        <v>2867.8940852882997</v>
      </c>
      <c r="AO142" s="482">
        <v>3348.7762132483003</v>
      </c>
    </row>
    <row r="143" spans="1:41" ht="13">
      <c r="A143" s="470" t="s">
        <v>562</v>
      </c>
      <c r="B143" s="486">
        <v>66</v>
      </c>
      <c r="C143" s="472">
        <v>-239.50000000000006</v>
      </c>
      <c r="D143" s="472">
        <v>-199.774</v>
      </c>
      <c r="E143" s="470"/>
      <c r="F143" s="470" t="s">
        <v>562</v>
      </c>
      <c r="G143" s="515">
        <v>1.0937503617514403E-3</v>
      </c>
      <c r="H143" s="955">
        <v>-3.7655095656352893E-3</v>
      </c>
      <c r="I143" s="955">
        <v>-1.5032702514342073E-3</v>
      </c>
      <c r="J143" s="472"/>
      <c r="K143" s="470" t="str">
        <f t="shared" si="20"/>
        <v>Adjustment IAC</v>
      </c>
      <c r="L143" s="486">
        <v>-26</v>
      </c>
      <c r="M143" s="486">
        <v>-16</v>
      </c>
      <c r="N143" s="486">
        <v>-12</v>
      </c>
      <c r="O143" s="489">
        <v>120</v>
      </c>
      <c r="P143" s="486">
        <v>-127.1</v>
      </c>
      <c r="Q143" s="486">
        <v>-325.10000000000002</v>
      </c>
      <c r="R143" s="486">
        <v>191</v>
      </c>
      <c r="S143" s="486">
        <v>21.7</v>
      </c>
      <c r="T143" s="486">
        <v>-11.173999999999999</v>
      </c>
      <c r="U143" s="486">
        <v>-152.6</v>
      </c>
      <c r="V143" s="486">
        <v>-94</v>
      </c>
      <c r="W143" s="486">
        <v>58</v>
      </c>
      <c r="X143" s="472">
        <v>-22.4</v>
      </c>
      <c r="Y143" s="472">
        <v>-33.069503612200002</v>
      </c>
      <c r="Z143" s="470"/>
      <c r="AA143" s="470" t="str">
        <f t="shared" si="21"/>
        <v>Adjustment IAC</v>
      </c>
      <c r="AB143" s="514">
        <v>-1.8748760869694522E-3</v>
      </c>
      <c r="AC143" s="514">
        <v>-1.0056610510366993E-3</v>
      </c>
      <c r="AD143" s="514">
        <v>-8.0015637986363295E-4</v>
      </c>
      <c r="AE143" s="516">
        <v>7.7079941797251758E-3</v>
      </c>
      <c r="AF143" s="517">
        <v>-8.9868868434911531E-3</v>
      </c>
      <c r="AG143" s="514">
        <v>-1.9690194794907603E-2</v>
      </c>
      <c r="AH143" s="514">
        <v>1.2165729002723537E-2</v>
      </c>
      <c r="AI143" s="514">
        <v>1.257884608165249E-3</v>
      </c>
      <c r="AJ143" s="514">
        <v>-7.192278260557697E-4</v>
      </c>
      <c r="AK143" s="514">
        <v>-1.0086002934816252E-2</v>
      </c>
      <c r="AL143" s="514">
        <v>-6.1670438032670446E-3</v>
      </c>
      <c r="AM143" s="514">
        <v>3.6917636147474073E-3</v>
      </c>
      <c r="AN143" s="514">
        <v>-1.5608954649702867E-3</v>
      </c>
      <c r="AO143" s="514">
        <v>-1.979960080473929E-3</v>
      </c>
    </row>
    <row r="144" spans="1:41" ht="13">
      <c r="A144" s="496" t="s">
        <v>560</v>
      </c>
      <c r="B144" s="497">
        <v>13182.8246916035</v>
      </c>
      <c r="C144" s="497">
        <v>12385.2919075465</v>
      </c>
      <c r="D144" s="497">
        <v>11925.099970268298</v>
      </c>
      <c r="E144" s="470"/>
      <c r="F144" s="496" t="s">
        <v>560</v>
      </c>
      <c r="G144" s="498">
        <v>13182.8246916035</v>
      </c>
      <c r="H144" s="497">
        <v>12385.2919075465</v>
      </c>
      <c r="I144" s="497">
        <v>11925.099970268298</v>
      </c>
      <c r="J144" s="472"/>
      <c r="K144" s="496" t="str">
        <f t="shared" si="20"/>
        <v>Reported closing balance</v>
      </c>
      <c r="L144" s="497">
        <v>3161.4946645317</v>
      </c>
      <c r="M144" s="497">
        <v>3412.7009528894</v>
      </c>
      <c r="N144" s="497">
        <v>3260.0402720299999</v>
      </c>
      <c r="O144" s="498">
        <v>3348.5888021524001</v>
      </c>
      <c r="P144" s="497">
        <v>2760.2532162944999</v>
      </c>
      <c r="Q144" s="497">
        <v>2921.1358278064999</v>
      </c>
      <c r="R144" s="497">
        <v>3277.3119642129</v>
      </c>
      <c r="S144" s="497">
        <v>3427.5908992325999</v>
      </c>
      <c r="T144" s="497">
        <v>3087.5490712769001</v>
      </c>
      <c r="U144" s="497">
        <v>2830.6127805366</v>
      </c>
      <c r="V144" s="497">
        <v>2801.8809596647998</v>
      </c>
      <c r="W144" s="497">
        <v>3204.0571587899999</v>
      </c>
      <c r="X144" s="497">
        <v>2845.5940852883</v>
      </c>
      <c r="Y144" s="497">
        <v>3315.9067096361</v>
      </c>
      <c r="Z144" s="470"/>
      <c r="AA144" s="496" t="str">
        <f t="shared" si="21"/>
        <v>Reported closing balance</v>
      </c>
      <c r="AB144" s="497">
        <v>3161.4946645317</v>
      </c>
      <c r="AC144" s="497">
        <v>3412.7009528894</v>
      </c>
      <c r="AD144" s="497">
        <v>3260.0402720299999</v>
      </c>
      <c r="AE144" s="498">
        <v>3348.5888021524001</v>
      </c>
      <c r="AF144" s="499">
        <v>2760.2532162944999</v>
      </c>
      <c r="AG144" s="497">
        <v>2921.1358278064999</v>
      </c>
      <c r="AH144" s="497">
        <v>3276.3119642129</v>
      </c>
      <c r="AI144" s="497">
        <v>3427.5908992325999</v>
      </c>
      <c r="AJ144" s="497">
        <v>3087.5490712769001</v>
      </c>
      <c r="AK144" s="497">
        <v>2830.6127805366</v>
      </c>
      <c r="AL144" s="497">
        <v>2801.8809596647998</v>
      </c>
      <c r="AM144" s="497">
        <v>3204.0571587899999</v>
      </c>
      <c r="AN144" s="497">
        <v>2845.5940852883</v>
      </c>
      <c r="AO144" s="497">
        <v>3315.9067096361</v>
      </c>
    </row>
    <row r="145" spans="1:41" ht="13">
      <c r="A145" s="470"/>
      <c r="B145" s="470"/>
      <c r="C145" s="470"/>
      <c r="D145" s="470"/>
      <c r="E145" s="470"/>
      <c r="F145" s="470"/>
      <c r="G145" s="470"/>
      <c r="H145" s="470"/>
      <c r="I145" s="470"/>
      <c r="J145" s="472"/>
      <c r="K145" s="470"/>
      <c r="L145" s="470"/>
      <c r="M145" s="470"/>
      <c r="N145" s="470"/>
      <c r="O145" s="500"/>
      <c r="P145" s="470"/>
      <c r="Q145" s="470"/>
      <c r="R145" s="470"/>
      <c r="S145" s="470"/>
      <c r="T145" s="470"/>
      <c r="U145" s="470"/>
      <c r="V145" s="470"/>
      <c r="W145" s="470"/>
      <c r="X145" s="470"/>
      <c r="Y145" s="470"/>
      <c r="Z145" s="470"/>
      <c r="AA145" s="470"/>
      <c r="AB145" s="470"/>
      <c r="AC145" s="470"/>
      <c r="AD145" s="470"/>
      <c r="AE145" s="470"/>
      <c r="AF145" s="470"/>
      <c r="AG145" s="470"/>
      <c r="AH145" s="470"/>
      <c r="AI145" s="470"/>
      <c r="AJ145" s="470"/>
      <c r="AK145" s="470"/>
    </row>
    <row r="146" spans="1:41" ht="13">
      <c r="A146" s="524" t="s">
        <v>557</v>
      </c>
      <c r="B146" s="525">
        <v>530.09652675270002</v>
      </c>
      <c r="C146" s="525">
        <v>445.82188549029996</v>
      </c>
      <c r="D146" s="525">
        <v>-684.7154674574</v>
      </c>
      <c r="E146" s="526"/>
      <c r="F146" s="526"/>
      <c r="G146" s="470"/>
      <c r="H146" s="470"/>
      <c r="I146" s="952"/>
      <c r="J146" s="528"/>
      <c r="K146" s="524" t="str">
        <f>A146</f>
        <v>Currency</v>
      </c>
      <c r="L146" s="525">
        <v>204.990792809</v>
      </c>
      <c r="M146" s="525">
        <v>-242.78152914910001</v>
      </c>
      <c r="N146" s="525">
        <v>253.73303790499997</v>
      </c>
      <c r="O146" s="529">
        <v>314.15422518780002</v>
      </c>
      <c r="P146" s="525">
        <v>49.477742361200001</v>
      </c>
      <c r="Q146" s="525">
        <v>392.6790066236</v>
      </c>
      <c r="R146" s="525">
        <v>-53.227047228900005</v>
      </c>
      <c r="S146" s="525">
        <v>56.892183734399964</v>
      </c>
      <c r="T146" s="525">
        <v>268.25713554020001</v>
      </c>
      <c r="U146" s="525">
        <v>-246.2696620959</v>
      </c>
      <c r="V146" s="525">
        <v>-229.690976337</v>
      </c>
      <c r="W146" s="525">
        <v>-477.01196456470001</v>
      </c>
      <c r="X146" s="525">
        <v>-386.88182986899994</v>
      </c>
      <c r="Y146" s="525">
        <v>-202.0490624208</v>
      </c>
      <c r="Z146" s="526"/>
      <c r="AA146" s="526"/>
      <c r="AB146" s="526"/>
      <c r="AC146" s="526"/>
      <c r="AD146" s="526"/>
      <c r="AE146" s="526"/>
      <c r="AF146" s="526"/>
      <c r="AG146" s="526"/>
      <c r="AH146" s="526"/>
      <c r="AI146" s="526"/>
      <c r="AJ146" s="526"/>
      <c r="AK146" s="526"/>
    </row>
    <row r="147" spans="1:41" ht="13">
      <c r="A147" s="530" t="s">
        <v>563</v>
      </c>
      <c r="B147" s="531">
        <v>844.91843250570003</v>
      </c>
      <c r="C147" s="531">
        <v>-453.2937984097</v>
      </c>
      <c r="D147" s="531">
        <v>-33.866907698799992</v>
      </c>
      <c r="E147" s="526"/>
      <c r="F147" s="530"/>
      <c r="G147" s="470"/>
      <c r="H147" s="470"/>
      <c r="I147" s="531"/>
      <c r="J147" s="528"/>
      <c r="K147" s="530" t="str">
        <f>A147</f>
        <v>of which translation</v>
      </c>
      <c r="L147" s="531">
        <v>267.743647662</v>
      </c>
      <c r="M147" s="531">
        <v>33.513242707800003</v>
      </c>
      <c r="N147" s="531">
        <v>401.84492321509998</v>
      </c>
      <c r="O147" s="533">
        <v>143.81661892080001</v>
      </c>
      <c r="P147" s="531">
        <v>-156.14056118139999</v>
      </c>
      <c r="Q147" s="531">
        <v>254.63613257899999</v>
      </c>
      <c r="R147" s="531">
        <v>-100.26691766170001</v>
      </c>
      <c r="S147" s="531">
        <v>-451.52245214560003</v>
      </c>
      <c r="T147" s="531">
        <v>516.30921949319998</v>
      </c>
      <c r="U147" s="531">
        <v>-91.953771991599993</v>
      </c>
      <c r="V147" s="531">
        <v>-267.7787513728</v>
      </c>
      <c r="W147" s="531">
        <v>-190.44360382759999</v>
      </c>
      <c r="X147" s="531">
        <v>-708.77460570619996</v>
      </c>
      <c r="Y147" s="531">
        <v>-340.37959967879999</v>
      </c>
      <c r="Z147" s="526"/>
      <c r="AA147" s="530"/>
      <c r="AB147" s="530"/>
      <c r="AC147" s="530"/>
      <c r="AD147" s="530"/>
      <c r="AE147" s="530"/>
      <c r="AF147" s="530"/>
      <c r="AG147" s="530"/>
      <c r="AH147" s="530"/>
      <c r="AI147" s="530"/>
      <c r="AJ147" s="530"/>
      <c r="AK147" s="530"/>
    </row>
    <row r="148" spans="1:41" ht="13">
      <c r="A148" s="530" t="s">
        <v>564</v>
      </c>
      <c r="B148" s="531">
        <v>-314.82190575299995</v>
      </c>
      <c r="C148" s="531">
        <v>898.49738035740006</v>
      </c>
      <c r="D148" s="531">
        <v>-650.8485597586</v>
      </c>
      <c r="E148" s="526"/>
      <c r="F148" s="530"/>
      <c r="G148" s="470"/>
      <c r="H148" s="470"/>
      <c r="I148" s="531"/>
      <c r="J148" s="528"/>
      <c r="K148" s="530" t="str">
        <f>A148</f>
        <v>of which transaction</v>
      </c>
      <c r="L148" s="531">
        <v>-62.752854853000002</v>
      </c>
      <c r="M148" s="531">
        <v>-277.29477185690001</v>
      </c>
      <c r="N148" s="531">
        <v>-148.11188531010001</v>
      </c>
      <c r="O148" s="533">
        <v>170.33760626700001</v>
      </c>
      <c r="P148" s="531">
        <v>205</v>
      </c>
      <c r="Q148" s="531">
        <v>138.04287404460001</v>
      </c>
      <c r="R148" s="531">
        <v>47.039870432800001</v>
      </c>
      <c r="S148" s="531">
        <v>508.41463587999999</v>
      </c>
      <c r="T148" s="531">
        <v>-248.05208395299999</v>
      </c>
      <c r="U148" s="531">
        <v>-154.3158901043</v>
      </c>
      <c r="V148" s="531">
        <v>38.0877750358</v>
      </c>
      <c r="W148" s="531">
        <v>-286.56836073710002</v>
      </c>
      <c r="X148" s="531">
        <v>321.89277583720002</v>
      </c>
      <c r="Y148" s="531">
        <v>138.33053725799999</v>
      </c>
      <c r="Z148" s="526"/>
      <c r="AA148" s="530"/>
      <c r="AB148" s="530"/>
      <c r="AC148" s="530"/>
      <c r="AD148" s="530"/>
      <c r="AE148" s="530"/>
      <c r="AF148" s="530"/>
      <c r="AG148" s="530"/>
      <c r="AH148" s="530"/>
      <c r="AI148" s="530"/>
      <c r="AJ148" s="530"/>
      <c r="AK148" s="530"/>
    </row>
    <row r="149" spans="1:41" ht="13">
      <c r="A149" s="470"/>
      <c r="B149" s="470"/>
      <c r="C149" s="470"/>
      <c r="D149" s="470"/>
      <c r="E149" s="470"/>
      <c r="F149" s="470"/>
      <c r="G149" s="470"/>
      <c r="H149" s="470"/>
      <c r="I149" s="470"/>
      <c r="J149" s="472"/>
      <c r="K149" s="470"/>
      <c r="L149" s="470"/>
      <c r="M149" s="470"/>
      <c r="N149" s="470"/>
      <c r="O149" s="500"/>
      <c r="P149" s="470"/>
      <c r="Q149" s="470"/>
      <c r="R149" s="470"/>
      <c r="S149" s="470"/>
      <c r="T149" s="470"/>
      <c r="U149" s="470"/>
      <c r="V149" s="470"/>
      <c r="W149" s="470"/>
      <c r="X149" s="470"/>
      <c r="Y149" s="470"/>
      <c r="Z149" s="470"/>
      <c r="AA149" s="470"/>
      <c r="AB149" s="470"/>
      <c r="AC149" s="470"/>
      <c r="AD149" s="470"/>
      <c r="AE149" s="470"/>
      <c r="AF149" s="470"/>
      <c r="AG149" s="470"/>
      <c r="AH149" s="470"/>
      <c r="AI149" s="470"/>
      <c r="AJ149" s="470"/>
      <c r="AK149" s="470"/>
    </row>
    <row r="150" spans="1:41" ht="13">
      <c r="A150" s="511" t="s">
        <v>189</v>
      </c>
      <c r="B150" s="511"/>
      <c r="C150" s="511"/>
      <c r="D150" s="511"/>
      <c r="E150" s="470"/>
      <c r="F150" s="511" t="s">
        <v>189</v>
      </c>
      <c r="G150" s="512"/>
      <c r="H150" s="511"/>
      <c r="I150" s="511"/>
      <c r="J150" s="472"/>
      <c r="K150" s="511" t="str">
        <f t="shared" ref="K150:K161" si="22">A150</f>
        <v>Operating profit</v>
      </c>
      <c r="L150" s="511"/>
      <c r="M150" s="511"/>
      <c r="N150" s="511"/>
      <c r="O150" s="512"/>
      <c r="P150" s="511"/>
      <c r="Q150" s="511"/>
      <c r="R150" s="511"/>
      <c r="S150" s="511"/>
      <c r="T150" s="511"/>
      <c r="U150" s="511"/>
      <c r="V150" s="511"/>
      <c r="W150" s="511"/>
      <c r="X150" s="511"/>
      <c r="Y150" s="511"/>
      <c r="Z150" s="470"/>
      <c r="AA150" s="511" t="str">
        <f t="shared" ref="AA150:AA161" si="23">F150</f>
        <v>Operating profit</v>
      </c>
      <c r="AB150" s="511"/>
      <c r="AC150" s="511"/>
      <c r="AD150" s="511"/>
      <c r="AE150" s="512"/>
      <c r="AF150" s="513"/>
      <c r="AG150" s="511"/>
      <c r="AH150" s="511"/>
      <c r="AI150" s="511"/>
      <c r="AJ150" s="511"/>
      <c r="AK150" s="511"/>
      <c r="AL150" s="511"/>
      <c r="AM150" s="511"/>
      <c r="AN150" s="511"/>
      <c r="AO150" s="511"/>
    </row>
    <row r="151" spans="1:41" ht="13">
      <c r="A151" s="315" t="s">
        <v>293</v>
      </c>
      <c r="B151" s="315">
        <v>2023</v>
      </c>
      <c r="C151" s="315">
        <v>2024</v>
      </c>
      <c r="D151" s="315">
        <v>2025</v>
      </c>
      <c r="E151" s="470"/>
      <c r="F151" s="315" t="s">
        <v>293</v>
      </c>
      <c r="G151" s="479">
        <v>2023</v>
      </c>
      <c r="H151" s="315">
        <v>2024</v>
      </c>
      <c r="I151" s="315">
        <v>2025</v>
      </c>
      <c r="J151" s="472"/>
      <c r="K151" s="315" t="str">
        <f t="shared" si="22"/>
        <v>Equipment &amp; Service</v>
      </c>
      <c r="L151" s="315" t="s">
        <v>148</v>
      </c>
      <c r="M151" s="315" t="s">
        <v>149</v>
      </c>
      <c r="N151" s="315" t="s">
        <v>150</v>
      </c>
      <c r="O151" s="479" t="s">
        <v>151</v>
      </c>
      <c r="P151" s="315" t="s">
        <v>152</v>
      </c>
      <c r="Q151" s="315" t="s">
        <v>153</v>
      </c>
      <c r="R151" s="315" t="s">
        <v>154</v>
      </c>
      <c r="S151" s="315" t="s">
        <v>155</v>
      </c>
      <c r="T151" s="315" t="s">
        <v>156</v>
      </c>
      <c r="U151" s="315" t="s">
        <v>157</v>
      </c>
      <c r="V151" s="315" t="s">
        <v>158</v>
      </c>
      <c r="W151" s="315" t="s">
        <v>820</v>
      </c>
      <c r="X151" s="315" t="s">
        <v>1275</v>
      </c>
      <c r="Y151" s="315" t="s">
        <v>1344</v>
      </c>
      <c r="Z151" s="470"/>
      <c r="AA151" s="315" t="str">
        <f t="shared" si="23"/>
        <v>Equipment &amp; Service</v>
      </c>
      <c r="AB151" s="315" t="s">
        <v>148</v>
      </c>
      <c r="AC151" s="315" t="s">
        <v>149</v>
      </c>
      <c r="AD151" s="315" t="s">
        <v>150</v>
      </c>
      <c r="AE151" s="479" t="s">
        <v>151</v>
      </c>
      <c r="AF151" s="480" t="s">
        <v>152</v>
      </c>
      <c r="AG151" s="315" t="s">
        <v>153</v>
      </c>
      <c r="AH151" s="315" t="s">
        <v>154</v>
      </c>
      <c r="AI151" s="315" t="s">
        <v>155</v>
      </c>
      <c r="AJ151" s="315" t="s">
        <v>156</v>
      </c>
      <c r="AK151" s="315" t="s">
        <v>157</v>
      </c>
      <c r="AL151" s="315" t="s">
        <v>158</v>
      </c>
      <c r="AM151" s="315" t="s">
        <v>820</v>
      </c>
      <c r="AN151" s="315" t="s">
        <v>1275</v>
      </c>
      <c r="AO151" s="315" t="s">
        <v>1344</v>
      </c>
    </row>
    <row r="152" spans="1:41" ht="13">
      <c r="A152" s="481" t="s">
        <v>553</v>
      </c>
      <c r="B152" s="482">
        <v>9491</v>
      </c>
      <c r="C152" s="482">
        <v>11791.537117359099</v>
      </c>
      <c r="D152" s="482">
        <v>11310.1115394878</v>
      </c>
      <c r="E152" s="470"/>
      <c r="F152" s="481" t="s">
        <v>553</v>
      </c>
      <c r="G152" s="483">
        <v>9491</v>
      </c>
      <c r="H152" s="482">
        <f>11790.6023648361+1</f>
        <v>11791.602364836101</v>
      </c>
      <c r="I152" s="482">
        <v>11310.1115394878</v>
      </c>
      <c r="J152" s="472"/>
      <c r="K152" s="481" t="str">
        <f t="shared" si="22"/>
        <v>Reported opening balance</v>
      </c>
      <c r="L152" s="482">
        <v>2188.3146530745998</v>
      </c>
      <c r="M152" s="482">
        <v>1954.9106386141</v>
      </c>
      <c r="N152" s="482">
        <v>2474.4195921902001</v>
      </c>
      <c r="O152" s="483">
        <v>2873.8614655842998</v>
      </c>
      <c r="P152" s="482">
        <v>2717.7185640002999</v>
      </c>
      <c r="Q152" s="482">
        <v>2995.0726880968</v>
      </c>
      <c r="R152" s="482">
        <v>2867.8915204700002</v>
      </c>
      <c r="S152" s="482">
        <v>3210.7543447920002</v>
      </c>
      <c r="T152" s="482">
        <v>2502.9210640535998</v>
      </c>
      <c r="U152" s="482">
        <v>2762.8398705186</v>
      </c>
      <c r="V152" s="482">
        <v>2923.4408328248001</v>
      </c>
      <c r="W152" s="482">
        <v>3120.9097720907998</v>
      </c>
      <c r="X152" s="482">
        <v>2724.2538187749001</v>
      </c>
      <c r="Y152" s="482">
        <v>2576.5474502703</v>
      </c>
      <c r="Z152" s="470"/>
      <c r="AA152" s="481" t="str">
        <f t="shared" si="23"/>
        <v>Reported opening balance</v>
      </c>
      <c r="AB152" s="482">
        <v>2188.3146530745998</v>
      </c>
      <c r="AC152" s="482">
        <v>1954.9106386141</v>
      </c>
      <c r="AD152" s="482">
        <v>2474.4195921902001</v>
      </c>
      <c r="AE152" s="483">
        <v>2873.8614655842998</v>
      </c>
      <c r="AF152" s="484">
        <v>2717.7185640002999</v>
      </c>
      <c r="AG152" s="482">
        <v>2995.0726880968</v>
      </c>
      <c r="AH152" s="482">
        <v>2866.8915204700002</v>
      </c>
      <c r="AI152" s="482">
        <v>3210.7543447920002</v>
      </c>
      <c r="AJ152" s="482">
        <f>2502.9210640536</f>
        <v>2502.9210640535998</v>
      </c>
      <c r="AK152" s="482">
        <v>2762.8398705186</v>
      </c>
      <c r="AL152" s="482">
        <v>2923.4408328248001</v>
      </c>
      <c r="AM152" s="482">
        <v>3120.9097720907998</v>
      </c>
      <c r="AN152" s="482">
        <v>2724.2538187749001</v>
      </c>
      <c r="AO152" s="482">
        <v>2576.5474502703</v>
      </c>
    </row>
    <row r="153" spans="1:41" ht="13">
      <c r="A153" s="470" t="s">
        <v>562</v>
      </c>
      <c r="B153" s="486">
        <v>560</v>
      </c>
      <c r="C153" s="485">
        <v>-287</v>
      </c>
      <c r="D153" s="485">
        <v>-50.69</v>
      </c>
      <c r="E153" s="470"/>
      <c r="F153" s="470" t="s">
        <v>562</v>
      </c>
      <c r="G153" s="515">
        <v>1.4394532651031688E-2</v>
      </c>
      <c r="H153" s="485">
        <v>-6.0382620873050494E-3</v>
      </c>
      <c r="I153" s="485">
        <v>-1.3390813590452048E-3</v>
      </c>
      <c r="J153" s="472"/>
      <c r="K153" s="470" t="str">
        <f t="shared" si="22"/>
        <v>Adjustment IAC</v>
      </c>
      <c r="L153" s="486">
        <v>0</v>
      </c>
      <c r="M153" s="486">
        <v>422</v>
      </c>
      <c r="N153" s="486">
        <v>138</v>
      </c>
      <c r="O153" s="489">
        <v>0</v>
      </c>
      <c r="P153" s="486">
        <v>0</v>
      </c>
      <c r="Q153" s="486">
        <v>0</v>
      </c>
      <c r="R153" s="486">
        <v>-7</v>
      </c>
      <c r="S153" s="486">
        <v>-280</v>
      </c>
      <c r="T153" s="486">
        <v>0</v>
      </c>
      <c r="U153" s="486">
        <v>141.81</v>
      </c>
      <c r="V153" s="486">
        <v>-207.5</v>
      </c>
      <c r="W153" s="486">
        <v>15</v>
      </c>
      <c r="X153" s="486">
        <v>0</v>
      </c>
      <c r="Y153" s="486">
        <v>49.3</v>
      </c>
      <c r="Z153" s="486"/>
      <c r="AA153" s="470" t="str">
        <f t="shared" si="23"/>
        <v>Adjustment IAC</v>
      </c>
      <c r="AB153" s="514">
        <v>0</v>
      </c>
      <c r="AC153" s="514">
        <v>4.6578465517494831E-2</v>
      </c>
      <c r="AD153" s="514">
        <v>1.3704501364591899E-2</v>
      </c>
      <c r="AE153" s="516">
        <v>0</v>
      </c>
      <c r="AF153" s="517">
        <v>0</v>
      </c>
      <c r="AG153" s="514">
        <v>0</v>
      </c>
      <c r="AH153" s="514">
        <v>-5.9679991131373733E-4</v>
      </c>
      <c r="AI153" s="514">
        <v>-2.2296744936977281E-2</v>
      </c>
      <c r="AJ153" s="514">
        <v>0</v>
      </c>
      <c r="AK153" s="514">
        <v>1.1273996703292741E-2</v>
      </c>
      <c r="AL153" s="514">
        <v>-1.7220361022950357E-2</v>
      </c>
      <c r="AM153" s="514">
        <v>-1.652797984574132E-4</v>
      </c>
      <c r="AN153" s="514">
        <v>0</v>
      </c>
      <c r="AO153" s="514">
        <v>4.3111537903224913E-3</v>
      </c>
    </row>
    <row r="154" spans="1:41" ht="13">
      <c r="A154" s="481" t="s">
        <v>555</v>
      </c>
      <c r="B154" s="482">
        <v>10051</v>
      </c>
      <c r="C154" s="482">
        <v>11504.537117359099</v>
      </c>
      <c r="D154" s="482">
        <v>11259.001767397</v>
      </c>
      <c r="E154" s="470"/>
      <c r="F154" s="481" t="s">
        <v>555</v>
      </c>
      <c r="G154" s="483">
        <v>10051</v>
      </c>
      <c r="H154" s="482">
        <v>11504.602364836101</v>
      </c>
      <c r="I154" s="482">
        <v>11259.001767397</v>
      </c>
      <c r="J154" s="472"/>
      <c r="K154" s="481" t="str">
        <f t="shared" si="22"/>
        <v>Adjusted opening balance</v>
      </c>
      <c r="L154" s="482">
        <v>2188.3146530745998</v>
      </c>
      <c r="M154" s="482">
        <v>2376.9106386141002</v>
      </c>
      <c r="N154" s="482">
        <v>2612.4195921902001</v>
      </c>
      <c r="O154" s="483">
        <v>2873.8614655842998</v>
      </c>
      <c r="P154" s="482">
        <v>2717.7185640002999</v>
      </c>
      <c r="Q154" s="482">
        <v>2995.0726880968</v>
      </c>
      <c r="R154" s="482">
        <v>2860.8915204700002</v>
      </c>
      <c r="S154" s="482">
        <v>2930.7543447920002</v>
      </c>
      <c r="T154" s="482">
        <v>2502.9210640535998</v>
      </c>
      <c r="U154" s="482">
        <v>2904.6398705186002</v>
      </c>
      <c r="V154" s="482">
        <v>2715.4408328248001</v>
      </c>
      <c r="W154" s="482">
        <v>3136</v>
      </c>
      <c r="X154" s="482">
        <v>2724.2538187749001</v>
      </c>
      <c r="Y154" s="482">
        <v>2625.8474502703002</v>
      </c>
      <c r="Z154" s="486"/>
      <c r="AA154" s="481" t="str">
        <f t="shared" si="23"/>
        <v>Adjusted opening balance</v>
      </c>
      <c r="AB154" s="482">
        <v>2188.3146530745998</v>
      </c>
      <c r="AC154" s="482">
        <v>2376.9106386141002</v>
      </c>
      <c r="AD154" s="482">
        <v>2612.4195921902001</v>
      </c>
      <c r="AE154" s="483">
        <v>2873.8614655842998</v>
      </c>
      <c r="AF154" s="484">
        <v>2717.7185640002999</v>
      </c>
      <c r="AG154" s="482">
        <v>2995.0726880968</v>
      </c>
      <c r="AH154" s="482">
        <v>2859.8915204700002</v>
      </c>
      <c r="AI154" s="482">
        <v>2930.7543447920002</v>
      </c>
      <c r="AJ154" s="482">
        <f>2502.9210640536</f>
        <v>2502.9210640535998</v>
      </c>
      <c r="AK154" s="482">
        <v>2904.6398705186002</v>
      </c>
      <c r="AL154" s="482">
        <v>2718.4408328248001</v>
      </c>
      <c r="AM154" s="482">
        <v>3137</v>
      </c>
      <c r="AN154" s="482">
        <v>2724.2538187749001</v>
      </c>
      <c r="AO154" s="482">
        <v>2625.8474502703002</v>
      </c>
    </row>
    <row r="155" spans="1:41" ht="13">
      <c r="A155" s="470" t="s">
        <v>556</v>
      </c>
      <c r="B155" s="486">
        <v>788.49995592679988</v>
      </c>
      <c r="C155" s="472">
        <v>-724.39835176559995</v>
      </c>
      <c r="D155" s="472">
        <v>27.000050899699996</v>
      </c>
      <c r="E155" s="470"/>
      <c r="F155" s="470" t="s">
        <v>556</v>
      </c>
      <c r="G155" s="515">
        <v>-8.9190984746422113E-3</v>
      </c>
      <c r="H155" s="955">
        <v>-2.5072024240270052E-2</v>
      </c>
      <c r="I155" s="955">
        <v>-7.9524713587467866E-3</v>
      </c>
      <c r="J155" s="472"/>
      <c r="K155" s="470" t="str">
        <f t="shared" si="22"/>
        <v>Organic</v>
      </c>
      <c r="L155" s="486">
        <v>302.92298092940001</v>
      </c>
      <c r="M155" s="486">
        <v>734.38571453819998</v>
      </c>
      <c r="N155" s="486">
        <v>7.4498953192999995</v>
      </c>
      <c r="O155" s="489">
        <v>-256.25863486010002</v>
      </c>
      <c r="P155" s="486">
        <v>-273</v>
      </c>
      <c r="Q155" s="486">
        <v>-440.20773906710002</v>
      </c>
      <c r="R155" s="486">
        <v>-137.05957749250001</v>
      </c>
      <c r="S155" s="486">
        <v>125.86896479399999</v>
      </c>
      <c r="T155" s="486">
        <v>15.529210604299999</v>
      </c>
      <c r="U155" s="486">
        <v>-55.595021463800002</v>
      </c>
      <c r="V155" s="486">
        <v>17.5762123053</v>
      </c>
      <c r="W155" s="486">
        <v>49.4896494539</v>
      </c>
      <c r="X155" s="486">
        <v>155.01044193440001</v>
      </c>
      <c r="Y155" s="486">
        <v>478.80886949910001</v>
      </c>
      <c r="Z155" s="470"/>
      <c r="AA155" s="470" t="str">
        <f t="shared" si="23"/>
        <v>Organic</v>
      </c>
      <c r="AB155" s="514">
        <v>7.099021749764239E-3</v>
      </c>
      <c r="AC155" s="514">
        <v>1.6029402700462339E-2</v>
      </c>
      <c r="AD155" s="514">
        <v>-1.7566687270267833E-2</v>
      </c>
      <c r="AE155" s="516">
        <v>-4.0184007162975204E-2</v>
      </c>
      <c r="AF155" s="517">
        <v>-4.0125934071297886E-2</v>
      </c>
      <c r="AG155" s="514">
        <v>-3.7674723988010902E-2</v>
      </c>
      <c r="AH155" s="514">
        <v>-6.6844552529510166E-3</v>
      </c>
      <c r="AI155" s="514">
        <v>-2.2733615568974689E-3</v>
      </c>
      <c r="AJ155" s="514">
        <v>-8.0911572111738283E-3</v>
      </c>
      <c r="AK155" s="514">
        <v>-5.5819227157229701E-3</v>
      </c>
      <c r="AL155" s="514">
        <v>-1.0706819352067957E-2</v>
      </c>
      <c r="AM155" s="514">
        <v>-6.4719923681694682E-3</v>
      </c>
      <c r="AN155" s="514">
        <v>1.0240517873465464E-2</v>
      </c>
      <c r="AO155" s="514">
        <v>1.0252133915884956E-2</v>
      </c>
    </row>
    <row r="156" spans="1:41" ht="13">
      <c r="A156" s="470" t="s">
        <v>557</v>
      </c>
      <c r="B156" s="486">
        <v>450.06143431370003</v>
      </c>
      <c r="C156" s="472">
        <v>434.69458961449999</v>
      </c>
      <c r="D156" s="472">
        <f>-626.5486812507+1</f>
        <v>-625.54868125070004</v>
      </c>
      <c r="E156" s="470"/>
      <c r="F156" s="470" t="s">
        <v>557</v>
      </c>
      <c r="G156" s="515">
        <v>2.7637126574095545E-3</v>
      </c>
      <c r="H156" s="955">
        <v>1.3276446960648601E-2</v>
      </c>
      <c r="I156" s="955">
        <v>4.0861466433696697E-3</v>
      </c>
      <c r="J156" s="472"/>
      <c r="K156" s="470" t="str">
        <f t="shared" si="22"/>
        <v>Currency</v>
      </c>
      <c r="L156" s="486">
        <v>165</v>
      </c>
      <c r="M156" s="486">
        <v>-198.69543488119999</v>
      </c>
      <c r="N156" s="486">
        <v>193.5567584803</v>
      </c>
      <c r="O156" s="489">
        <v>290.64828018679998</v>
      </c>
      <c r="P156" s="486">
        <v>58.909050984300002</v>
      </c>
      <c r="Q156" s="486">
        <v>338.17772439340001</v>
      </c>
      <c r="R156" s="486">
        <v>-18.485287893999999</v>
      </c>
      <c r="S156" s="486">
        <v>56.093102130799998</v>
      </c>
      <c r="T156" s="486">
        <v>202.62132979520001</v>
      </c>
      <c r="U156" s="486">
        <v>-210.1131844654</v>
      </c>
      <c r="V156" s="486">
        <v>-208.84451874979999</v>
      </c>
      <c r="W156" s="486">
        <v>-410.21230783070001</v>
      </c>
      <c r="X156" s="486">
        <v>-308.8242695948</v>
      </c>
      <c r="Y156" s="486">
        <v>-134.5601223022</v>
      </c>
      <c r="Z156" s="470"/>
      <c r="AA156" s="470" t="str">
        <f t="shared" si="23"/>
        <v>Currency</v>
      </c>
      <c r="AB156" s="514">
        <v>7.2509729754223864E-4</v>
      </c>
      <c r="AC156" s="514">
        <v>-2.6747427463048597E-2</v>
      </c>
      <c r="AD156" s="514">
        <v>1.3026770747538914E-2</v>
      </c>
      <c r="AE156" s="516">
        <v>2.3905880978030748E-2</v>
      </c>
      <c r="AF156" s="517">
        <v>1.2551894211637406E-2</v>
      </c>
      <c r="AG156" s="514">
        <v>2.9731001710539485E-2</v>
      </c>
      <c r="AH156" s="514">
        <v>8.3027486960693866E-3</v>
      </c>
      <c r="AI156" s="514">
        <v>3.2833483474875727E-3</v>
      </c>
      <c r="AJ156" s="514">
        <v>1.7658883249833692E-2</v>
      </c>
      <c r="AK156" s="514">
        <v>4.3357920489492507E-3</v>
      </c>
      <c r="AL156" s="514">
        <v>2.2957679687542537E-3</v>
      </c>
      <c r="AM156" s="514">
        <v>-6.6431864844656895E-3</v>
      </c>
      <c r="AN156" s="514">
        <v>-4.4711567869651341E-3</v>
      </c>
      <c r="AO156" s="514">
        <v>-8.0500594627763364E-3</v>
      </c>
    </row>
    <row r="157" spans="1:41" ht="13">
      <c r="A157" s="492" t="s">
        <v>558</v>
      </c>
      <c r="B157" s="518">
        <v>215.44777700280005</v>
      </c>
      <c r="C157" s="493">
        <v>44.098272975399972</v>
      </c>
      <c r="D157" s="493">
        <v>-22.032118466299995</v>
      </c>
      <c r="E157" s="470"/>
      <c r="F157" s="492" t="s">
        <v>558</v>
      </c>
      <c r="G157" s="520">
        <v>-1.0149679481664425E-2</v>
      </c>
      <c r="H157" s="956">
        <v>2.3677731862530354E-6</v>
      </c>
      <c r="I157" s="955">
        <v>-3.3885485774054968E-4</v>
      </c>
      <c r="J157" s="472"/>
      <c r="K157" s="492" t="str">
        <f t="shared" si="22"/>
        <v>Structure</v>
      </c>
      <c r="L157" s="518">
        <v>62</v>
      </c>
      <c r="M157" s="518">
        <v>83.036309634199995</v>
      </c>
      <c r="N157" s="518">
        <v>48.48921752710001</v>
      </c>
      <c r="O157" s="521">
        <v>22.342286164000029</v>
      </c>
      <c r="P157" s="518">
        <v>-1.0864622346999999</v>
      </c>
      <c r="Q157" s="518">
        <v>12.2971970941</v>
      </c>
      <c r="R157" s="518">
        <v>9.1859797275999995</v>
      </c>
      <c r="S157" s="518">
        <v>23.701558388399974</v>
      </c>
      <c r="T157" s="518">
        <v>3.2475806445000002</v>
      </c>
      <c r="U157" s="518">
        <v>-13.249580641700007</v>
      </c>
      <c r="V157" s="518">
        <v>2.9698815309000111</v>
      </c>
      <c r="W157" s="518">
        <v>-14</v>
      </c>
      <c r="X157" s="518">
        <v>13.945663468700001</v>
      </c>
      <c r="Y157" s="518">
        <v>-2.783996222799999</v>
      </c>
      <c r="Z157" s="486"/>
      <c r="AA157" s="492" t="str">
        <f t="shared" si="23"/>
        <v>Structure</v>
      </c>
      <c r="AB157" s="519">
        <v>-1.2526724781975274E-2</v>
      </c>
      <c r="AC157" s="519">
        <v>-1.2378407759267136E-2</v>
      </c>
      <c r="AD157" s="519">
        <v>-1.0915214770697427E-2</v>
      </c>
      <c r="AE157" s="522">
        <v>-4.9294081910392319E-3</v>
      </c>
      <c r="AF157" s="523">
        <v>-2.3887441415791095E-3</v>
      </c>
      <c r="AG157" s="519">
        <v>6.2789187620643401E-4</v>
      </c>
      <c r="AH157" s="519">
        <v>1.3902458826730956E-4</v>
      </c>
      <c r="AI157" s="519">
        <v>1.2406751839723971E-3</v>
      </c>
      <c r="AJ157" s="519">
        <v>-2.0103122136229257E-4</v>
      </c>
      <c r="AK157" s="519">
        <v>-1.1578949669976534E-3</v>
      </c>
      <c r="AL157" s="519">
        <v>-7.4552854624363494E-6</v>
      </c>
      <c r="AM157" s="519">
        <v>-1.9641770216728149E-6</v>
      </c>
      <c r="AN157" s="519">
        <v>1.2890530955388163E-3</v>
      </c>
      <c r="AO157" s="519">
        <v>-2.126285877720056E-4</v>
      </c>
    </row>
    <row r="158" spans="1:41" ht="13">
      <c r="A158" s="470" t="s">
        <v>471</v>
      </c>
      <c r="B158" s="486">
        <v>1454.0091672433</v>
      </c>
      <c r="C158" s="472">
        <v>-245.03918667140013</v>
      </c>
      <c r="D158" s="472">
        <v>-621</v>
      </c>
      <c r="E158" s="470"/>
      <c r="F158" s="470" t="s">
        <v>471</v>
      </c>
      <c r="G158" s="515">
        <v>-1.6305065298897081E-2</v>
      </c>
      <c r="H158" s="955">
        <v>-1.1793209506435198E-2</v>
      </c>
      <c r="I158" s="957">
        <v>-5.2051795731176704E-3</v>
      </c>
      <c r="J158" s="472"/>
      <c r="K158" s="470" t="str">
        <f t="shared" si="22"/>
        <v>Total</v>
      </c>
      <c r="L158" s="486">
        <v>529.80391092460002</v>
      </c>
      <c r="M158" s="486">
        <v>617.72658929120007</v>
      </c>
      <c r="N158" s="486">
        <v>249.24442322589999</v>
      </c>
      <c r="O158" s="489">
        <v>57.069147379500066</v>
      </c>
      <c r="P158" s="486">
        <v>-214.61110874610003</v>
      </c>
      <c r="Q158" s="486">
        <v>-89.73281757960001</v>
      </c>
      <c r="R158" s="486">
        <v>-146.35888565890002</v>
      </c>
      <c r="S158" s="486">
        <v>205.66362531319996</v>
      </c>
      <c r="T158" s="486">
        <v>221.39812104399999</v>
      </c>
      <c r="U158" s="486">
        <v>-278.85778657089998</v>
      </c>
      <c r="V158" s="486">
        <v>-188.29842491359997</v>
      </c>
      <c r="W158" s="486">
        <v>-375</v>
      </c>
      <c r="X158" s="486">
        <v>-139.8681641917</v>
      </c>
      <c r="Y158" s="486">
        <v>341.46475097410001</v>
      </c>
      <c r="Z158" s="470"/>
      <c r="AA158" s="470" t="str">
        <f t="shared" si="23"/>
        <v>Total</v>
      </c>
      <c r="AB158" s="514">
        <v>-4.6573793594469892E-3</v>
      </c>
      <c r="AC158" s="514">
        <v>-2.2943672860306796E-2</v>
      </c>
      <c r="AD158" s="514">
        <v>-1.5490956307785964E-2</v>
      </c>
      <c r="AE158" s="516">
        <v>-2.1179240827892326E-2</v>
      </c>
      <c r="AF158" s="517">
        <v>-2.9962784001239584E-2</v>
      </c>
      <c r="AG158" s="514">
        <v>-7.3158304012649888E-3</v>
      </c>
      <c r="AH158" s="514">
        <v>1.7573180313856795E-3</v>
      </c>
      <c r="AI158" s="514">
        <v>2.2506619745625012E-3</v>
      </c>
      <c r="AJ158" s="514">
        <v>9.3666948172975717E-3</v>
      </c>
      <c r="AK158" s="514">
        <v>-2.4040256337713728E-3</v>
      </c>
      <c r="AL158" s="514">
        <v>-9.4185066687761387E-3</v>
      </c>
      <c r="AM158" s="514">
        <v>-1.311714302965683E-2</v>
      </c>
      <c r="AN158" s="514">
        <v>7.0584141820391466E-3</v>
      </c>
      <c r="AO158" s="514">
        <v>2.4894458653366138E-3</v>
      </c>
    </row>
    <row r="159" spans="1:41" ht="13">
      <c r="A159" s="481" t="s">
        <v>559</v>
      </c>
      <c r="B159" s="482">
        <v>11505.314823931698</v>
      </c>
      <c r="C159" s="482">
        <v>11260.897930687701</v>
      </c>
      <c r="D159" s="482">
        <f>10636.9436769565+1</f>
        <v>10637.9436769565</v>
      </c>
      <c r="E159" s="470"/>
      <c r="F159" s="481" t="s">
        <v>559</v>
      </c>
      <c r="G159" s="483">
        <v>11505.314823931698</v>
      </c>
      <c r="H159" s="482">
        <v>11260.897930687701</v>
      </c>
      <c r="I159" s="482">
        <v>10636.9436769565</v>
      </c>
      <c r="J159" s="472"/>
      <c r="K159" s="481" t="str">
        <f t="shared" si="22"/>
        <v>Operational closing balance</v>
      </c>
      <c r="L159" s="482">
        <v>2718.1185639992</v>
      </c>
      <c r="M159" s="482">
        <v>2995.0016315526</v>
      </c>
      <c r="N159" s="482">
        <v>2861.2640154160999</v>
      </c>
      <c r="O159" s="483">
        <v>2930.9306129637998</v>
      </c>
      <c r="P159" s="482">
        <v>2503.1074552542</v>
      </c>
      <c r="Q159" s="482">
        <v>2904.8398705171999</v>
      </c>
      <c r="R159" s="482">
        <v>2714.5326348111003</v>
      </c>
      <c r="S159" s="482">
        <v>3136.4179701052003</v>
      </c>
      <c r="T159" s="482">
        <v>2724.3191850976</v>
      </c>
      <c r="U159" s="482">
        <v>2625.6820839477</v>
      </c>
      <c r="V159" s="482">
        <v>2526.9424079112005</v>
      </c>
      <c r="W159" s="482">
        <v>2761</v>
      </c>
      <c r="X159" s="482">
        <v>2584.3856545832</v>
      </c>
      <c r="Y159" s="482">
        <v>2967.3122012444001</v>
      </c>
      <c r="Z159" s="470"/>
      <c r="AA159" s="481" t="str">
        <f t="shared" si="23"/>
        <v>Operational closing balance</v>
      </c>
      <c r="AB159" s="482">
        <v>2718.1185639992</v>
      </c>
      <c r="AC159" s="482">
        <v>2995.0016315526</v>
      </c>
      <c r="AD159" s="482">
        <v>2861.2640154160999</v>
      </c>
      <c r="AE159" s="483">
        <v>2930.9306129637998</v>
      </c>
      <c r="AF159" s="484">
        <v>2503.1074552542</v>
      </c>
      <c r="AG159" s="482">
        <v>2904.8398705171999</v>
      </c>
      <c r="AH159" s="482">
        <v>2715.5326348111003</v>
      </c>
      <c r="AI159" s="482">
        <v>3136.4179701052003</v>
      </c>
      <c r="AJ159" s="482">
        <v>2724.3191850976</v>
      </c>
      <c r="AK159" s="482">
        <v>2625.6820839477</v>
      </c>
      <c r="AL159" s="482">
        <v>2526.9424079112005</v>
      </c>
      <c r="AM159" s="482">
        <v>2761</v>
      </c>
      <c r="AN159" s="482">
        <v>2584.3856545832</v>
      </c>
      <c r="AO159" s="482">
        <v>2967.3122012444001</v>
      </c>
    </row>
    <row r="160" spans="1:41" ht="13">
      <c r="A160" s="470" t="s">
        <v>562</v>
      </c>
      <c r="B160" s="486">
        <v>287</v>
      </c>
      <c r="C160" s="472">
        <v>50.5</v>
      </c>
      <c r="D160" s="472">
        <v>-180</v>
      </c>
      <c r="E160" s="470"/>
      <c r="F160" s="470" t="s">
        <v>562</v>
      </c>
      <c r="G160" s="515">
        <v>6.0382620873050494E-3</v>
      </c>
      <c r="H160" s="472">
        <v>1.0324193951515442E-3</v>
      </c>
      <c r="I160" s="472">
        <v>-3.7668863178094646E-3</v>
      </c>
      <c r="J160" s="472"/>
      <c r="K160" s="470" t="str">
        <f t="shared" si="22"/>
        <v>Adjustment IAC</v>
      </c>
      <c r="L160" s="486">
        <v>0</v>
      </c>
      <c r="M160" s="486">
        <v>0</v>
      </c>
      <c r="N160" s="486">
        <v>7</v>
      </c>
      <c r="O160" s="489">
        <v>280</v>
      </c>
      <c r="P160" s="486">
        <v>0</v>
      </c>
      <c r="Q160" s="486">
        <v>-142</v>
      </c>
      <c r="R160" s="486">
        <v>208</v>
      </c>
      <c r="S160" s="486">
        <v>-15.5</v>
      </c>
      <c r="T160" s="486">
        <v>0</v>
      </c>
      <c r="U160" s="486">
        <v>-49.3</v>
      </c>
      <c r="V160" s="486">
        <v>-101</v>
      </c>
      <c r="W160" s="486">
        <v>-30</v>
      </c>
      <c r="X160" s="486">
        <v>0</v>
      </c>
      <c r="Y160" s="486">
        <v>0</v>
      </c>
      <c r="Z160" s="470"/>
      <c r="AA160" s="470" t="str">
        <f t="shared" si="23"/>
        <v>Adjustment IAC</v>
      </c>
      <c r="AB160" s="514">
        <v>0</v>
      </c>
      <c r="AC160" s="514">
        <v>0</v>
      </c>
      <c r="AD160" s="514">
        <v>5.9679991131373223E-4</v>
      </c>
      <c r="AE160" s="516">
        <v>2.2296744936977458E-2</v>
      </c>
      <c r="AF160" s="517">
        <v>0</v>
      </c>
      <c r="AG160" s="514">
        <v>-1.1345907383894982E-2</v>
      </c>
      <c r="AH160" s="514">
        <v>1.7514938539937158E-2</v>
      </c>
      <c r="AI160" s="514">
        <v>-1.1644713073135841E-3</v>
      </c>
      <c r="AJ160" s="514">
        <v>0</v>
      </c>
      <c r="AK160" s="514">
        <v>-4.3114177057250996E-3</v>
      </c>
      <c r="AL160" s="514">
        <v>-8.7729965126463784E-3</v>
      </c>
      <c r="AM160" s="514">
        <v>-2.1813979755570391E-3</v>
      </c>
      <c r="AN160" s="514">
        <v>0</v>
      </c>
      <c r="AO160" s="514">
        <v>0</v>
      </c>
    </row>
    <row r="161" spans="1:41" ht="13">
      <c r="A161" s="496" t="s">
        <v>560</v>
      </c>
      <c r="B161" s="497">
        <v>11792.114823931701</v>
      </c>
      <c r="C161" s="497">
        <v>11309.5979306877</v>
      </c>
      <c r="D161" s="497">
        <v>10458.086219796</v>
      </c>
      <c r="E161" s="470"/>
      <c r="F161" s="496" t="s">
        <v>560</v>
      </c>
      <c r="G161" s="498">
        <v>11792.114823931701</v>
      </c>
      <c r="H161" s="497">
        <v>11310.2115394877</v>
      </c>
      <c r="I161" s="497">
        <v>10458.086219796</v>
      </c>
      <c r="J161" s="472"/>
      <c r="K161" s="496" t="str">
        <f t="shared" si="22"/>
        <v>Reported closing balance</v>
      </c>
      <c r="L161" s="497">
        <v>2717.7185639991999</v>
      </c>
      <c r="M161" s="497">
        <v>2995.0016315526</v>
      </c>
      <c r="N161" s="497">
        <v>2868.0640154161001</v>
      </c>
      <c r="O161" s="498">
        <v>3211.3306129637999</v>
      </c>
      <c r="P161" s="497">
        <v>2503.1074552542</v>
      </c>
      <c r="Q161" s="497">
        <v>2762.8398705171999</v>
      </c>
      <c r="R161" s="497">
        <v>2922.5326348110998</v>
      </c>
      <c r="S161" s="497">
        <v>3120.9179701051999</v>
      </c>
      <c r="T161" s="497">
        <v>2724.3191850976</v>
      </c>
      <c r="U161" s="497">
        <v>2577.3820839476998</v>
      </c>
      <c r="V161" s="497">
        <v>2425.9424079112</v>
      </c>
      <c r="W161" s="497">
        <v>2731.4425428395002</v>
      </c>
      <c r="X161" s="497">
        <v>2583.8856545832</v>
      </c>
      <c r="Y161" s="497">
        <v>2967.3122012444001</v>
      </c>
      <c r="Z161" s="470"/>
      <c r="AA161" s="496" t="str">
        <f t="shared" si="23"/>
        <v>Reported closing balance</v>
      </c>
      <c r="AB161" s="497">
        <v>2717.7185639991999</v>
      </c>
      <c r="AC161" s="497">
        <v>2995.0016315526</v>
      </c>
      <c r="AD161" s="497">
        <v>2868.0640154161001</v>
      </c>
      <c r="AE161" s="498">
        <v>3211.3306129637999</v>
      </c>
      <c r="AF161" s="499">
        <v>2503.1074552542</v>
      </c>
      <c r="AG161" s="497">
        <v>2762.8398705171999</v>
      </c>
      <c r="AH161" s="497">
        <v>2923.5326348110998</v>
      </c>
      <c r="AI161" s="497">
        <v>3120.9179701051999</v>
      </c>
      <c r="AJ161" s="497">
        <v>2724.3191850976</v>
      </c>
      <c r="AK161" s="497">
        <v>2577.3820839476998</v>
      </c>
      <c r="AL161" s="497">
        <v>2425.9424079112</v>
      </c>
      <c r="AM161" s="497">
        <v>2731.4425428395002</v>
      </c>
      <c r="AN161" s="497">
        <v>2583.8856545832</v>
      </c>
      <c r="AO161" s="497">
        <v>2967.3122012444001</v>
      </c>
    </row>
    <row r="162" spans="1:41" ht="13">
      <c r="A162" s="470"/>
      <c r="B162" s="470"/>
      <c r="C162" s="470"/>
      <c r="D162" s="470"/>
      <c r="E162" s="470"/>
      <c r="F162" s="470"/>
      <c r="G162" s="470"/>
      <c r="H162" s="470"/>
      <c r="I162" s="470"/>
      <c r="J162" s="472"/>
      <c r="K162" s="470"/>
      <c r="L162" s="470"/>
      <c r="M162" s="470"/>
      <c r="N162" s="470"/>
      <c r="O162" s="500"/>
      <c r="P162" s="470"/>
      <c r="Q162" s="470"/>
      <c r="R162" s="470"/>
      <c r="S162" s="470"/>
      <c r="T162" s="470"/>
      <c r="U162" s="470"/>
      <c r="V162" s="470"/>
      <c r="W162" s="470"/>
      <c r="X162" s="470"/>
      <c r="Y162" s="470"/>
      <c r="Z162" s="470"/>
      <c r="AA162" s="470"/>
      <c r="AB162" s="470"/>
      <c r="AC162" s="470"/>
      <c r="AD162" s="470"/>
      <c r="AE162" s="470"/>
      <c r="AF162" s="470"/>
      <c r="AG162" s="470"/>
      <c r="AH162" s="470"/>
      <c r="AI162" s="470"/>
      <c r="AJ162" s="470"/>
      <c r="AK162" s="470"/>
    </row>
    <row r="163" spans="1:41" ht="13">
      <c r="A163" s="524" t="s">
        <v>557</v>
      </c>
      <c r="B163" s="525">
        <v>450.05010439969999</v>
      </c>
      <c r="C163" s="525">
        <v>434.69458961449999</v>
      </c>
      <c r="D163" s="525">
        <v>-626.54868125069993</v>
      </c>
      <c r="E163" s="526"/>
      <c r="F163" s="526"/>
      <c r="G163" s="470"/>
      <c r="H163" s="470"/>
      <c r="I163" s="952"/>
      <c r="J163" s="528"/>
      <c r="K163" s="524" t="str">
        <f>A163</f>
        <v>Currency</v>
      </c>
      <c r="L163" s="525">
        <v>164.60216404420001</v>
      </c>
      <c r="M163" s="525">
        <v>-198.73967112450001</v>
      </c>
      <c r="N163" s="525">
        <v>193.56116887799999</v>
      </c>
      <c r="O163" s="529">
        <v>290.626442602</v>
      </c>
      <c r="P163" s="525">
        <v>58.909050984299995</v>
      </c>
      <c r="Q163" s="525">
        <v>338.17772439340001</v>
      </c>
      <c r="R163" s="525">
        <v>-18.48528789400001</v>
      </c>
      <c r="S163" s="525">
        <v>56.093102130799991</v>
      </c>
      <c r="T163" s="525">
        <v>202.62132979520001</v>
      </c>
      <c r="U163" s="525">
        <v>-210.1131844654</v>
      </c>
      <c r="V163" s="525">
        <v>-208.84451874979999</v>
      </c>
      <c r="W163" s="525">
        <v>-410.21230783069996</v>
      </c>
      <c r="X163" s="525">
        <v>-309.1542695948001</v>
      </c>
      <c r="Y163" s="525">
        <v>-134.96012230220003</v>
      </c>
      <c r="Z163" s="526"/>
      <c r="AA163" s="526"/>
      <c r="AB163" s="526"/>
      <c r="AC163" s="526"/>
      <c r="AD163" s="526"/>
      <c r="AE163" s="526"/>
      <c r="AF163" s="526"/>
      <c r="AG163" s="526"/>
      <c r="AH163" s="526"/>
      <c r="AI163" s="526"/>
      <c r="AJ163" s="526"/>
      <c r="AK163" s="526"/>
    </row>
    <row r="164" spans="1:41" ht="13">
      <c r="A164" s="530" t="s">
        <v>563</v>
      </c>
      <c r="B164" s="531">
        <v>720.08672053359999</v>
      </c>
      <c r="C164" s="531">
        <v>-366.21786486330001</v>
      </c>
      <c r="D164" s="531">
        <v>-25.744886810299931</v>
      </c>
      <c r="E164" s="526"/>
      <c r="F164" s="530"/>
      <c r="G164" s="470"/>
      <c r="H164" s="470"/>
      <c r="I164" s="531"/>
      <c r="J164" s="528"/>
      <c r="K164" s="530" t="str">
        <f>A164</f>
        <v>of which translation</v>
      </c>
      <c r="L164" s="531">
        <v>227.5713980742</v>
      </c>
      <c r="M164" s="531">
        <v>16.237125569900002</v>
      </c>
      <c r="N164" s="531">
        <v>340.3001750359</v>
      </c>
      <c r="O164" s="533">
        <v>138.97802185360001</v>
      </c>
      <c r="P164" s="531">
        <v>-126.0210852841</v>
      </c>
      <c r="Q164" s="531">
        <v>205.80409588079999</v>
      </c>
      <c r="R164" s="531">
        <v>-92.430372352800006</v>
      </c>
      <c r="S164" s="531">
        <v>-353.57050310720001</v>
      </c>
      <c r="T164" s="531">
        <v>416.07654550270001</v>
      </c>
      <c r="U164" s="531">
        <v>-73.833586081899995</v>
      </c>
      <c r="V164" s="531">
        <v>-211.11935454549999</v>
      </c>
      <c r="W164" s="531">
        <v>-156.86849168559999</v>
      </c>
      <c r="X164" s="531">
        <v>-594.49239984310009</v>
      </c>
      <c r="Y164" s="531">
        <v>-257.84138230140002</v>
      </c>
      <c r="Z164" s="526"/>
      <c r="AA164" s="530"/>
      <c r="AB164" s="530"/>
      <c r="AC164" s="530"/>
      <c r="AD164" s="530"/>
      <c r="AE164" s="530"/>
      <c r="AF164" s="530"/>
      <c r="AG164" s="530"/>
      <c r="AH164" s="530"/>
      <c r="AI164" s="530"/>
      <c r="AJ164" s="530"/>
      <c r="AK164" s="530"/>
    </row>
    <row r="165" spans="1:41" ht="13">
      <c r="A165" s="530" t="s">
        <v>564</v>
      </c>
      <c r="B165" s="531">
        <v>-270.0366161339</v>
      </c>
      <c r="C165" s="531">
        <v>800.9124544778</v>
      </c>
      <c r="D165" s="531">
        <v>-600.8037944404</v>
      </c>
      <c r="E165" s="526"/>
      <c r="F165" s="530"/>
      <c r="G165" s="470"/>
      <c r="H165" s="470"/>
      <c r="I165" s="531"/>
      <c r="J165" s="528"/>
      <c r="K165" s="530" t="str">
        <f>A165</f>
        <v>of which transaction</v>
      </c>
      <c r="L165" s="531">
        <v>-62.969234030000003</v>
      </c>
      <c r="M165" s="531">
        <v>-214.97679669440001</v>
      </c>
      <c r="N165" s="531">
        <v>-145.73900615790001</v>
      </c>
      <c r="O165" s="533">
        <v>151.64842074840001</v>
      </c>
      <c r="P165" s="531">
        <v>184.93013626839999</v>
      </c>
      <c r="Q165" s="531">
        <v>132.37362851259999</v>
      </c>
      <c r="R165" s="531">
        <v>73.945084458799997</v>
      </c>
      <c r="S165" s="531">
        <v>409.663605238</v>
      </c>
      <c r="T165" s="531">
        <v>-213.4552157075</v>
      </c>
      <c r="U165" s="531">
        <v>-136.2795983835</v>
      </c>
      <c r="V165" s="531">
        <v>2.2748357957000001</v>
      </c>
      <c r="W165" s="531">
        <v>-253.34381614509999</v>
      </c>
      <c r="X165" s="531">
        <v>285.33813024829999</v>
      </c>
      <c r="Y165" s="531">
        <v>122.8812599992</v>
      </c>
      <c r="Z165" s="526"/>
      <c r="AA165" s="530"/>
      <c r="AB165" s="530"/>
      <c r="AC165" s="530"/>
      <c r="AD165" s="530"/>
      <c r="AE165" s="530"/>
      <c r="AF165" s="530"/>
      <c r="AG165" s="530"/>
      <c r="AH165" s="530"/>
      <c r="AI165" s="530"/>
      <c r="AJ165" s="530"/>
      <c r="AK165" s="530"/>
    </row>
    <row r="166" spans="1:41" ht="13">
      <c r="A166" s="470"/>
      <c r="B166" s="472"/>
      <c r="C166" s="472"/>
      <c r="D166" s="472"/>
      <c r="E166" s="470"/>
      <c r="F166" s="470"/>
      <c r="G166" s="470"/>
      <c r="H166" s="470"/>
      <c r="I166" s="472"/>
      <c r="J166" s="472"/>
      <c r="K166" s="470"/>
      <c r="L166" s="472"/>
      <c r="M166" s="472"/>
      <c r="N166" s="472"/>
      <c r="O166" s="472"/>
      <c r="P166" s="472"/>
      <c r="Q166" s="472"/>
      <c r="R166" s="472"/>
      <c r="S166" s="472"/>
      <c r="T166" s="472"/>
      <c r="U166" s="472"/>
      <c r="V166" s="472"/>
      <c r="W166" s="472"/>
      <c r="X166" s="472"/>
      <c r="Y166" s="472"/>
      <c r="Z166" s="470"/>
      <c r="AA166" s="470"/>
      <c r="AB166" s="472"/>
      <c r="AC166" s="472"/>
      <c r="AD166" s="472"/>
      <c r="AE166" s="472"/>
      <c r="AF166" s="472"/>
      <c r="AG166" s="472"/>
      <c r="AH166" s="472"/>
      <c r="AI166" s="472"/>
      <c r="AJ166" s="472"/>
      <c r="AK166" s="470"/>
    </row>
    <row r="167" spans="1:41" ht="13">
      <c r="A167" s="470"/>
      <c r="B167" s="472"/>
      <c r="C167" s="472"/>
      <c r="D167" s="472"/>
      <c r="E167" s="470"/>
      <c r="F167" s="470"/>
      <c r="G167" s="470"/>
      <c r="H167" s="470"/>
      <c r="I167" s="472"/>
      <c r="J167" s="472"/>
      <c r="K167" s="470"/>
      <c r="L167" s="472"/>
      <c r="M167" s="472"/>
      <c r="N167" s="472"/>
      <c r="O167" s="472"/>
      <c r="P167" s="472"/>
      <c r="Q167" s="472"/>
      <c r="R167" s="472"/>
      <c r="S167" s="472"/>
      <c r="T167" s="472"/>
      <c r="U167" s="472"/>
      <c r="V167" s="472"/>
      <c r="W167" s="472"/>
      <c r="X167" s="472"/>
      <c r="Y167" s="472"/>
      <c r="Z167" s="470"/>
      <c r="AA167" s="470"/>
      <c r="AB167" s="470"/>
      <c r="AC167" s="470"/>
      <c r="AD167" s="470"/>
      <c r="AE167" s="470"/>
      <c r="AF167" s="470"/>
      <c r="AG167" s="470"/>
      <c r="AH167" s="470"/>
      <c r="AI167" s="470"/>
      <c r="AJ167" s="470"/>
      <c r="AK167" s="470"/>
    </row>
    <row r="168" spans="1:41" ht="13">
      <c r="A168" s="511" t="s">
        <v>189</v>
      </c>
      <c r="B168" s="511"/>
      <c r="C168" s="511"/>
      <c r="D168" s="511"/>
      <c r="E168" s="470"/>
      <c r="F168" s="511" t="s">
        <v>189</v>
      </c>
      <c r="G168" s="512"/>
      <c r="H168" s="511"/>
      <c r="I168" s="511"/>
      <c r="J168" s="472"/>
      <c r="K168" s="511" t="str">
        <f t="shared" ref="K168:K179" si="24">A168</f>
        <v>Operating profit</v>
      </c>
      <c r="L168" s="511"/>
      <c r="M168" s="511"/>
      <c r="N168" s="511"/>
      <c r="O168" s="512"/>
      <c r="P168" s="511"/>
      <c r="Q168" s="511"/>
      <c r="R168" s="511"/>
      <c r="S168" s="511"/>
      <c r="T168" s="511"/>
      <c r="U168" s="511"/>
      <c r="V168" s="511"/>
      <c r="W168" s="511"/>
      <c r="X168" s="511"/>
      <c r="Y168" s="511"/>
      <c r="Z168" s="470"/>
      <c r="AA168" s="511" t="str">
        <f t="shared" ref="AA168:AA179" si="25">F168</f>
        <v>Operating profit</v>
      </c>
      <c r="AB168" s="511"/>
      <c r="AC168" s="511"/>
      <c r="AD168" s="511"/>
      <c r="AE168" s="512"/>
      <c r="AF168" s="513"/>
      <c r="AG168" s="511"/>
      <c r="AH168" s="511"/>
      <c r="AI168" s="511"/>
      <c r="AJ168" s="511"/>
      <c r="AK168" s="511"/>
      <c r="AL168" s="511"/>
      <c r="AM168" s="511"/>
      <c r="AN168" s="511"/>
      <c r="AO168" s="511"/>
    </row>
    <row r="169" spans="1:41" ht="13">
      <c r="A169" s="534" t="s">
        <v>296</v>
      </c>
      <c r="B169" s="534">
        <v>2023</v>
      </c>
      <c r="C169" s="315">
        <v>2024</v>
      </c>
      <c r="D169" s="315">
        <v>2025</v>
      </c>
      <c r="E169" s="470"/>
      <c r="F169" s="534" t="s">
        <v>296</v>
      </c>
      <c r="G169" s="535">
        <v>2023</v>
      </c>
      <c r="H169" s="315">
        <v>2024</v>
      </c>
      <c r="I169" s="315">
        <v>2025</v>
      </c>
      <c r="J169" s="472"/>
      <c r="K169" s="534" t="str">
        <f t="shared" si="24"/>
        <v>Tools &amp; Attachments</v>
      </c>
      <c r="L169" s="534" t="s">
        <v>148</v>
      </c>
      <c r="M169" s="534" t="s">
        <v>149</v>
      </c>
      <c r="N169" s="534" t="s">
        <v>150</v>
      </c>
      <c r="O169" s="535" t="s">
        <v>151</v>
      </c>
      <c r="P169" s="534" t="s">
        <v>152</v>
      </c>
      <c r="Q169" s="534" t="s">
        <v>153</v>
      </c>
      <c r="R169" s="534" t="s">
        <v>154</v>
      </c>
      <c r="S169" s="534" t="s">
        <v>155</v>
      </c>
      <c r="T169" s="534" t="s">
        <v>156</v>
      </c>
      <c r="U169" s="315" t="s">
        <v>157</v>
      </c>
      <c r="V169" s="534" t="s">
        <v>158</v>
      </c>
      <c r="W169" s="534" t="s">
        <v>820</v>
      </c>
      <c r="X169" s="315" t="s">
        <v>1275</v>
      </c>
      <c r="Y169" s="315" t="s">
        <v>1344</v>
      </c>
      <c r="Z169" s="470"/>
      <c r="AA169" s="534" t="str">
        <f t="shared" si="25"/>
        <v>Tools &amp; Attachments</v>
      </c>
      <c r="AB169" s="534" t="s">
        <v>148</v>
      </c>
      <c r="AC169" s="534" t="s">
        <v>149</v>
      </c>
      <c r="AD169" s="534" t="s">
        <v>150</v>
      </c>
      <c r="AE169" s="535" t="s">
        <v>151</v>
      </c>
      <c r="AF169" s="536" t="s">
        <v>152</v>
      </c>
      <c r="AG169" s="534" t="s">
        <v>153</v>
      </c>
      <c r="AH169" s="534" t="s">
        <v>154</v>
      </c>
      <c r="AI169" s="534" t="s">
        <v>155</v>
      </c>
      <c r="AJ169" s="315" t="s">
        <v>156</v>
      </c>
      <c r="AK169" s="315" t="s">
        <v>157</v>
      </c>
      <c r="AL169" s="315" t="s">
        <v>158</v>
      </c>
      <c r="AM169" s="315" t="s">
        <v>820</v>
      </c>
      <c r="AN169" s="315" t="s">
        <v>1275</v>
      </c>
      <c r="AO169" s="315" t="s">
        <v>1344</v>
      </c>
    </row>
    <row r="170" spans="1:41" ht="13">
      <c r="A170" s="481" t="s">
        <v>553</v>
      </c>
      <c r="B170" s="482">
        <v>1899.9060779325</v>
      </c>
      <c r="C170" s="482">
        <v>1779.5992883076001</v>
      </c>
      <c r="D170" s="482">
        <v>1372.6129272568999</v>
      </c>
      <c r="E170" s="470"/>
      <c r="F170" s="481" t="s">
        <v>553</v>
      </c>
      <c r="G170" s="483">
        <v>1899.9060779325</v>
      </c>
      <c r="H170" s="482">
        <f>1781.3340408306-1</f>
        <v>1780.3340408306001</v>
      </c>
      <c r="I170" s="482">
        <v>1372.6129272568999</v>
      </c>
      <c r="J170" s="472"/>
      <c r="K170" s="481" t="str">
        <f t="shared" si="24"/>
        <v>Reported opening balance</v>
      </c>
      <c r="L170" s="482">
        <v>474.07123835089999</v>
      </c>
      <c r="M170" s="482">
        <v>436.40084296420002</v>
      </c>
      <c r="N170" s="482">
        <v>513.86995469329997</v>
      </c>
      <c r="O170" s="483">
        <v>475.58798497110001</v>
      </c>
      <c r="P170" s="482">
        <v>531.69128043830005</v>
      </c>
      <c r="Q170" s="482">
        <v>523.54780306999999</v>
      </c>
      <c r="R170" s="482">
        <v>480.77041976430002</v>
      </c>
      <c r="S170" s="482">
        <v>243.48978503500001</v>
      </c>
      <c r="T170" s="482">
        <v>334.93100653929997</v>
      </c>
      <c r="U170" s="482">
        <v>283.30967780169999</v>
      </c>
      <c r="V170" s="482">
        <v>428.84343180370001</v>
      </c>
      <c r="W170" s="482">
        <v>325.5288111122</v>
      </c>
      <c r="X170" s="482">
        <v>461.27655129020002</v>
      </c>
      <c r="Y170" s="482">
        <v>375.72986533770001</v>
      </c>
      <c r="Z170" s="470"/>
      <c r="AA170" s="481" t="str">
        <f t="shared" si="25"/>
        <v>Reported opening balance</v>
      </c>
      <c r="AB170" s="482">
        <v>474.07123835089999</v>
      </c>
      <c r="AC170" s="482">
        <v>436.40084296420002</v>
      </c>
      <c r="AD170" s="482">
        <v>513.84601164629998</v>
      </c>
      <c r="AE170" s="483">
        <v>475.58798497110001</v>
      </c>
      <c r="AF170" s="484">
        <v>332.93100653929997</v>
      </c>
      <c r="AG170" s="482">
        <v>523.54780306999999</v>
      </c>
      <c r="AH170" s="482">
        <v>480.77041976430002</v>
      </c>
      <c r="AI170" s="482">
        <v>243.48978503500001</v>
      </c>
      <c r="AJ170" s="482">
        <v>334.93100653929997</v>
      </c>
      <c r="AK170" s="482">
        <v>283.30967780169999</v>
      </c>
      <c r="AL170" s="482">
        <v>428.84343180370001</v>
      </c>
      <c r="AM170" s="482">
        <v>325.5288111122</v>
      </c>
      <c r="AN170" s="482">
        <v>461.27655129020002</v>
      </c>
      <c r="AO170" s="482">
        <v>375.72986533770001</v>
      </c>
    </row>
    <row r="171" spans="1:41" ht="13">
      <c r="A171" s="470" t="s">
        <v>562</v>
      </c>
      <c r="B171" s="486">
        <v>85</v>
      </c>
      <c r="C171" s="485">
        <v>158</v>
      </c>
      <c r="D171" s="485">
        <v>290</v>
      </c>
      <c r="E171" s="470"/>
      <c r="F171" s="470" t="s">
        <v>562</v>
      </c>
      <c r="G171" s="515">
        <v>7.86615556206967E-3</v>
      </c>
      <c r="H171" s="485">
        <v>1.241832608021088E-2</v>
      </c>
      <c r="I171" s="485">
        <v>1.9316957923863683E-2</v>
      </c>
      <c r="J171" s="472"/>
      <c r="K171" s="470" t="str">
        <f t="shared" si="24"/>
        <v>Adjustment IAC</v>
      </c>
      <c r="L171" s="486">
        <v>0</v>
      </c>
      <c r="M171" s="486">
        <v>73</v>
      </c>
      <c r="N171" s="486">
        <v>11.8</v>
      </c>
      <c r="O171" s="489">
        <v>0</v>
      </c>
      <c r="P171" s="486">
        <v>0</v>
      </c>
      <c r="Q171" s="486">
        <v>0</v>
      </c>
      <c r="R171" s="486">
        <v>0</v>
      </c>
      <c r="S171" s="486">
        <v>158</v>
      </c>
      <c r="T171" s="486">
        <v>125.3</v>
      </c>
      <c r="U171" s="486">
        <v>164.7</v>
      </c>
      <c r="V171" s="486">
        <v>0</v>
      </c>
      <c r="W171" s="486">
        <v>0</v>
      </c>
      <c r="X171" s="486">
        <v>0</v>
      </c>
      <c r="Y171" s="486">
        <v>97.7</v>
      </c>
      <c r="Z171" s="470"/>
      <c r="AA171" s="470" t="str">
        <f t="shared" si="25"/>
        <v>Adjustment IAC</v>
      </c>
      <c r="AB171" s="514">
        <v>0</v>
      </c>
      <c r="AC171" s="514">
        <v>2.6128029917278198E-2</v>
      </c>
      <c r="AD171" s="514">
        <v>4.4260817539145654E-3</v>
      </c>
      <c r="AE171" s="516">
        <v>0</v>
      </c>
      <c r="AF171" s="517">
        <v>4.2491304198712082E-2</v>
      </c>
      <c r="AG171" s="514">
        <v>0</v>
      </c>
      <c r="AH171" s="514">
        <v>0</v>
      </c>
      <c r="AI171" s="514">
        <v>5.2930396288634739E-2</v>
      </c>
      <c r="AJ171" s="514">
        <v>4.2491304198712082E-2</v>
      </c>
      <c r="AK171" s="514">
        <v>4.1265414958373166E-2</v>
      </c>
      <c r="AL171" s="514">
        <v>0</v>
      </c>
      <c r="AM171" s="514">
        <v>0</v>
      </c>
      <c r="AN171" s="514">
        <v>0</v>
      </c>
      <c r="AO171" s="514">
        <v>2.7657576260976469E-2</v>
      </c>
    </row>
    <row r="172" spans="1:41" ht="13">
      <c r="A172" s="481" t="s">
        <v>555</v>
      </c>
      <c r="B172" s="537">
        <v>1984.9060779325</v>
      </c>
      <c r="C172" s="482">
        <v>1937.4992883076002</v>
      </c>
      <c r="D172" s="482">
        <v>1663.1841161447001</v>
      </c>
      <c r="E172" s="470"/>
      <c r="F172" s="481" t="s">
        <v>555</v>
      </c>
      <c r="G172" s="483">
        <v>1984.9060779325</v>
      </c>
      <c r="H172" s="482">
        <v>1939.3340408305999</v>
      </c>
      <c r="I172" s="482">
        <v>1663.1841161447001</v>
      </c>
      <c r="J172" s="472"/>
      <c r="K172" s="481" t="str">
        <f t="shared" si="24"/>
        <v>Adjusted opening balance</v>
      </c>
      <c r="L172" s="537">
        <v>474.07123835089999</v>
      </c>
      <c r="M172" s="537">
        <v>509.40084296420002</v>
      </c>
      <c r="N172" s="537">
        <v>525.66995469329993</v>
      </c>
      <c r="O172" s="538">
        <v>475.58798497110001</v>
      </c>
      <c r="P172" s="537">
        <v>531.69128043830005</v>
      </c>
      <c r="Q172" s="537">
        <v>523.54780306999999</v>
      </c>
      <c r="R172" s="537">
        <v>480.77041976430002</v>
      </c>
      <c r="S172" s="537">
        <v>401.48978503500001</v>
      </c>
      <c r="T172" s="537">
        <v>460.23100653929998</v>
      </c>
      <c r="U172" s="537">
        <v>448.00967780169998</v>
      </c>
      <c r="V172" s="537">
        <v>428.94343180370004</v>
      </c>
      <c r="W172" s="537">
        <v>326</v>
      </c>
      <c r="X172" s="537">
        <v>461.27655129020002</v>
      </c>
      <c r="Y172" s="537">
        <v>474.42986533769999</v>
      </c>
      <c r="Z172" s="470"/>
      <c r="AA172" s="481" t="str">
        <f t="shared" si="25"/>
        <v>Adjusted opening balance</v>
      </c>
      <c r="AB172" s="482">
        <v>474.07123835089999</v>
      </c>
      <c r="AC172" s="482">
        <v>509.40084296420002</v>
      </c>
      <c r="AD172" s="482">
        <v>525.84601164629998</v>
      </c>
      <c r="AE172" s="483">
        <v>475.58798497110001</v>
      </c>
      <c r="AF172" s="484">
        <v>458.23100653929998</v>
      </c>
      <c r="AG172" s="482">
        <v>523.54780306999999</v>
      </c>
      <c r="AH172" s="537">
        <v>480.77041976430002</v>
      </c>
      <c r="AI172" s="537">
        <v>401.48978503500001</v>
      </c>
      <c r="AJ172" s="537">
        <v>460.23100653929998</v>
      </c>
      <c r="AK172" s="537">
        <v>448.00967780169998</v>
      </c>
      <c r="AL172" s="537">
        <v>428.94343180370004</v>
      </c>
      <c r="AM172" s="537">
        <v>326</v>
      </c>
      <c r="AN172" s="537">
        <v>461.27655129020002</v>
      </c>
      <c r="AO172" s="537">
        <v>474.42986533769999</v>
      </c>
    </row>
    <row r="173" spans="1:41" ht="13">
      <c r="A173" s="470" t="s">
        <v>556</v>
      </c>
      <c r="B173" s="486">
        <v>-348.77099661049999</v>
      </c>
      <c r="C173" s="472">
        <v>-303.85873220619999</v>
      </c>
      <c r="D173" s="472">
        <v>226.418144103</v>
      </c>
      <c r="E173" s="470"/>
      <c r="F173" s="470" t="s">
        <v>556</v>
      </c>
      <c r="G173" s="515">
        <v>-2.6138130713656813E-2</v>
      </c>
      <c r="H173" s="955">
        <v>-1.2879107328521607E-2</v>
      </c>
      <c r="I173" s="955">
        <v>1.347800243900573E-2</v>
      </c>
      <c r="J173" s="472"/>
      <c r="K173" s="470" t="str">
        <f t="shared" si="24"/>
        <v>Organic</v>
      </c>
      <c r="L173" s="486">
        <v>15.1813301342</v>
      </c>
      <c r="M173" s="486">
        <v>-27.977695242500001</v>
      </c>
      <c r="N173" s="486">
        <v>-185.4132886854</v>
      </c>
      <c r="O173" s="489">
        <v>-150.56134281679999</v>
      </c>
      <c r="P173" s="486">
        <v>-73</v>
      </c>
      <c r="Q173" s="486">
        <v>-183.64027944809999</v>
      </c>
      <c r="R173" s="486">
        <v>-5.5927333704000004</v>
      </c>
      <c r="S173" s="486">
        <v>-41.625719387700002</v>
      </c>
      <c r="T173" s="486">
        <v>-101.47495675730001</v>
      </c>
      <c r="U173" s="486">
        <v>67.932452469300003</v>
      </c>
      <c r="V173" s="486">
        <v>58.558962671099998</v>
      </c>
      <c r="W173" s="486">
        <v>202.4016857199</v>
      </c>
      <c r="X173" s="486">
        <v>13.4096248508</v>
      </c>
      <c r="Y173" s="486">
        <v>72.989584180500003</v>
      </c>
      <c r="Z173" s="470"/>
      <c r="AA173" s="470" t="str">
        <f t="shared" si="25"/>
        <v>Organic</v>
      </c>
      <c r="AB173" s="514">
        <v>-2.4667829924794604E-4</v>
      </c>
      <c r="AC173" s="514">
        <v>-7.3887503992180288E-3</v>
      </c>
      <c r="AD173" s="514">
        <v>-5.4969088734367413E-2</v>
      </c>
      <c r="AE173" s="516">
        <v>-4.4832433861540108E-2</v>
      </c>
      <c r="AF173" s="517">
        <v>-2.2456733228033463E-2</v>
      </c>
      <c r="AG173" s="514">
        <v>-3.1648214268672377E-2</v>
      </c>
      <c r="AH173" s="514">
        <v>5.5662938743079801E-3</v>
      </c>
      <c r="AI173" s="514">
        <v>-1.0146706144451609E-2</v>
      </c>
      <c r="AJ173" s="514">
        <v>-3.05478859255289E-2</v>
      </c>
      <c r="AK173" s="514">
        <v>2.1021929240306225E-2</v>
      </c>
      <c r="AL173" s="514">
        <v>9.8328211021338763E-3</v>
      </c>
      <c r="AM173" s="514">
        <v>5.1523843330937617E-2</v>
      </c>
      <c r="AN173" s="514">
        <v>-1.7090749667059313E-3</v>
      </c>
      <c r="AO173" s="514">
        <v>8.8755254421240652E-3</v>
      </c>
    </row>
    <row r="174" spans="1:41" ht="13">
      <c r="A174" s="470" t="s">
        <v>557</v>
      </c>
      <c r="B174" s="486">
        <v>81.641692189699995</v>
      </c>
      <c r="C174" s="472">
        <v>23.521624766100004</v>
      </c>
      <c r="D174" s="472">
        <f>+-106.8362742215+1</f>
        <v>-105.83627422150001</v>
      </c>
      <c r="E174" s="470"/>
      <c r="F174" s="470" t="s">
        <v>557</v>
      </c>
      <c r="G174" s="515">
        <v>3.0152063357957878E-3</v>
      </c>
      <c r="H174" s="955">
        <v>3.2809774534112357E-3</v>
      </c>
      <c r="I174" s="955">
        <v>1.870262761448015E-3</v>
      </c>
      <c r="J174" s="472"/>
      <c r="K174" s="470" t="str">
        <f t="shared" si="24"/>
        <v>Currency</v>
      </c>
      <c r="L174" s="486">
        <v>32.873405908099997</v>
      </c>
      <c r="M174" s="486">
        <v>-50.032321365900003</v>
      </c>
      <c r="N174" s="486">
        <v>61.881205862599998</v>
      </c>
      <c r="O174" s="489">
        <v>36.919401784900003</v>
      </c>
      <c r="P174" s="486">
        <v>-14.3078845149</v>
      </c>
      <c r="Q174" s="486">
        <v>63.7445785779</v>
      </c>
      <c r="R174" s="486">
        <v>-33.370733480799998</v>
      </c>
      <c r="S174" s="486">
        <v>7.4556641838999997</v>
      </c>
      <c r="T174" s="486">
        <v>64.197016544199997</v>
      </c>
      <c r="U174" s="486">
        <v>-42.208929125099999</v>
      </c>
      <c r="V174" s="486">
        <v>-52.651157263899997</v>
      </c>
      <c r="W174" s="486">
        <v>-76.173204376699999</v>
      </c>
      <c r="X174" s="486">
        <v>-75.127950675299999</v>
      </c>
      <c r="Y174" s="486">
        <v>-58.391716803000001</v>
      </c>
      <c r="Z174" s="470"/>
      <c r="AA174" s="470" t="str">
        <f t="shared" si="25"/>
        <v>Currency</v>
      </c>
      <c r="AB174" s="514">
        <v>1.9313759061482044E-3</v>
      </c>
      <c r="AC174" s="514">
        <v>-1.9831947011694714E-2</v>
      </c>
      <c r="AD174" s="514">
        <v>1.7785983493624886E-2</v>
      </c>
      <c r="AE174" s="516">
        <v>1.4400393658750258E-2</v>
      </c>
      <c r="AF174" s="517">
        <v>1.6848752256443989E-2</v>
      </c>
      <c r="AG174" s="514">
        <v>1.6737919454305635E-2</v>
      </c>
      <c r="AH174" s="514">
        <v>-5.7003454930893817E-3</v>
      </c>
      <c r="AI174" s="514">
        <v>5.1794995250172135E-4</v>
      </c>
      <c r="AJ174" s="514">
        <v>2.3455831973347899E-2</v>
      </c>
      <c r="AK174" s="514">
        <v>-1.3500027253508969E-3</v>
      </c>
      <c r="AL174" s="514">
        <v>-5.2541460344933504E-3</v>
      </c>
      <c r="AM174" s="514">
        <v>-1.1286117302159138E-2</v>
      </c>
      <c r="AN174" s="514">
        <v>-7.2317653796728854E-3</v>
      </c>
      <c r="AO174" s="514">
        <v>-1.2437986241677428E-2</v>
      </c>
    </row>
    <row r="175" spans="1:41" ht="13">
      <c r="A175" s="492" t="s">
        <v>558</v>
      </c>
      <c r="B175" s="518">
        <v>219.9441154486</v>
      </c>
      <c r="C175" s="493">
        <v>5.3876600868999844</v>
      </c>
      <c r="D175" s="493">
        <v>26.550498084000026</v>
      </c>
      <c r="E175" s="470"/>
      <c r="F175" s="492" t="s">
        <v>558</v>
      </c>
      <c r="G175" s="520">
        <v>-8.1420092329235021E-3</v>
      </c>
      <c r="H175" s="956">
        <v>-2.9356144452572647E-2</v>
      </c>
      <c r="I175" s="955">
        <v>-5.321244512195576E-3</v>
      </c>
      <c r="J175" s="472"/>
      <c r="K175" s="492" t="str">
        <f t="shared" si="24"/>
        <v>Structure</v>
      </c>
      <c r="L175" s="518">
        <v>10.3144418353</v>
      </c>
      <c r="M175" s="518">
        <v>93.292436906299997</v>
      </c>
      <c r="N175" s="518">
        <v>77.632547894300004</v>
      </c>
      <c r="O175" s="521">
        <v>38.704688812699999</v>
      </c>
      <c r="P175" s="518">
        <v>14.884524311899995</v>
      </c>
      <c r="Q175" s="518">
        <v>43.557575602</v>
      </c>
      <c r="R175" s="518">
        <v>-12.941713784800001</v>
      </c>
      <c r="S175" s="518">
        <v>-40.112726042200009</v>
      </c>
      <c r="T175" s="518">
        <v>38.323484963300004</v>
      </c>
      <c r="U175" s="518">
        <v>9.6664192200023535E-2</v>
      </c>
      <c r="V175" s="518">
        <v>-4.8696510714999999</v>
      </c>
      <c r="W175" s="518">
        <v>-7</v>
      </c>
      <c r="X175" s="518">
        <v>4.6491461455999996</v>
      </c>
      <c r="Y175" s="518">
        <v>-0.59230787450000832</v>
      </c>
      <c r="Z175" s="470"/>
      <c r="AA175" s="492" t="str">
        <f t="shared" si="25"/>
        <v>Structure</v>
      </c>
      <c r="AB175" s="519">
        <v>-1.450773452635936E-2</v>
      </c>
      <c r="AC175" s="519">
        <v>-1.494571587854065E-3</v>
      </c>
      <c r="AD175" s="519">
        <v>-6.2188679201728696E-3</v>
      </c>
      <c r="AE175" s="522">
        <v>-1.0637858630309515E-2</v>
      </c>
      <c r="AF175" s="523">
        <v>-2.8744463601222275E-2</v>
      </c>
      <c r="AG175" s="519">
        <v>-2.619929855425026E-2</v>
      </c>
      <c r="AH175" s="519">
        <v>-3.7770010278081086E-2</v>
      </c>
      <c r="AI175" s="519">
        <v>-4.1042753182364139E-2</v>
      </c>
      <c r="AJ175" s="519">
        <v>-2.7913813720565998E-2</v>
      </c>
      <c r="AK175" s="519">
        <v>-2.1986112459124671E-3</v>
      </c>
      <c r="AL175" s="519">
        <v>-2.1065968072708262E-3</v>
      </c>
      <c r="AM175" s="519">
        <v>-2E-3</v>
      </c>
      <c r="AN175" s="519">
        <v>1.3043688541860522E-3</v>
      </c>
      <c r="AO175" s="519">
        <v>-1.5368784547192097E-4</v>
      </c>
    </row>
    <row r="176" spans="1:41" ht="13">
      <c r="A176" s="470" t="s">
        <v>471</v>
      </c>
      <c r="B176" s="486">
        <v>-46.78449619740001</v>
      </c>
      <c r="C176" s="472">
        <v>-273.37275224990003</v>
      </c>
      <c r="D176" s="472">
        <v>147</v>
      </c>
      <c r="E176" s="470"/>
      <c r="F176" s="470" t="s">
        <v>471</v>
      </c>
      <c r="G176" s="515">
        <v>-3.1358633351917214E-2</v>
      </c>
      <c r="H176" s="472">
        <v>-3.8954274327683017E-2</v>
      </c>
      <c r="I176" s="957">
        <v>1.002702068825817E-2</v>
      </c>
      <c r="J176" s="472"/>
      <c r="K176" s="470" t="str">
        <f t="shared" si="24"/>
        <v>Total</v>
      </c>
      <c r="L176" s="486">
        <v>58.020042087700006</v>
      </c>
      <c r="M176" s="486">
        <v>14.918016650599995</v>
      </c>
      <c r="N176" s="486">
        <v>-44.899534928500003</v>
      </c>
      <c r="O176" s="489">
        <v>-75.074468108000005</v>
      </c>
      <c r="P176" s="486">
        <v>-71.646665099700002</v>
      </c>
      <c r="Q176" s="486">
        <v>-75.538125268200005</v>
      </c>
      <c r="R176" s="486">
        <v>-51.905180635999997</v>
      </c>
      <c r="S176" s="486">
        <v>-74.282781246000013</v>
      </c>
      <c r="T176" s="486">
        <v>1.0455447501999899</v>
      </c>
      <c r="U176" s="486">
        <v>25.6201875364</v>
      </c>
      <c r="V176" s="486">
        <v>1.0381543357000016</v>
      </c>
      <c r="W176" s="486">
        <v>119</v>
      </c>
      <c r="X176" s="486">
        <v>-57.069179678899999</v>
      </c>
      <c r="Y176" s="486">
        <v>14.005559502999994</v>
      </c>
      <c r="Z176" s="470"/>
      <c r="AA176" s="470" t="str">
        <f t="shared" si="25"/>
        <v>Total</v>
      </c>
      <c r="AB176" s="514">
        <v>-1.2968956371129242E-2</v>
      </c>
      <c r="AC176" s="514">
        <v>-2.8915670583476744E-2</v>
      </c>
      <c r="AD176" s="514">
        <v>-4.3333096444513136E-2</v>
      </c>
      <c r="AE176" s="516">
        <v>-4.1121271426143247E-2</v>
      </c>
      <c r="AF176" s="517">
        <v>-3.4352444572811752E-2</v>
      </c>
      <c r="AG176" s="514">
        <v>-4.1109593368616998E-2</v>
      </c>
      <c r="AH176" s="514">
        <v>-3.790406189686249E-2</v>
      </c>
      <c r="AI176" s="514">
        <v>-5.0671509374314028E-2</v>
      </c>
      <c r="AJ176" s="514">
        <v>-3.4505867672746951E-2</v>
      </c>
      <c r="AK176" s="514">
        <v>1.7473315269042861E-2</v>
      </c>
      <c r="AL176" s="514">
        <v>3.4720782603697015E-3</v>
      </c>
      <c r="AM176" s="514">
        <v>3.9E-2</v>
      </c>
      <c r="AN176" s="514">
        <v>-7.6364714921927646E-3</v>
      </c>
      <c r="AO176" s="514">
        <v>-2.7161486450252847E-3</v>
      </c>
    </row>
    <row r="177" spans="1:41" ht="13">
      <c r="A177" s="481" t="s">
        <v>559</v>
      </c>
      <c r="B177" s="537">
        <v>1938.1215817350999</v>
      </c>
      <c r="C177" s="482">
        <v>1663.1265360577002</v>
      </c>
      <c r="D177" s="482">
        <v>1810</v>
      </c>
      <c r="E177" s="470"/>
      <c r="F177" s="481" t="s">
        <v>559</v>
      </c>
      <c r="G177" s="483">
        <v>1938.1215817350999</v>
      </c>
      <c r="H177" s="482">
        <v>1663.1265360577002</v>
      </c>
      <c r="I177" s="482">
        <v>1809.4379264260001</v>
      </c>
      <c r="J177" s="472"/>
      <c r="K177" s="481" t="str">
        <f t="shared" si="24"/>
        <v>Operational closing balance</v>
      </c>
      <c r="L177" s="537">
        <v>532.09128043860005</v>
      </c>
      <c r="M177" s="537">
        <v>524.31885961479998</v>
      </c>
      <c r="N177" s="537">
        <v>480.77041976479995</v>
      </c>
      <c r="O177" s="538">
        <v>400.51351686309999</v>
      </c>
      <c r="P177" s="537">
        <v>460.04461533860007</v>
      </c>
      <c r="Q177" s="537">
        <v>448.00967780179997</v>
      </c>
      <c r="R177" s="537">
        <v>428.8652391283</v>
      </c>
      <c r="S177" s="537">
        <v>326.207003789</v>
      </c>
      <c r="T177" s="537">
        <v>461.27655128949999</v>
      </c>
      <c r="U177" s="537">
        <v>474.4298653381</v>
      </c>
      <c r="V177" s="537">
        <v>429.98158613940006</v>
      </c>
      <c r="W177" s="537">
        <v>444.74992365899999</v>
      </c>
      <c r="X177" s="537">
        <v>404.2073716113</v>
      </c>
      <c r="Y177" s="537">
        <v>488.43542484069997</v>
      </c>
      <c r="Z177" s="470"/>
      <c r="AA177" s="481" t="str">
        <f t="shared" si="25"/>
        <v>Operational closing balance</v>
      </c>
      <c r="AB177" s="482">
        <v>532.09128043860005</v>
      </c>
      <c r="AC177" s="482">
        <v>524.31885961479998</v>
      </c>
      <c r="AD177" s="482">
        <v>481.19792481859997</v>
      </c>
      <c r="AE177" s="483">
        <v>400.51351686309999</v>
      </c>
      <c r="AF177" s="484">
        <v>461.27655128949999</v>
      </c>
      <c r="AG177" s="482">
        <v>448.00967780179997</v>
      </c>
      <c r="AH177" s="482">
        <v>428.8652391283</v>
      </c>
      <c r="AI177" s="482">
        <v>326.207003789</v>
      </c>
      <c r="AJ177" s="482">
        <v>461.27655128949999</v>
      </c>
      <c r="AK177" s="482">
        <v>474.4298653381</v>
      </c>
      <c r="AL177" s="482">
        <v>429.98158613940006</v>
      </c>
      <c r="AM177" s="482">
        <v>444.74992365899999</v>
      </c>
      <c r="AN177" s="482">
        <v>404.2073716113</v>
      </c>
      <c r="AO177" s="482">
        <v>488.43542484069997</v>
      </c>
    </row>
    <row r="178" spans="1:41" ht="13">
      <c r="A178" s="470" t="s">
        <v>562</v>
      </c>
      <c r="B178" s="486">
        <v>-158</v>
      </c>
      <c r="C178" s="472">
        <v>-290</v>
      </c>
      <c r="D178" s="472">
        <v>0</v>
      </c>
      <c r="E178" s="470"/>
      <c r="F178" s="470" t="s">
        <v>562</v>
      </c>
      <c r="G178" s="515">
        <v>-1.2418326080210977E-2</v>
      </c>
      <c r="H178" s="955">
        <v>-1.980767927381466E-2</v>
      </c>
      <c r="I178" s="955">
        <v>-3.5838853265244484E-4</v>
      </c>
      <c r="J178" s="472"/>
      <c r="K178" s="470" t="str">
        <f t="shared" si="24"/>
        <v>Adjustment IAC</v>
      </c>
      <c r="L178" s="486">
        <v>0</v>
      </c>
      <c r="M178" s="486">
        <v>0</v>
      </c>
      <c r="N178" s="486">
        <v>0</v>
      </c>
      <c r="O178" s="489">
        <v>-158</v>
      </c>
      <c r="P178" s="486">
        <v>-125.3</v>
      </c>
      <c r="Q178" s="486">
        <v>-164.7</v>
      </c>
      <c r="R178" s="486">
        <v>0</v>
      </c>
      <c r="S178" s="486">
        <v>0</v>
      </c>
      <c r="T178" s="486">
        <v>0</v>
      </c>
      <c r="U178" s="486">
        <v>-97.7</v>
      </c>
      <c r="V178" s="486">
        <v>6.3</v>
      </c>
      <c r="W178" s="486">
        <v>92.4</v>
      </c>
      <c r="X178" s="486">
        <v>0</v>
      </c>
      <c r="Y178" s="486">
        <v>0</v>
      </c>
      <c r="Z178" s="470"/>
      <c r="AA178" s="470" t="str">
        <f t="shared" si="25"/>
        <v>Adjustment IAC</v>
      </c>
      <c r="AB178" s="514">
        <v>0</v>
      </c>
      <c r="AC178" s="514">
        <v>0</v>
      </c>
      <c r="AD178" s="514">
        <v>0</v>
      </c>
      <c r="AE178" s="516">
        <v>-5.2930396288636515E-2</v>
      </c>
      <c r="AF178" s="517">
        <v>0</v>
      </c>
      <c r="AG178" s="514">
        <v>-4.1265414958373166E-2</v>
      </c>
      <c r="AH178" s="514">
        <v>0</v>
      </c>
      <c r="AI178" s="514">
        <v>0</v>
      </c>
      <c r="AJ178" s="514">
        <v>0</v>
      </c>
      <c r="AK178" s="514">
        <v>-2.7657576260977198E-2</v>
      </c>
      <c r="AL178" s="514">
        <v>1.7007029255554145E-3</v>
      </c>
      <c r="AM178" s="514">
        <v>2.5608573322774424E-2</v>
      </c>
      <c r="AN178" s="514">
        <v>0</v>
      </c>
      <c r="AO178" s="514">
        <v>-1E-3</v>
      </c>
    </row>
    <row r="179" spans="1:41" ht="13">
      <c r="A179" s="496" t="s">
        <v>560</v>
      </c>
      <c r="B179" s="497">
        <v>1780</v>
      </c>
      <c r="C179" s="497">
        <v>1372.5265360577</v>
      </c>
      <c r="D179" s="497">
        <v>1810.2379264259998</v>
      </c>
      <c r="E179" s="470"/>
      <c r="F179" s="496" t="s">
        <v>560</v>
      </c>
      <c r="G179" s="498">
        <v>1780</v>
      </c>
      <c r="H179" s="497">
        <v>1372.6129272577</v>
      </c>
      <c r="I179" s="497">
        <v>1810.2379264259998</v>
      </c>
      <c r="J179" s="472"/>
      <c r="K179" s="496" t="str">
        <f t="shared" si="24"/>
        <v>Reported closing balance</v>
      </c>
      <c r="L179" s="497">
        <v>531.69128043859996</v>
      </c>
      <c r="M179" s="497">
        <v>523.61885961480004</v>
      </c>
      <c r="N179" s="497">
        <v>480.77041976480001</v>
      </c>
      <c r="O179" s="498">
        <v>242.9135168631</v>
      </c>
      <c r="P179" s="497">
        <v>334.7446153386</v>
      </c>
      <c r="Q179" s="497">
        <v>283.30967780179998</v>
      </c>
      <c r="R179" s="497">
        <v>428.8652391283</v>
      </c>
      <c r="S179" s="497">
        <v>325.50700378900001</v>
      </c>
      <c r="T179" s="497">
        <v>461.27655128949999</v>
      </c>
      <c r="U179" s="497">
        <v>375.72986533810001</v>
      </c>
      <c r="V179" s="497">
        <v>435.88158613939999</v>
      </c>
      <c r="W179" s="497">
        <v>537.34992365899996</v>
      </c>
      <c r="X179" s="497">
        <v>404.2073716113</v>
      </c>
      <c r="Y179" s="497">
        <v>487.63542484070001</v>
      </c>
      <c r="Z179" s="470"/>
      <c r="AA179" s="496" t="str">
        <f t="shared" si="25"/>
        <v>Reported closing balance</v>
      </c>
      <c r="AB179" s="497">
        <v>531.69128043859996</v>
      </c>
      <c r="AC179" s="497">
        <v>523.61885961480004</v>
      </c>
      <c r="AD179" s="497">
        <v>481.19792481860003</v>
      </c>
      <c r="AE179" s="498">
        <v>242.9135168631</v>
      </c>
      <c r="AF179" s="499">
        <v>461.27655128949999</v>
      </c>
      <c r="AG179" s="497">
        <v>283.30967780179998</v>
      </c>
      <c r="AH179" s="497">
        <v>428.8652391283</v>
      </c>
      <c r="AI179" s="497">
        <v>325.50700378900001</v>
      </c>
      <c r="AJ179" s="497">
        <v>461.27655128949999</v>
      </c>
      <c r="AK179" s="497">
        <v>375.72986533810001</v>
      </c>
      <c r="AL179" s="497">
        <v>435.88158613939999</v>
      </c>
      <c r="AM179" s="497">
        <v>537.34992365899996</v>
      </c>
      <c r="AN179" s="497">
        <v>404.2073716113</v>
      </c>
      <c r="AO179" s="497">
        <v>487.63542484070001</v>
      </c>
    </row>
    <row r="180" spans="1:41" ht="13">
      <c r="A180" s="470"/>
      <c r="B180" s="470"/>
      <c r="C180" s="470"/>
      <c r="D180" s="470"/>
      <c r="E180" s="470"/>
      <c r="F180" s="470"/>
      <c r="G180" s="470"/>
      <c r="H180" s="470"/>
      <c r="I180" s="470"/>
      <c r="J180" s="472"/>
      <c r="K180" s="470"/>
      <c r="L180" s="470"/>
      <c r="M180" s="470"/>
      <c r="N180" s="470"/>
      <c r="O180" s="500"/>
      <c r="P180" s="470"/>
      <c r="Q180" s="470"/>
      <c r="R180" s="470"/>
      <c r="S180" s="470"/>
      <c r="T180" s="470"/>
      <c r="U180" s="470"/>
      <c r="V180" s="470"/>
      <c r="W180" s="470"/>
      <c r="X180" s="470"/>
      <c r="Y180" s="470"/>
      <c r="Z180" s="470"/>
      <c r="AA180" s="470"/>
      <c r="AB180" s="470"/>
      <c r="AC180" s="470"/>
      <c r="AD180" s="470"/>
      <c r="AE180" s="470"/>
      <c r="AF180" s="470"/>
      <c r="AG180" s="470"/>
      <c r="AH180" s="470"/>
      <c r="AI180" s="470"/>
      <c r="AJ180" s="470"/>
      <c r="AK180" s="470"/>
    </row>
    <row r="181" spans="1:41" ht="13">
      <c r="A181" s="524" t="s">
        <v>557</v>
      </c>
      <c r="B181" s="525">
        <v>81.653022103699996</v>
      </c>
      <c r="C181" s="525">
        <v>23.321624766100001</v>
      </c>
      <c r="D181" s="525">
        <v>-107.2362742215</v>
      </c>
      <c r="E181" s="526"/>
      <c r="F181" s="526"/>
      <c r="G181" s="470"/>
      <c r="H181" s="470"/>
      <c r="I181" s="527"/>
      <c r="J181" s="528"/>
      <c r="K181" s="524" t="str">
        <f>A181</f>
        <v>Currency</v>
      </c>
      <c r="L181" s="525">
        <v>32.823072391699995</v>
      </c>
      <c r="M181" s="525">
        <v>-49.988085122599998</v>
      </c>
      <c r="N181" s="525">
        <v>61.876795464899999</v>
      </c>
      <c r="O181" s="529">
        <v>36.9412393697</v>
      </c>
      <c r="P181" s="525">
        <v>-14.3078845149</v>
      </c>
      <c r="Q181" s="525">
        <v>63.7445785779</v>
      </c>
      <c r="R181" s="525">
        <v>-33.370733480799998</v>
      </c>
      <c r="S181" s="525">
        <v>7.2556641838999951</v>
      </c>
      <c r="T181" s="525">
        <v>64.197016544199997</v>
      </c>
      <c r="U181" s="525">
        <v>-42.208929125099999</v>
      </c>
      <c r="V181" s="525">
        <v>-53.051157263899995</v>
      </c>
      <c r="W181" s="525">
        <v>-76.173204376699999</v>
      </c>
      <c r="X181" s="525">
        <v>-75.127950675300013</v>
      </c>
      <c r="Y181" s="525">
        <v>-58.391716802999994</v>
      </c>
      <c r="Z181" s="526"/>
      <c r="AA181" s="526"/>
      <c r="AB181" s="526"/>
      <c r="AC181" s="526"/>
      <c r="AD181" s="526"/>
      <c r="AE181" s="526"/>
      <c r="AF181" s="526"/>
      <c r="AG181" s="526"/>
      <c r="AH181" s="526"/>
      <c r="AI181" s="526"/>
      <c r="AJ181" s="526"/>
      <c r="AK181" s="526"/>
    </row>
    <row r="182" spans="1:41" ht="13">
      <c r="A182" s="530" t="s">
        <v>563</v>
      </c>
      <c r="B182" s="531">
        <v>126.18050934590001</v>
      </c>
      <c r="C182" s="531">
        <v>-86.860357028199999</v>
      </c>
      <c r="D182" s="531">
        <v>-10.150624649999997</v>
      </c>
      <c r="E182" s="526"/>
      <c r="F182" s="530"/>
      <c r="G182" s="470"/>
      <c r="H182" s="470"/>
      <c r="I182" s="532"/>
      <c r="J182" s="528"/>
      <c r="K182" s="530" t="str">
        <f>A182</f>
        <v>of which translation</v>
      </c>
      <c r="L182" s="531">
        <v>40.106645534199998</v>
      </c>
      <c r="M182" s="531">
        <v>18.052235276699999</v>
      </c>
      <c r="N182" s="531">
        <v>62.713381624100002</v>
      </c>
      <c r="O182" s="533">
        <v>4.3082469109000003</v>
      </c>
      <c r="P182" s="531">
        <v>-30</v>
      </c>
      <c r="Q182" s="531">
        <v>48.723298828200001</v>
      </c>
      <c r="R182" s="531">
        <v>-7.9061194075000003</v>
      </c>
      <c r="S182" s="531">
        <v>-97.6775364489</v>
      </c>
      <c r="T182" s="531">
        <v>100.618628507</v>
      </c>
      <c r="U182" s="531">
        <v>-19.667318876100001</v>
      </c>
      <c r="V182" s="531">
        <v>-57.555911043099997</v>
      </c>
      <c r="W182" s="531">
        <v>-33.5460232378</v>
      </c>
      <c r="X182" s="531">
        <v>-120.39268994450001</v>
      </c>
      <c r="Y182" s="531">
        <v>-83.445041520399997</v>
      </c>
      <c r="Z182" s="526"/>
      <c r="AA182" s="530"/>
      <c r="AB182" s="530"/>
      <c r="AC182" s="530"/>
      <c r="AD182" s="530"/>
      <c r="AE182" s="530"/>
      <c r="AF182" s="530"/>
      <c r="AG182" s="530"/>
      <c r="AH182" s="530"/>
      <c r="AI182" s="530"/>
      <c r="AJ182" s="530"/>
      <c r="AK182" s="530"/>
    </row>
    <row r="183" spans="1:41" ht="13">
      <c r="A183" s="530" t="s">
        <v>564</v>
      </c>
      <c r="B183" s="531">
        <v>-43.527487242200003</v>
      </c>
      <c r="C183" s="531">
        <v>110.4898663092</v>
      </c>
      <c r="D183" s="531">
        <v>-97.085649571499999</v>
      </c>
      <c r="E183" s="526"/>
      <c r="F183" s="530"/>
      <c r="G183" s="470"/>
      <c r="H183" s="470"/>
      <c r="I183" s="532"/>
      <c r="J183" s="528"/>
      <c r="K183" s="530" t="str">
        <f>A183</f>
        <v>of which transaction</v>
      </c>
      <c r="L183" s="531">
        <v>-7.2835731424999999</v>
      </c>
      <c r="M183" s="531">
        <v>-68.040320399300001</v>
      </c>
      <c r="N183" s="531">
        <v>-0.83658615920000001</v>
      </c>
      <c r="O183" s="533">
        <v>32.632992458799997</v>
      </c>
      <c r="P183" s="531">
        <v>16</v>
      </c>
      <c r="Q183" s="531">
        <v>15.0212797497</v>
      </c>
      <c r="R183" s="531">
        <v>-25.464614073300002</v>
      </c>
      <c r="S183" s="531">
        <v>104.93320063279999</v>
      </c>
      <c r="T183" s="531">
        <v>-36.4216119628</v>
      </c>
      <c r="U183" s="531">
        <v>-22.541610249000001</v>
      </c>
      <c r="V183" s="531">
        <v>4.5047537791999996</v>
      </c>
      <c r="W183" s="531">
        <v>-42.627181138899999</v>
      </c>
      <c r="X183" s="531">
        <v>45.2647392692</v>
      </c>
      <c r="Y183" s="531">
        <v>25.053324717399999</v>
      </c>
      <c r="Z183" s="526"/>
      <c r="AA183" s="530"/>
      <c r="AB183" s="530"/>
      <c r="AC183" s="530"/>
      <c r="AD183" s="530"/>
      <c r="AE183" s="530"/>
      <c r="AF183" s="530"/>
      <c r="AG183" s="530"/>
      <c r="AH183" s="530"/>
      <c r="AI183" s="530"/>
      <c r="AJ183" s="530"/>
      <c r="AK183" s="530"/>
    </row>
  </sheetData>
  <hyperlinks>
    <hyperlink ref="A2" location="'START PAGE'!A1" display="Back to start page" xr:uid="{DC061D90-620B-4BC5-BA5F-F784F54C29E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D5670-4911-41CD-9B85-8B1721CD7F6F}">
  <sheetPr>
    <tabColor rgb="FFFFCD00"/>
    <pageSetUpPr fitToPage="1"/>
  </sheetPr>
  <dimension ref="A1:AY81"/>
  <sheetViews>
    <sheetView showGridLines="0" workbookViewId="0"/>
  </sheetViews>
  <sheetFormatPr baseColWidth="10" defaultColWidth="10" defaultRowHeight="13.5" customHeight="1"/>
  <cols>
    <col min="1" max="1" width="55.33203125" bestFit="1" customWidth="1"/>
    <col min="2" max="5" width="8.5" customWidth="1"/>
    <col min="6" max="6" width="8.6640625" customWidth="1"/>
    <col min="7" max="10" width="8.5" customWidth="1"/>
    <col min="11" max="12" width="8.6640625" customWidth="1"/>
    <col min="13" max="13" width="8.5" customWidth="1"/>
    <col min="14" max="14" width="9.5" customWidth="1"/>
    <col min="15" max="21" width="5.6640625" customWidth="1"/>
    <col min="22" max="25" width="6.6640625" customWidth="1"/>
    <col min="26" max="27" width="6.33203125" customWidth="1"/>
    <col min="28" max="30" width="6.6640625" customWidth="1"/>
    <col min="31" max="31" width="6.33203125" customWidth="1"/>
    <col min="32" max="34" width="6.6640625" customWidth="1"/>
    <col min="35" max="36" width="6.33203125" customWidth="1"/>
    <col min="37" max="38" width="6.83203125" customWidth="1"/>
    <col min="39" max="40" width="6.5" customWidth="1"/>
    <col min="41" max="42" width="6.83203125" customWidth="1"/>
    <col min="43" max="44" width="6.6640625" customWidth="1"/>
    <col min="45" max="46" width="6.83203125" customWidth="1"/>
    <col min="47" max="48" width="6.6640625" bestFit="1" customWidth="1"/>
    <col min="49" max="49" width="6.83203125" bestFit="1" customWidth="1"/>
    <col min="50" max="50" width="6.83203125" customWidth="1"/>
    <col min="51" max="51" width="6.6640625" bestFit="1" customWidth="1"/>
  </cols>
  <sheetData>
    <row r="1" spans="1:51" ht="17" thickBot="1">
      <c r="A1" s="15" t="s">
        <v>16</v>
      </c>
      <c r="B1" s="309" t="s">
        <v>124</v>
      </c>
      <c r="C1" s="310"/>
      <c r="D1" s="310"/>
      <c r="E1" s="310"/>
      <c r="F1" s="310"/>
      <c r="G1" s="310"/>
      <c r="H1" s="310"/>
      <c r="I1" s="310"/>
      <c r="J1" s="310"/>
      <c r="K1" s="310"/>
      <c r="L1" s="310"/>
      <c r="M1" s="539"/>
      <c r="N1" s="309" t="s">
        <v>125</v>
      </c>
      <c r="O1" s="310"/>
      <c r="P1" s="310"/>
      <c r="Q1" s="312"/>
      <c r="R1" s="309"/>
      <c r="S1" s="310"/>
      <c r="T1" s="310"/>
      <c r="U1" s="312"/>
      <c r="V1" s="309"/>
      <c r="W1" s="310"/>
      <c r="X1" s="310"/>
      <c r="Y1" s="312"/>
      <c r="Z1" s="309"/>
      <c r="AA1" s="310"/>
      <c r="AB1" s="310"/>
      <c r="AC1" s="312"/>
      <c r="AD1" s="309"/>
      <c r="AE1" s="309"/>
      <c r="AF1" s="309"/>
      <c r="AG1" s="312"/>
      <c r="AH1" s="309"/>
      <c r="AI1" s="309"/>
      <c r="AJ1" s="309"/>
      <c r="AK1" s="312"/>
      <c r="AL1" s="309"/>
      <c r="AM1" s="309"/>
      <c r="AN1" s="309"/>
      <c r="AO1" s="312"/>
      <c r="AP1" s="309"/>
      <c r="AQ1" s="309"/>
      <c r="AR1" s="309"/>
      <c r="AS1" s="312"/>
      <c r="AT1" s="309"/>
      <c r="AU1" s="309"/>
      <c r="AV1" s="309"/>
      <c r="AW1" s="312"/>
      <c r="AX1" s="309"/>
      <c r="AY1" s="309"/>
    </row>
    <row r="2" spans="1:51" ht="15" thickTop="1" thickBot="1">
      <c r="A2" s="18" t="s">
        <v>30</v>
      </c>
      <c r="B2" s="540"/>
      <c r="C2" s="540"/>
      <c r="D2" s="540"/>
      <c r="E2" s="540"/>
      <c r="F2" s="540"/>
      <c r="G2" s="541"/>
      <c r="H2" s="541"/>
      <c r="I2" s="541"/>
      <c r="J2" s="541"/>
      <c r="K2" s="541"/>
      <c r="L2" s="541"/>
      <c r="M2" s="542"/>
      <c r="N2" s="540"/>
      <c r="O2" s="540"/>
      <c r="P2" s="540"/>
      <c r="Q2" s="543"/>
      <c r="R2" s="540"/>
      <c r="S2" s="540"/>
      <c r="T2" s="540"/>
      <c r="U2" s="543"/>
      <c r="V2" s="540"/>
      <c r="W2" s="540"/>
      <c r="X2" s="540"/>
      <c r="Y2" s="543"/>
      <c r="Z2" s="540"/>
      <c r="AA2" s="540"/>
      <c r="AB2" s="540"/>
      <c r="AC2" s="543"/>
      <c r="AD2" s="540"/>
      <c r="AE2" s="540"/>
      <c r="AF2" s="540"/>
      <c r="AG2" s="543"/>
      <c r="AH2" s="540"/>
      <c r="AI2" s="540"/>
      <c r="AJ2" s="540"/>
      <c r="AK2" s="543"/>
      <c r="AL2" s="540"/>
      <c r="AM2" s="540"/>
      <c r="AN2" s="540"/>
      <c r="AO2" s="543"/>
      <c r="AP2" s="540"/>
      <c r="AQ2" s="540"/>
      <c r="AR2" s="540"/>
      <c r="AS2" s="543"/>
      <c r="AT2" s="540"/>
      <c r="AU2" s="540"/>
      <c r="AV2" s="540"/>
      <c r="AW2" s="543"/>
      <c r="AX2" s="540"/>
      <c r="AY2" s="540"/>
    </row>
    <row r="3" spans="1:51" ht="14" thickTop="1">
      <c r="A3" s="544" t="s">
        <v>400</v>
      </c>
      <c r="B3" s="545">
        <v>2015</v>
      </c>
      <c r="C3" s="545">
        <v>2016</v>
      </c>
      <c r="D3" s="389">
        <v>2017</v>
      </c>
      <c r="E3" s="389">
        <v>2018</v>
      </c>
      <c r="F3" s="389">
        <v>2019</v>
      </c>
      <c r="G3" s="389">
        <v>2020</v>
      </c>
      <c r="H3" s="389">
        <v>2021</v>
      </c>
      <c r="I3" s="389">
        <v>2022</v>
      </c>
      <c r="J3" s="389">
        <v>2023</v>
      </c>
      <c r="K3" s="389">
        <v>2024</v>
      </c>
      <c r="L3" s="389">
        <v>2025</v>
      </c>
      <c r="M3" s="542"/>
      <c r="N3" s="546" t="s">
        <v>264</v>
      </c>
      <c r="O3" s="546" t="s">
        <v>265</v>
      </c>
      <c r="P3" s="546" t="s">
        <v>266</v>
      </c>
      <c r="Q3" s="547" t="s">
        <v>267</v>
      </c>
      <c r="R3" s="546" t="s">
        <v>128</v>
      </c>
      <c r="S3" s="546" t="s">
        <v>129</v>
      </c>
      <c r="T3" s="546" t="s">
        <v>130</v>
      </c>
      <c r="U3" s="547" t="s">
        <v>131</v>
      </c>
      <c r="V3" s="546" t="s">
        <v>132</v>
      </c>
      <c r="W3" s="546" t="s">
        <v>133</v>
      </c>
      <c r="X3" s="546" t="s">
        <v>134</v>
      </c>
      <c r="Y3" s="547" t="s">
        <v>135</v>
      </c>
      <c r="Z3" s="546" t="s">
        <v>136</v>
      </c>
      <c r="AA3" s="546" t="s">
        <v>137</v>
      </c>
      <c r="AB3" s="546" t="s">
        <v>138</v>
      </c>
      <c r="AC3" s="547" t="s">
        <v>139</v>
      </c>
      <c r="AD3" s="546" t="s">
        <v>140</v>
      </c>
      <c r="AE3" s="546" t="s">
        <v>141</v>
      </c>
      <c r="AF3" s="546" t="s">
        <v>142</v>
      </c>
      <c r="AG3" s="547" t="s">
        <v>143</v>
      </c>
      <c r="AH3" s="546" t="s">
        <v>144</v>
      </c>
      <c r="AI3" s="546" t="s">
        <v>145</v>
      </c>
      <c r="AJ3" s="546" t="s">
        <v>146</v>
      </c>
      <c r="AK3" s="547" t="s">
        <v>147</v>
      </c>
      <c r="AL3" s="546" t="s">
        <v>148</v>
      </c>
      <c r="AM3" s="546" t="s">
        <v>149</v>
      </c>
      <c r="AN3" s="546" t="s">
        <v>150</v>
      </c>
      <c r="AO3" s="547" t="s">
        <v>151</v>
      </c>
      <c r="AP3" s="546" t="s">
        <v>152</v>
      </c>
      <c r="AQ3" s="546" t="s">
        <v>153</v>
      </c>
      <c r="AR3" s="546" t="s">
        <v>154</v>
      </c>
      <c r="AS3" s="547" t="s">
        <v>155</v>
      </c>
      <c r="AT3" s="546" t="s">
        <v>156</v>
      </c>
      <c r="AU3" s="546" t="s">
        <v>157</v>
      </c>
      <c r="AV3" s="546" t="s">
        <v>158</v>
      </c>
      <c r="AW3" s="547" t="s">
        <v>820</v>
      </c>
      <c r="AX3" s="546" t="s">
        <v>1275</v>
      </c>
      <c r="AY3" s="546" t="s">
        <v>1344</v>
      </c>
    </row>
    <row r="4" spans="1:51" ht="13">
      <c r="A4" s="548" t="s">
        <v>565</v>
      </c>
      <c r="B4" s="549"/>
      <c r="C4" s="549"/>
      <c r="D4" s="550"/>
      <c r="E4" s="550"/>
      <c r="F4" s="341"/>
      <c r="G4" s="341"/>
      <c r="H4" s="341"/>
      <c r="I4" s="341"/>
      <c r="J4" s="341"/>
      <c r="K4" s="341"/>
      <c r="L4" s="341"/>
      <c r="M4" s="539"/>
      <c r="N4" s="341"/>
      <c r="O4" s="341"/>
      <c r="P4" s="341"/>
      <c r="Q4" s="346"/>
      <c r="R4" s="341"/>
      <c r="S4" s="341"/>
      <c r="T4" s="341"/>
      <c r="U4" s="346"/>
      <c r="V4" s="341"/>
      <c r="W4" s="341"/>
      <c r="X4" s="341"/>
      <c r="Y4" s="346"/>
      <c r="Z4" s="341"/>
      <c r="AA4" s="341"/>
      <c r="AB4" s="341"/>
      <c r="AC4" s="551"/>
      <c r="AD4" s="341"/>
      <c r="AE4" s="341"/>
      <c r="AF4" s="341"/>
      <c r="AG4" s="551"/>
      <c r="AH4" s="341"/>
      <c r="AI4" s="341"/>
      <c r="AJ4" s="341"/>
      <c r="AK4" s="551"/>
      <c r="AL4" s="341"/>
      <c r="AM4" s="341"/>
      <c r="AN4" s="341"/>
      <c r="AO4" s="551"/>
      <c r="AP4" s="341"/>
      <c r="AQ4" s="341"/>
      <c r="AR4" s="341"/>
      <c r="AS4" s="551"/>
      <c r="AT4" s="341"/>
      <c r="AU4" s="341"/>
      <c r="AV4" s="341"/>
      <c r="AW4" s="551"/>
      <c r="AX4" s="341"/>
      <c r="AY4" s="341"/>
    </row>
    <row r="5" spans="1:51" ht="13">
      <c r="A5" s="552" t="s">
        <v>566</v>
      </c>
      <c r="B5" s="349">
        <v>27551</v>
      </c>
      <c r="C5" s="349">
        <v>27634</v>
      </c>
      <c r="D5" s="349">
        <v>33831</v>
      </c>
      <c r="E5" s="349">
        <v>39400.1129006642</v>
      </c>
      <c r="F5" s="349">
        <v>39492</v>
      </c>
      <c r="G5" s="349">
        <v>36579</v>
      </c>
      <c r="H5" s="349">
        <v>45648</v>
      </c>
      <c r="I5" s="349">
        <v>53222</v>
      </c>
      <c r="J5" s="349">
        <v>59332</v>
      </c>
      <c r="K5" s="349">
        <v>62213</v>
      </c>
      <c r="L5" s="349">
        <v>62974</v>
      </c>
      <c r="M5" s="539"/>
      <c r="N5" s="341"/>
      <c r="O5" s="341"/>
      <c r="P5" s="341"/>
      <c r="Q5" s="346"/>
      <c r="R5" s="349">
        <v>10036</v>
      </c>
      <c r="S5" s="349">
        <v>10483</v>
      </c>
      <c r="T5" s="349">
        <v>9413</v>
      </c>
      <c r="U5" s="350">
        <v>9468</v>
      </c>
      <c r="V5" s="349">
        <v>10063</v>
      </c>
      <c r="W5" s="349">
        <v>10553</v>
      </c>
      <c r="X5" s="349">
        <v>9600</v>
      </c>
      <c r="Y5" s="350">
        <v>9276</v>
      </c>
      <c r="Z5" s="349">
        <v>9772</v>
      </c>
      <c r="AA5" s="349">
        <v>8105</v>
      </c>
      <c r="AB5" s="349">
        <v>9373</v>
      </c>
      <c r="AC5" s="350">
        <v>9330</v>
      </c>
      <c r="AD5" s="349">
        <v>10690</v>
      </c>
      <c r="AE5" s="349">
        <v>11070</v>
      </c>
      <c r="AF5" s="349">
        <v>12245</v>
      </c>
      <c r="AG5" s="350">
        <v>11643</v>
      </c>
      <c r="AH5" s="349">
        <v>13818</v>
      </c>
      <c r="AI5" s="349">
        <v>13377</v>
      </c>
      <c r="AJ5" s="349">
        <v>12322</v>
      </c>
      <c r="AK5" s="350">
        <v>13705</v>
      </c>
      <c r="AL5" s="349">
        <v>14715</v>
      </c>
      <c r="AM5" s="349">
        <v>15436</v>
      </c>
      <c r="AN5" s="349">
        <v>14360</v>
      </c>
      <c r="AO5" s="350">
        <v>14388</v>
      </c>
      <c r="AP5" s="349">
        <v>14162</v>
      </c>
      <c r="AQ5" s="349">
        <v>16349</v>
      </c>
      <c r="AR5" s="349">
        <v>15520</v>
      </c>
      <c r="AS5" s="350">
        <v>16182</v>
      </c>
      <c r="AT5" s="349">
        <v>16586</v>
      </c>
      <c r="AU5" s="349">
        <v>15276</v>
      </c>
      <c r="AV5" s="349">
        <v>15142</v>
      </c>
      <c r="AW5" s="350">
        <v>15970</v>
      </c>
      <c r="AX5" s="349">
        <v>18340</v>
      </c>
      <c r="AY5" s="349">
        <v>17305</v>
      </c>
    </row>
    <row r="6" spans="1:51" ht="13">
      <c r="A6" s="552" t="s">
        <v>567</v>
      </c>
      <c r="B6" s="553">
        <v>0</v>
      </c>
      <c r="C6" s="553">
        <v>0</v>
      </c>
      <c r="D6" s="553">
        <v>22</v>
      </c>
      <c r="E6" s="553">
        <v>16</v>
      </c>
      <c r="F6" s="553">
        <v>0</v>
      </c>
      <c r="G6" s="553">
        <v>-7</v>
      </c>
      <c r="H6" s="553">
        <v>25</v>
      </c>
      <c r="I6" s="553">
        <v>17</v>
      </c>
      <c r="J6" s="553">
        <v>11</v>
      </c>
      <c r="K6" s="553">
        <v>6</v>
      </c>
      <c r="L6" s="553">
        <v>1</v>
      </c>
      <c r="M6" s="539"/>
      <c r="N6" s="341"/>
      <c r="O6" s="341"/>
      <c r="P6" s="341"/>
      <c r="Q6" s="346"/>
      <c r="R6" s="553">
        <v>18</v>
      </c>
      <c r="S6" s="553">
        <v>21</v>
      </c>
      <c r="T6" s="553">
        <v>10</v>
      </c>
      <c r="U6" s="554">
        <v>17.498000000000001</v>
      </c>
      <c r="V6" s="553">
        <v>0</v>
      </c>
      <c r="W6" s="553">
        <v>1</v>
      </c>
      <c r="X6" s="553">
        <v>2</v>
      </c>
      <c r="Y6" s="554">
        <v>-2</v>
      </c>
      <c r="Z6" s="553">
        <v>-3</v>
      </c>
      <c r="AA6" s="553">
        <v>-23</v>
      </c>
      <c r="AB6" s="553">
        <v>-2</v>
      </c>
      <c r="AC6" s="554">
        <v>1</v>
      </c>
      <c r="AD6" s="553">
        <v>9.3963882578770743</v>
      </c>
      <c r="AE6" s="553">
        <v>37</v>
      </c>
      <c r="AF6" s="553">
        <v>31</v>
      </c>
      <c r="AG6" s="554">
        <v>25</v>
      </c>
      <c r="AH6" s="553">
        <v>29</v>
      </c>
      <c r="AI6" s="553">
        <v>21</v>
      </c>
      <c r="AJ6" s="553">
        <v>0.63081660927701844</v>
      </c>
      <c r="AK6" s="554">
        <v>18</v>
      </c>
      <c r="AL6" s="553">
        <f>(AL5/AH5-1)*100</f>
        <v>6.4915327833261038</v>
      </c>
      <c r="AM6" s="553">
        <f>(AM5/AI5-1)*100</f>
        <v>15.392090902294985</v>
      </c>
      <c r="AN6" s="553">
        <v>17</v>
      </c>
      <c r="AO6" s="554">
        <v>4.9897708159625243</v>
      </c>
      <c r="AP6" s="553">
        <v>-7</v>
      </c>
      <c r="AQ6" s="553">
        <v>6</v>
      </c>
      <c r="AR6" s="553">
        <v>8</v>
      </c>
      <c r="AS6" s="554">
        <v>12.465572133699098</v>
      </c>
      <c r="AT6" s="553">
        <v>17.117023089295525</v>
      </c>
      <c r="AU6" s="553">
        <v>-6.5643811343973457</v>
      </c>
      <c r="AV6" s="553">
        <v>-2.4339093478342178</v>
      </c>
      <c r="AW6" s="554">
        <v>-1.311901419981365</v>
      </c>
      <c r="AX6" s="553">
        <v>10.57505984178686</v>
      </c>
      <c r="AY6" s="553">
        <v>13.280265059305417</v>
      </c>
    </row>
    <row r="7" spans="1:51" ht="13">
      <c r="A7" s="552" t="s">
        <v>568</v>
      </c>
      <c r="B7" s="553">
        <v>-6.6</v>
      </c>
      <c r="C7" s="553">
        <v>2.7</v>
      </c>
      <c r="D7" s="553">
        <v>20.100000000000001</v>
      </c>
      <c r="E7" s="553">
        <v>13</v>
      </c>
      <c r="F7" s="553">
        <v>-5</v>
      </c>
      <c r="G7" s="553">
        <v>0</v>
      </c>
      <c r="H7" s="553">
        <v>26</v>
      </c>
      <c r="I7" s="553">
        <v>2</v>
      </c>
      <c r="J7" s="553">
        <v>1</v>
      </c>
      <c r="K7" s="553">
        <v>3</v>
      </c>
      <c r="L7" s="553">
        <v>7</v>
      </c>
      <c r="M7" s="539"/>
      <c r="N7" s="341"/>
      <c r="O7" s="341"/>
      <c r="P7" s="341"/>
      <c r="Q7" s="346"/>
      <c r="R7" s="553">
        <v>21</v>
      </c>
      <c r="S7" s="553">
        <v>18.082810848828263</v>
      </c>
      <c r="T7" s="553">
        <v>3</v>
      </c>
      <c r="U7" s="554">
        <v>11.497999999999999</v>
      </c>
      <c r="V7" s="553">
        <v>-5</v>
      </c>
      <c r="W7" s="553">
        <v>-4</v>
      </c>
      <c r="X7" s="553">
        <v>-6</v>
      </c>
      <c r="Y7" s="554">
        <v>-7</v>
      </c>
      <c r="Z7" s="553">
        <v>-4</v>
      </c>
      <c r="AA7" s="553">
        <v>-17</v>
      </c>
      <c r="AB7" s="553">
        <v>10</v>
      </c>
      <c r="AC7" s="554">
        <v>13</v>
      </c>
      <c r="AD7" s="553">
        <v>21</v>
      </c>
      <c r="AE7" s="553">
        <v>45</v>
      </c>
      <c r="AF7" s="553">
        <v>24</v>
      </c>
      <c r="AG7" s="554">
        <v>19</v>
      </c>
      <c r="AH7" s="553">
        <v>18</v>
      </c>
      <c r="AI7" s="553">
        <v>6</v>
      </c>
      <c r="AJ7" s="553">
        <v>-10</v>
      </c>
      <c r="AK7" s="554">
        <v>-4</v>
      </c>
      <c r="AL7" s="553">
        <v>-6</v>
      </c>
      <c r="AM7" s="553">
        <v>-1</v>
      </c>
      <c r="AN7" s="553">
        <v>9</v>
      </c>
      <c r="AO7" s="554">
        <v>7</v>
      </c>
      <c r="AP7" s="553">
        <v>-3</v>
      </c>
      <c r="AQ7" s="553">
        <v>1</v>
      </c>
      <c r="AR7" s="553">
        <v>6</v>
      </c>
      <c r="AS7" s="554">
        <v>5</v>
      </c>
      <c r="AT7" s="553">
        <v>10</v>
      </c>
      <c r="AU7" s="553">
        <v>2</v>
      </c>
      <c r="AV7" s="553">
        <v>7</v>
      </c>
      <c r="AW7" s="554">
        <v>11</v>
      </c>
      <c r="AX7" s="553">
        <v>23</v>
      </c>
      <c r="AY7" s="553">
        <v>13</v>
      </c>
    </row>
    <row r="8" spans="1:51" ht="13">
      <c r="A8" s="552" t="s">
        <v>174</v>
      </c>
      <c r="B8" s="349">
        <v>28663</v>
      </c>
      <c r="C8" s="349">
        <v>27102</v>
      </c>
      <c r="D8" s="349">
        <v>31363.994574501499</v>
      </c>
      <c r="E8" s="349">
        <v>38285.266855336195</v>
      </c>
      <c r="F8" s="349">
        <v>40849</v>
      </c>
      <c r="G8" s="349">
        <v>36122</v>
      </c>
      <c r="H8" s="349">
        <v>39645</v>
      </c>
      <c r="I8" s="349">
        <v>49694</v>
      </c>
      <c r="J8" s="349">
        <v>60343</v>
      </c>
      <c r="K8" s="349">
        <v>63604</v>
      </c>
      <c r="L8" s="349">
        <v>61998</v>
      </c>
      <c r="M8" s="539"/>
      <c r="N8" s="555">
        <v>7411</v>
      </c>
      <c r="O8" s="555">
        <v>7879</v>
      </c>
      <c r="P8" s="555">
        <v>7610</v>
      </c>
      <c r="Q8" s="556">
        <v>8464</v>
      </c>
      <c r="R8" s="349">
        <v>8233</v>
      </c>
      <c r="S8" s="349">
        <v>9843</v>
      </c>
      <c r="T8" s="349">
        <v>9651</v>
      </c>
      <c r="U8" s="350">
        <v>10558</v>
      </c>
      <c r="V8" s="349">
        <v>9785</v>
      </c>
      <c r="W8" s="349">
        <v>10626</v>
      </c>
      <c r="X8" s="349">
        <v>10158</v>
      </c>
      <c r="Y8" s="350">
        <v>10280</v>
      </c>
      <c r="Z8" s="349">
        <v>9134</v>
      </c>
      <c r="AA8" s="349">
        <v>8458</v>
      </c>
      <c r="AB8" s="349">
        <v>8724</v>
      </c>
      <c r="AC8" s="350">
        <v>9806</v>
      </c>
      <c r="AD8" s="349">
        <v>8773</v>
      </c>
      <c r="AE8" s="349">
        <v>9733</v>
      </c>
      <c r="AF8" s="349">
        <v>9966</v>
      </c>
      <c r="AG8" s="350">
        <v>11173</v>
      </c>
      <c r="AH8" s="349">
        <v>11088</v>
      </c>
      <c r="AI8" s="349">
        <v>11868</v>
      </c>
      <c r="AJ8" s="349">
        <v>12802</v>
      </c>
      <c r="AK8" s="350">
        <v>13936</v>
      </c>
      <c r="AL8" s="349">
        <v>13868</v>
      </c>
      <c r="AM8" s="349">
        <v>15910</v>
      </c>
      <c r="AN8" s="349">
        <v>14997</v>
      </c>
      <c r="AO8" s="350">
        <v>15568</v>
      </c>
      <c r="AP8" s="349">
        <v>14143</v>
      </c>
      <c r="AQ8" s="349">
        <v>16511</v>
      </c>
      <c r="AR8" s="349">
        <v>15699</v>
      </c>
      <c r="AS8" s="350">
        <v>17251</v>
      </c>
      <c r="AT8" s="349">
        <v>15536</v>
      </c>
      <c r="AU8" s="349">
        <v>15130</v>
      </c>
      <c r="AV8" s="349">
        <v>15242</v>
      </c>
      <c r="AW8" s="350">
        <v>16090</v>
      </c>
      <c r="AX8" s="349">
        <v>14351</v>
      </c>
      <c r="AY8" s="349">
        <v>16702</v>
      </c>
    </row>
    <row r="9" spans="1:51" ht="13">
      <c r="A9" s="552" t="s">
        <v>569</v>
      </c>
      <c r="B9" s="553">
        <v>4</v>
      </c>
      <c r="C9" s="553">
        <v>-5</v>
      </c>
      <c r="D9" s="553">
        <v>16</v>
      </c>
      <c r="E9" s="553">
        <v>22</v>
      </c>
      <c r="F9" s="553">
        <v>7</v>
      </c>
      <c r="G9" s="553">
        <v>-12</v>
      </c>
      <c r="H9" s="553">
        <v>10</v>
      </c>
      <c r="I9" s="553">
        <v>25</v>
      </c>
      <c r="J9" s="553">
        <v>21</v>
      </c>
      <c r="K9" s="553">
        <v>5</v>
      </c>
      <c r="L9" s="553">
        <v>-3</v>
      </c>
      <c r="M9" s="539"/>
      <c r="N9" s="341"/>
      <c r="O9" s="341"/>
      <c r="P9" s="341"/>
      <c r="Q9" s="346"/>
      <c r="R9" s="553">
        <v>11</v>
      </c>
      <c r="S9" s="553">
        <v>25</v>
      </c>
      <c r="T9" s="553">
        <v>27</v>
      </c>
      <c r="U9" s="554">
        <v>25</v>
      </c>
      <c r="V9" s="553">
        <v>19</v>
      </c>
      <c r="W9" s="553">
        <v>8</v>
      </c>
      <c r="X9" s="553">
        <v>5</v>
      </c>
      <c r="Y9" s="554">
        <v>-3</v>
      </c>
      <c r="Z9" s="553">
        <v>-7</v>
      </c>
      <c r="AA9" s="553">
        <v>-20</v>
      </c>
      <c r="AB9" s="553">
        <v>-14</v>
      </c>
      <c r="AC9" s="554">
        <v>-5</v>
      </c>
      <c r="AD9" s="553">
        <v>-3.9467054561162951</v>
      </c>
      <c r="AE9" s="553">
        <v>15</v>
      </c>
      <c r="AF9" s="553">
        <v>14</v>
      </c>
      <c r="AG9" s="554">
        <v>14</v>
      </c>
      <c r="AH9" s="553">
        <v>26</v>
      </c>
      <c r="AI9" s="553">
        <v>22</v>
      </c>
      <c r="AJ9" s="553">
        <v>28.441717031319634</v>
      </c>
      <c r="AK9" s="554">
        <v>24.73685913560373</v>
      </c>
      <c r="AL9" s="553">
        <v>25</v>
      </c>
      <c r="AM9" s="553">
        <v>34</v>
      </c>
      <c r="AN9" s="553">
        <v>17</v>
      </c>
      <c r="AO9" s="554">
        <v>11.711498950774324</v>
      </c>
      <c r="AP9" s="553">
        <v>2</v>
      </c>
      <c r="AQ9" s="553">
        <v>4</v>
      </c>
      <c r="AR9" s="553">
        <v>4.686060133717973</v>
      </c>
      <c r="AS9" s="554">
        <v>10.80075738116404</v>
      </c>
      <c r="AT9" s="553">
        <v>9.8514790026356316</v>
      </c>
      <c r="AU9" s="553">
        <v>-8.363501405872654</v>
      </c>
      <c r="AV9" s="553">
        <v>-2.9117537238495306</v>
      </c>
      <c r="AW9" s="554">
        <v>-6.7285487728961808</v>
      </c>
      <c r="AX9" s="553">
        <v>-7.6297723686830077</v>
      </c>
      <c r="AY9" s="553">
        <v>10.391541638147196</v>
      </c>
    </row>
    <row r="10" spans="1:51" ht="13">
      <c r="A10" s="552" t="s">
        <v>570</v>
      </c>
      <c r="B10" s="553">
        <v>-3.2</v>
      </c>
      <c r="C10" s="553">
        <v>-3.4</v>
      </c>
      <c r="D10" s="553">
        <v>14.22</v>
      </c>
      <c r="E10" s="553">
        <v>18</v>
      </c>
      <c r="F10" s="553">
        <v>1</v>
      </c>
      <c r="G10" s="553">
        <v>-5</v>
      </c>
      <c r="H10" s="553">
        <v>12</v>
      </c>
      <c r="I10" s="553">
        <v>11</v>
      </c>
      <c r="J10" s="553">
        <v>9</v>
      </c>
      <c r="K10" s="553">
        <v>2</v>
      </c>
      <c r="L10" s="553">
        <v>2</v>
      </c>
      <c r="M10" s="539"/>
      <c r="N10" s="341"/>
      <c r="O10" s="341"/>
      <c r="P10" s="341"/>
      <c r="Q10" s="346"/>
      <c r="R10" s="553">
        <v>13.7346913034308</v>
      </c>
      <c r="S10" s="553">
        <v>21.759477415893503</v>
      </c>
      <c r="T10" s="553">
        <v>19</v>
      </c>
      <c r="U10" s="554">
        <v>19</v>
      </c>
      <c r="V10" s="553">
        <v>14</v>
      </c>
      <c r="W10" s="553">
        <v>3</v>
      </c>
      <c r="X10" s="553">
        <v>-3</v>
      </c>
      <c r="Y10" s="554">
        <v>-7</v>
      </c>
      <c r="Z10" s="553">
        <v>-8</v>
      </c>
      <c r="AA10" s="553">
        <v>-15</v>
      </c>
      <c r="AB10" s="553">
        <v>-3</v>
      </c>
      <c r="AC10" s="554">
        <v>6</v>
      </c>
      <c r="AD10" s="553">
        <v>6</v>
      </c>
      <c r="AE10" s="553">
        <v>22</v>
      </c>
      <c r="AF10" s="553">
        <v>11</v>
      </c>
      <c r="AG10" s="554">
        <v>9</v>
      </c>
      <c r="AH10" s="553">
        <v>14</v>
      </c>
      <c r="AI10" s="553">
        <v>9</v>
      </c>
      <c r="AJ10" s="553">
        <v>12</v>
      </c>
      <c r="AK10" s="554">
        <v>8</v>
      </c>
      <c r="AL10" s="553">
        <v>8</v>
      </c>
      <c r="AM10" s="553">
        <v>17</v>
      </c>
      <c r="AN10" s="553">
        <v>7</v>
      </c>
      <c r="AO10" s="554">
        <v>8</v>
      </c>
      <c r="AP10" s="553">
        <v>3</v>
      </c>
      <c r="AQ10" s="553">
        <v>-1</v>
      </c>
      <c r="AR10" s="553">
        <v>3</v>
      </c>
      <c r="AS10" s="554">
        <v>4</v>
      </c>
      <c r="AT10" s="553">
        <v>3</v>
      </c>
      <c r="AU10" s="553">
        <v>1</v>
      </c>
      <c r="AV10" s="553">
        <v>5</v>
      </c>
      <c r="AW10" s="554">
        <v>4</v>
      </c>
      <c r="AX10" s="553">
        <v>2</v>
      </c>
      <c r="AY10" s="553">
        <v>11</v>
      </c>
    </row>
    <row r="11" spans="1:51" ht="13">
      <c r="A11" s="552" t="s">
        <v>571</v>
      </c>
      <c r="B11" s="557">
        <v>96</v>
      </c>
      <c r="C11" s="558">
        <v>102</v>
      </c>
      <c r="D11" s="558">
        <v>108</v>
      </c>
      <c r="E11" s="558">
        <v>102.91236776805536</v>
      </c>
      <c r="F11" s="558">
        <v>96.678009253592506</v>
      </c>
      <c r="G11" s="558">
        <v>99</v>
      </c>
      <c r="H11" s="558">
        <v>115</v>
      </c>
      <c r="I11" s="558">
        <v>107</v>
      </c>
      <c r="J11" s="558">
        <v>98</v>
      </c>
      <c r="K11" s="558">
        <v>98</v>
      </c>
      <c r="L11" s="558">
        <v>102</v>
      </c>
      <c r="M11" s="539"/>
      <c r="N11" s="341"/>
      <c r="O11" s="341"/>
      <c r="P11" s="341"/>
      <c r="Q11" s="346"/>
      <c r="R11" s="558">
        <v>121.89967205150005</v>
      </c>
      <c r="S11" s="558">
        <v>106.50208269836432</v>
      </c>
      <c r="T11" s="558">
        <v>97.533934307325666</v>
      </c>
      <c r="U11" s="559">
        <v>89.676075014207228</v>
      </c>
      <c r="V11" s="558">
        <v>102.84108329075114</v>
      </c>
      <c r="W11" s="558">
        <v>99.313005834744956</v>
      </c>
      <c r="X11" s="558">
        <v>94.506792675723574</v>
      </c>
      <c r="Y11" s="559">
        <v>90.233463035019454</v>
      </c>
      <c r="Z11" s="558">
        <v>107</v>
      </c>
      <c r="AA11" s="558">
        <v>95.826436509813192</v>
      </c>
      <c r="AB11" s="558">
        <v>107.43924805135259</v>
      </c>
      <c r="AC11" s="559">
        <v>95.135631246175805</v>
      </c>
      <c r="AD11" s="558">
        <v>121.85113416163229</v>
      </c>
      <c r="AE11" s="558">
        <v>114</v>
      </c>
      <c r="AF11" s="558">
        <v>123</v>
      </c>
      <c r="AG11" s="559">
        <v>104.2</v>
      </c>
      <c r="AH11" s="558">
        <v>124.6</v>
      </c>
      <c r="AI11" s="558">
        <v>112.71486349848333</v>
      </c>
      <c r="AJ11" s="558">
        <v>96.250585845961567</v>
      </c>
      <c r="AK11" s="559">
        <v>98</v>
      </c>
      <c r="AL11" s="558">
        <v>109.22988174214019</v>
      </c>
      <c r="AM11" s="558">
        <v>97</v>
      </c>
      <c r="AN11" s="558">
        <v>95.752483830099351</v>
      </c>
      <c r="AO11" s="559">
        <v>92.420349434737929</v>
      </c>
      <c r="AP11" s="558">
        <v>100.13434207735274</v>
      </c>
      <c r="AQ11" s="558">
        <v>99.018835927563444</v>
      </c>
      <c r="AR11" s="558">
        <v>98.859799987260331</v>
      </c>
      <c r="AS11" s="559">
        <v>93.803257782157559</v>
      </c>
      <c r="AT11" s="558">
        <v>106.7584963954686</v>
      </c>
      <c r="AU11" s="558">
        <v>100.96497025776603</v>
      </c>
      <c r="AV11" s="558">
        <v>99.343918120981499</v>
      </c>
      <c r="AW11" s="559">
        <v>99.254195152268494</v>
      </c>
      <c r="AX11" s="558">
        <v>127.7959724061041</v>
      </c>
      <c r="AY11" s="558">
        <v>103.61034606633936</v>
      </c>
    </row>
    <row r="12" spans="1:51" ht="13">
      <c r="A12" s="552"/>
      <c r="B12" s="560"/>
      <c r="C12" s="560"/>
      <c r="D12" s="561"/>
      <c r="E12" s="561"/>
      <c r="F12" s="341"/>
      <c r="G12" s="341"/>
      <c r="H12" s="341"/>
      <c r="I12" s="341"/>
      <c r="J12" s="341"/>
      <c r="K12" s="341"/>
      <c r="L12" s="341"/>
      <c r="M12" s="539"/>
      <c r="N12" s="341"/>
      <c r="O12" s="341"/>
      <c r="P12" s="341"/>
      <c r="Q12" s="346"/>
      <c r="R12" s="341"/>
      <c r="S12" s="341"/>
      <c r="T12" s="341"/>
      <c r="U12" s="346"/>
      <c r="V12" s="341"/>
      <c r="W12" s="341"/>
      <c r="X12" s="341"/>
      <c r="Y12" s="346"/>
      <c r="Z12" s="341"/>
      <c r="AA12" s="341"/>
      <c r="AB12" s="341"/>
      <c r="AC12" s="346"/>
      <c r="AD12" s="341"/>
      <c r="AE12" s="341"/>
      <c r="AF12" s="341"/>
      <c r="AG12" s="346"/>
      <c r="AH12" s="341"/>
      <c r="AI12" s="341"/>
      <c r="AJ12" s="341"/>
      <c r="AK12" s="346"/>
      <c r="AL12" s="341"/>
      <c r="AM12" s="341"/>
      <c r="AN12" s="341"/>
      <c r="AO12" s="346"/>
      <c r="AP12" s="341"/>
      <c r="AQ12" s="341"/>
      <c r="AR12" s="341"/>
      <c r="AS12" s="346"/>
      <c r="AT12" s="341"/>
      <c r="AU12" s="341"/>
      <c r="AV12" s="341"/>
      <c r="AW12" s="346"/>
      <c r="AX12" s="341"/>
      <c r="AY12" s="341"/>
    </row>
    <row r="13" spans="1:51" ht="13">
      <c r="A13" s="548" t="s">
        <v>572</v>
      </c>
      <c r="B13" s="560"/>
      <c r="C13" s="560"/>
      <c r="D13" s="561"/>
      <c r="E13" s="561"/>
      <c r="F13" s="341"/>
      <c r="G13" s="341"/>
      <c r="H13" s="341"/>
      <c r="I13" s="341"/>
      <c r="J13" s="341"/>
      <c r="K13" s="341"/>
      <c r="L13" s="341"/>
      <c r="M13" s="539"/>
      <c r="N13" s="341"/>
      <c r="O13" s="341"/>
      <c r="P13" s="341"/>
      <c r="Q13" s="346"/>
      <c r="R13" s="341"/>
      <c r="S13" s="341"/>
      <c r="T13" s="341"/>
      <c r="U13" s="346"/>
      <c r="V13" s="341"/>
      <c r="W13" s="341"/>
      <c r="X13" s="341"/>
      <c r="Y13" s="346"/>
      <c r="Z13" s="341"/>
      <c r="AA13" s="341"/>
      <c r="AB13" s="341"/>
      <c r="AC13" s="346"/>
      <c r="AD13" s="341"/>
      <c r="AE13" s="341"/>
      <c r="AF13" s="341"/>
      <c r="AG13" s="346"/>
      <c r="AH13" s="341"/>
      <c r="AI13" s="341"/>
      <c r="AJ13" s="341"/>
      <c r="AK13" s="346"/>
      <c r="AL13" s="341"/>
      <c r="AM13" s="341"/>
      <c r="AN13" s="341"/>
      <c r="AO13" s="346"/>
      <c r="AP13" s="341"/>
      <c r="AQ13" s="341"/>
      <c r="AR13" s="341"/>
      <c r="AS13" s="346"/>
      <c r="AT13" s="341"/>
      <c r="AU13" s="341"/>
      <c r="AV13" s="341"/>
      <c r="AW13" s="346"/>
      <c r="AX13" s="341"/>
      <c r="AY13" s="341"/>
    </row>
    <row r="14" spans="1:51" ht="13">
      <c r="A14" s="552" t="s">
        <v>268</v>
      </c>
      <c r="B14" s="555">
        <v>-18463</v>
      </c>
      <c r="C14" s="555">
        <v>-18003</v>
      </c>
      <c r="D14" s="555">
        <v>-20101</v>
      </c>
      <c r="E14" s="555">
        <v>-24317</v>
      </c>
      <c r="F14" s="555">
        <v>-25547</v>
      </c>
      <c r="G14" s="555">
        <v>-22418</v>
      </c>
      <c r="H14" s="555">
        <v>-24192</v>
      </c>
      <c r="I14" s="555">
        <v>-30675</v>
      </c>
      <c r="J14" s="555">
        <v>-37197</v>
      </c>
      <c r="K14" s="555">
        <v>-40658</v>
      </c>
      <c r="L14" s="555">
        <v>-39024</v>
      </c>
      <c r="M14" s="539"/>
      <c r="N14" s="349">
        <v>-4674</v>
      </c>
      <c r="O14" s="349">
        <v>-4990</v>
      </c>
      <c r="P14" s="349">
        <v>-4874</v>
      </c>
      <c r="Q14" s="350">
        <v>-5563</v>
      </c>
      <c r="R14" s="555">
        <v>-5226</v>
      </c>
      <c r="S14" s="555">
        <v>-6275</v>
      </c>
      <c r="T14" s="555">
        <v>-6095</v>
      </c>
      <c r="U14" s="556">
        <v>-6721</v>
      </c>
      <c r="V14" s="555">
        <v>-6189</v>
      </c>
      <c r="W14" s="555">
        <v>-6550</v>
      </c>
      <c r="X14" s="555">
        <v>-6431</v>
      </c>
      <c r="Y14" s="556">
        <v>-6377</v>
      </c>
      <c r="Z14" s="555">
        <v>-5571</v>
      </c>
      <c r="AA14" s="555">
        <v>-5309</v>
      </c>
      <c r="AB14" s="555">
        <v>-5469</v>
      </c>
      <c r="AC14" s="556">
        <v>-6069</v>
      </c>
      <c r="AD14" s="555">
        <v>-5433</v>
      </c>
      <c r="AE14" s="555">
        <v>-5898</v>
      </c>
      <c r="AF14" s="555">
        <v>-5999</v>
      </c>
      <c r="AG14" s="556">
        <v>-6862</v>
      </c>
      <c r="AH14" s="555">
        <v>-6831</v>
      </c>
      <c r="AI14" s="555">
        <v>-7813</v>
      </c>
      <c r="AJ14" s="555">
        <v>-7889</v>
      </c>
      <c r="AK14" s="556">
        <v>-8142</v>
      </c>
      <c r="AL14" s="555">
        <v>-8272</v>
      </c>
      <c r="AM14" s="555">
        <v>-9887</v>
      </c>
      <c r="AN14" s="555">
        <v>-9218</v>
      </c>
      <c r="AO14" s="556">
        <v>-9820</v>
      </c>
      <c r="AP14" s="555">
        <v>-8961</v>
      </c>
      <c r="AQ14" s="555">
        <v>-10562</v>
      </c>
      <c r="AR14" s="555">
        <v>-9874</v>
      </c>
      <c r="AS14" s="556">
        <v>-11261</v>
      </c>
      <c r="AT14" s="555">
        <v>-9396</v>
      </c>
      <c r="AU14" s="555">
        <v>-9459</v>
      </c>
      <c r="AV14" s="555">
        <v>-9908</v>
      </c>
      <c r="AW14" s="556">
        <v>-10261</v>
      </c>
      <c r="AX14" s="555">
        <v>-9254</v>
      </c>
      <c r="AY14" s="555">
        <v>-10686</v>
      </c>
    </row>
    <row r="15" spans="1:51" ht="13">
      <c r="A15" s="552" t="s">
        <v>271</v>
      </c>
      <c r="B15" s="555">
        <v>-1848</v>
      </c>
      <c r="C15" s="555">
        <v>-1879</v>
      </c>
      <c r="D15" s="555">
        <v>-2121</v>
      </c>
      <c r="E15" s="555">
        <v>-2589</v>
      </c>
      <c r="F15" s="555">
        <v>-3261</v>
      </c>
      <c r="G15" s="555">
        <v>-2817</v>
      </c>
      <c r="H15" s="555">
        <v>-3166</v>
      </c>
      <c r="I15" s="555">
        <v>-3628</v>
      </c>
      <c r="J15" s="555">
        <v>-4105</v>
      </c>
      <c r="K15" s="555">
        <v>-4531</v>
      </c>
      <c r="L15" s="555">
        <v>-4498</v>
      </c>
      <c r="M15" s="539"/>
      <c r="N15" s="341">
        <v>-533</v>
      </c>
      <c r="O15" s="341">
        <v>-550</v>
      </c>
      <c r="P15" s="341">
        <v>-469</v>
      </c>
      <c r="Q15" s="346">
        <v>-569</v>
      </c>
      <c r="R15" s="341">
        <v>-564</v>
      </c>
      <c r="S15" s="341">
        <v>-713</v>
      </c>
      <c r="T15" s="341">
        <v>-691</v>
      </c>
      <c r="U15" s="346">
        <v>-621</v>
      </c>
      <c r="V15" s="341">
        <v>-784</v>
      </c>
      <c r="W15" s="341">
        <v>-803</v>
      </c>
      <c r="X15" s="341">
        <v>-826</v>
      </c>
      <c r="Y15" s="346">
        <v>-848</v>
      </c>
      <c r="Z15" s="341">
        <v>-667</v>
      </c>
      <c r="AA15" s="341">
        <v>-795</v>
      </c>
      <c r="AB15" s="341">
        <v>-668</v>
      </c>
      <c r="AC15" s="346">
        <v>-687</v>
      </c>
      <c r="AD15" s="341">
        <v>-819</v>
      </c>
      <c r="AE15" s="341">
        <v>-732</v>
      </c>
      <c r="AF15" s="341">
        <v>-692</v>
      </c>
      <c r="AG15" s="346">
        <v>-923</v>
      </c>
      <c r="AH15" s="341">
        <v>-721</v>
      </c>
      <c r="AI15" s="341">
        <v>-818</v>
      </c>
      <c r="AJ15" s="341">
        <v>-903</v>
      </c>
      <c r="AK15" s="350">
        <v>-1186</v>
      </c>
      <c r="AL15" s="341">
        <v>-969</v>
      </c>
      <c r="AM15" s="341">
        <v>-1071</v>
      </c>
      <c r="AN15" s="341">
        <v>-974</v>
      </c>
      <c r="AO15" s="350">
        <v>-1091</v>
      </c>
      <c r="AP15" s="555">
        <v>-1124</v>
      </c>
      <c r="AQ15" s="349">
        <v>-1237</v>
      </c>
      <c r="AR15" s="349">
        <v>-1069</v>
      </c>
      <c r="AS15" s="350">
        <v>-1101</v>
      </c>
      <c r="AT15" s="555">
        <v>-1200</v>
      </c>
      <c r="AU15" s="349">
        <v>-1093</v>
      </c>
      <c r="AV15" s="349">
        <v>-1062</v>
      </c>
      <c r="AW15" s="350">
        <v>-1143</v>
      </c>
      <c r="AX15" s="555">
        <v>-1087</v>
      </c>
      <c r="AY15" s="349">
        <v>-1167</v>
      </c>
    </row>
    <row r="16" spans="1:51" ht="13">
      <c r="A16" s="552" t="s">
        <v>272</v>
      </c>
      <c r="B16" s="555">
        <v>-2346</v>
      </c>
      <c r="C16" s="555">
        <v>-2164</v>
      </c>
      <c r="D16" s="555">
        <v>-2280</v>
      </c>
      <c r="E16" s="555">
        <v>-2574</v>
      </c>
      <c r="F16" s="555">
        <v>-2797</v>
      </c>
      <c r="G16" s="555">
        <v>-2225</v>
      </c>
      <c r="H16" s="555">
        <v>-2313</v>
      </c>
      <c r="I16" s="555">
        <v>-3042</v>
      </c>
      <c r="J16" s="555">
        <v>-3959</v>
      </c>
      <c r="K16" s="555">
        <v>-4250</v>
      </c>
      <c r="L16" s="555">
        <v>-4021</v>
      </c>
      <c r="M16" s="539"/>
      <c r="N16" s="341">
        <v>-561</v>
      </c>
      <c r="O16" s="341">
        <v>-596</v>
      </c>
      <c r="P16" s="341">
        <v>-526</v>
      </c>
      <c r="Q16" s="346">
        <v>-597</v>
      </c>
      <c r="R16" s="341">
        <v>-600</v>
      </c>
      <c r="S16" s="341">
        <v>-676</v>
      </c>
      <c r="T16" s="341">
        <v>-630</v>
      </c>
      <c r="U16" s="346">
        <v>-668</v>
      </c>
      <c r="V16" s="341">
        <v>-663</v>
      </c>
      <c r="W16" s="341">
        <v>-710</v>
      </c>
      <c r="X16" s="341">
        <v>-734</v>
      </c>
      <c r="Y16" s="346">
        <v>-690</v>
      </c>
      <c r="Z16" s="341">
        <v>-664</v>
      </c>
      <c r="AA16" s="341">
        <v>-543</v>
      </c>
      <c r="AB16" s="341">
        <v>-501</v>
      </c>
      <c r="AC16" s="346">
        <v>-517</v>
      </c>
      <c r="AD16" s="341">
        <v>-528</v>
      </c>
      <c r="AE16" s="341">
        <v>-570</v>
      </c>
      <c r="AF16" s="341">
        <v>-582</v>
      </c>
      <c r="AG16" s="346">
        <v>-633</v>
      </c>
      <c r="AH16" s="341">
        <v>-641</v>
      </c>
      <c r="AI16" s="341">
        <v>-767</v>
      </c>
      <c r="AJ16" s="341">
        <v>-782</v>
      </c>
      <c r="AK16" s="346">
        <v>-852</v>
      </c>
      <c r="AL16" s="349">
        <v>-926</v>
      </c>
      <c r="AM16" s="349">
        <v>-1012</v>
      </c>
      <c r="AN16" s="349">
        <v>-1001</v>
      </c>
      <c r="AO16" s="350">
        <v>-1020</v>
      </c>
      <c r="AP16" s="349">
        <v>-953</v>
      </c>
      <c r="AQ16" s="349">
        <v>-1131</v>
      </c>
      <c r="AR16" s="349">
        <v>-1075</v>
      </c>
      <c r="AS16" s="350">
        <v>-1091</v>
      </c>
      <c r="AT16" s="349">
        <v>-1025</v>
      </c>
      <c r="AU16" s="349">
        <v>-1009</v>
      </c>
      <c r="AV16" s="349">
        <v>-1010</v>
      </c>
      <c r="AW16" s="350">
        <v>-977</v>
      </c>
      <c r="AX16" s="349">
        <v>-930</v>
      </c>
      <c r="AY16" s="349">
        <v>-1044</v>
      </c>
    </row>
    <row r="17" spans="1:51" ht="13">
      <c r="A17" s="552" t="s">
        <v>573</v>
      </c>
      <c r="B17" s="555">
        <v>-861</v>
      </c>
      <c r="C17" s="555">
        <v>-662</v>
      </c>
      <c r="D17" s="555">
        <v>-795</v>
      </c>
      <c r="E17" s="555">
        <v>-977</v>
      </c>
      <c r="F17" s="555">
        <v>-1035</v>
      </c>
      <c r="G17" s="555">
        <v>-1032</v>
      </c>
      <c r="H17" s="555">
        <v>-1172</v>
      </c>
      <c r="I17" s="555">
        <v>-1438</v>
      </c>
      <c r="J17" s="555">
        <v>-1930</v>
      </c>
      <c r="K17" s="555">
        <v>-2282</v>
      </c>
      <c r="L17" s="555">
        <v>-1966</v>
      </c>
      <c r="M17" s="539"/>
      <c r="N17" s="341">
        <v>-190</v>
      </c>
      <c r="O17" s="341">
        <v>-184</v>
      </c>
      <c r="P17" s="341">
        <v>-189</v>
      </c>
      <c r="Q17" s="346">
        <v>-232</v>
      </c>
      <c r="R17" s="341">
        <v>-222</v>
      </c>
      <c r="S17" s="341">
        <v>-257</v>
      </c>
      <c r="T17" s="341">
        <v>-217</v>
      </c>
      <c r="U17" s="346">
        <v>-281</v>
      </c>
      <c r="V17" s="341">
        <v>-275</v>
      </c>
      <c r="W17" s="341">
        <v>-271</v>
      </c>
      <c r="X17" s="341">
        <v>-227</v>
      </c>
      <c r="Y17" s="346">
        <v>-262</v>
      </c>
      <c r="Z17" s="341">
        <v>-271</v>
      </c>
      <c r="AA17" s="341">
        <v>-287</v>
      </c>
      <c r="AB17" s="341">
        <v>-231</v>
      </c>
      <c r="AC17" s="346">
        <v>-243</v>
      </c>
      <c r="AD17" s="341">
        <v>-229</v>
      </c>
      <c r="AE17" s="341">
        <v>-283</v>
      </c>
      <c r="AF17" s="341">
        <v>-300</v>
      </c>
      <c r="AG17" s="346">
        <v>-360</v>
      </c>
      <c r="AH17" s="341">
        <v>-319</v>
      </c>
      <c r="AI17" s="341">
        <v>-363</v>
      </c>
      <c r="AJ17" s="341">
        <v>-360</v>
      </c>
      <c r="AK17" s="346">
        <v>-396</v>
      </c>
      <c r="AL17" s="349">
        <v>-452</v>
      </c>
      <c r="AM17" s="349">
        <v>-497</v>
      </c>
      <c r="AN17" s="349">
        <v>-517</v>
      </c>
      <c r="AO17" s="350">
        <v>-464</v>
      </c>
      <c r="AP17" s="349">
        <v>-461</v>
      </c>
      <c r="AQ17" s="349">
        <v>-537</v>
      </c>
      <c r="AR17" s="349">
        <v>-771</v>
      </c>
      <c r="AS17" s="350">
        <v>-513</v>
      </c>
      <c r="AT17" s="349">
        <v>-500</v>
      </c>
      <c r="AU17" s="349">
        <v>-505</v>
      </c>
      <c r="AV17" s="349">
        <v>-407</v>
      </c>
      <c r="AW17" s="350">
        <v>-554</v>
      </c>
      <c r="AX17" s="349">
        <v>-501</v>
      </c>
      <c r="AY17" s="349">
        <v>-534</v>
      </c>
    </row>
    <row r="18" spans="1:51" ht="13">
      <c r="A18" s="552" t="s">
        <v>574</v>
      </c>
      <c r="B18" s="562">
        <f t="shared" ref="B18:G18" si="0">-B17/B8*100</f>
        <v>3.0038725883543242</v>
      </c>
      <c r="C18" s="562">
        <f t="shared" si="0"/>
        <v>2.4426241605785552</v>
      </c>
      <c r="D18" s="562">
        <f t="shared" si="0"/>
        <v>2.5347536587266348</v>
      </c>
      <c r="E18" s="562">
        <f t="shared" si="0"/>
        <v>2.5518954946603065</v>
      </c>
      <c r="F18" s="562">
        <f t="shared" si="0"/>
        <v>2.5337217557345344</v>
      </c>
      <c r="G18" s="562">
        <f t="shared" si="0"/>
        <v>2.8569846630862079</v>
      </c>
      <c r="H18" s="562">
        <v>3</v>
      </c>
      <c r="I18" s="562">
        <v>2.8937095021531798</v>
      </c>
      <c r="J18" s="562">
        <v>3.2</v>
      </c>
      <c r="K18" s="563">
        <v>3.5870000000000002</v>
      </c>
      <c r="L18" s="563">
        <v>3.17</v>
      </c>
      <c r="M18" s="539"/>
      <c r="N18" s="562">
        <f t="shared" ref="N18:AE18" si="1">-N17/N8*100</f>
        <v>2.5637565780596412</v>
      </c>
      <c r="O18" s="562">
        <f t="shared" si="1"/>
        <v>2.335321741337733</v>
      </c>
      <c r="P18" s="562">
        <f t="shared" si="1"/>
        <v>2.4835742444152431</v>
      </c>
      <c r="Q18" s="564">
        <f t="shared" si="1"/>
        <v>2.7410207939508506</v>
      </c>
      <c r="R18" s="562">
        <f t="shared" si="1"/>
        <v>2.6964654439450992</v>
      </c>
      <c r="S18" s="562">
        <f t="shared" si="1"/>
        <v>2.6109925835619223</v>
      </c>
      <c r="T18" s="562">
        <f t="shared" si="1"/>
        <v>2.2484716609677755</v>
      </c>
      <c r="U18" s="564">
        <f t="shared" si="1"/>
        <v>2.6614889183557491</v>
      </c>
      <c r="V18" s="562">
        <f t="shared" si="1"/>
        <v>2.810424118548799</v>
      </c>
      <c r="W18" s="562">
        <f t="shared" si="1"/>
        <v>2.5503482025221156</v>
      </c>
      <c r="X18" s="562">
        <f t="shared" si="1"/>
        <v>2.234691868478047</v>
      </c>
      <c r="Y18" s="564">
        <f t="shared" si="1"/>
        <v>2.5486381322957197</v>
      </c>
      <c r="Z18" s="562">
        <f t="shared" si="1"/>
        <v>2.9669367199474492</v>
      </c>
      <c r="AA18" s="562">
        <f t="shared" si="1"/>
        <v>3.3932371719082526</v>
      </c>
      <c r="AB18" s="562">
        <f t="shared" si="1"/>
        <v>2.6478679504814306</v>
      </c>
      <c r="AC18" s="564">
        <f t="shared" si="1"/>
        <v>2.4780746481745868</v>
      </c>
      <c r="AD18" s="565">
        <f t="shared" si="1"/>
        <v>2.6102815456514308</v>
      </c>
      <c r="AE18" s="562">
        <f t="shared" si="1"/>
        <v>2.9076338230761327</v>
      </c>
      <c r="AF18" s="562">
        <v>3</v>
      </c>
      <c r="AG18" s="564">
        <v>3.2</v>
      </c>
      <c r="AH18" s="565">
        <v>2.9</v>
      </c>
      <c r="AI18" s="562">
        <v>3.0586450960566198</v>
      </c>
      <c r="AJ18" s="562">
        <v>2.8120606155288201</v>
      </c>
      <c r="AK18" s="564">
        <v>2.8415614236509801</v>
      </c>
      <c r="AL18" s="565">
        <v>3.2593019901932498</v>
      </c>
      <c r="AM18" s="562">
        <v>3.1</v>
      </c>
      <c r="AN18" s="562">
        <v>3.4</v>
      </c>
      <c r="AO18" s="566">
        <v>3</v>
      </c>
      <c r="AP18" s="565">
        <v>3.3</v>
      </c>
      <c r="AQ18" s="562">
        <v>3.25</v>
      </c>
      <c r="AR18" s="562">
        <v>4.9111408369959904</v>
      </c>
      <c r="AS18" s="566">
        <v>2.9740000000000002</v>
      </c>
      <c r="AT18" s="565">
        <v>3.2183316168898002</v>
      </c>
      <c r="AU18" s="562">
        <v>3.33773959021811</v>
      </c>
      <c r="AV18" s="562">
        <v>2.6702532476053009</v>
      </c>
      <c r="AW18" s="566">
        <v>3.4431323803604723</v>
      </c>
      <c r="AX18" s="565">
        <v>3.4910459201449378</v>
      </c>
      <c r="AY18" s="562">
        <v>3.1972218895940605</v>
      </c>
    </row>
    <row r="19" spans="1:51" ht="13">
      <c r="A19" s="552"/>
      <c r="B19" s="567"/>
      <c r="C19" s="567"/>
      <c r="D19" s="568"/>
      <c r="E19" s="568"/>
      <c r="F19" s="341"/>
      <c r="G19" s="341"/>
      <c r="H19" s="341"/>
      <c r="I19" s="341"/>
      <c r="J19" s="341"/>
      <c r="K19" s="341"/>
      <c r="L19" s="341"/>
      <c r="M19" s="539"/>
      <c r="N19" s="341"/>
      <c r="O19" s="341"/>
      <c r="P19" s="341"/>
      <c r="Q19" s="346"/>
      <c r="R19" s="341"/>
      <c r="S19" s="341"/>
      <c r="T19" s="341"/>
      <c r="U19" s="346"/>
      <c r="V19" s="341"/>
      <c r="W19" s="341"/>
      <c r="X19" s="341"/>
      <c r="Y19" s="346"/>
      <c r="Z19" s="341"/>
      <c r="AA19" s="341"/>
      <c r="AB19" s="341"/>
      <c r="AC19" s="346"/>
      <c r="AD19" s="341"/>
      <c r="AE19" s="341"/>
      <c r="AF19" s="341"/>
      <c r="AG19" s="346"/>
      <c r="AH19" s="341"/>
      <c r="AI19" s="341"/>
      <c r="AJ19" s="341"/>
      <c r="AK19" s="346"/>
      <c r="AL19" s="341"/>
      <c r="AM19" s="341"/>
      <c r="AN19" s="341"/>
      <c r="AO19" s="346"/>
      <c r="AP19" s="341"/>
      <c r="AQ19" s="341"/>
      <c r="AR19" s="341"/>
      <c r="AS19" s="346"/>
      <c r="AT19" s="341"/>
      <c r="AU19" s="341"/>
      <c r="AV19" s="341"/>
      <c r="AW19" s="346"/>
      <c r="AX19" s="341"/>
      <c r="AY19" s="341"/>
    </row>
    <row r="20" spans="1:51" ht="13">
      <c r="A20" s="548" t="s">
        <v>575</v>
      </c>
      <c r="B20" s="567"/>
      <c r="C20" s="567"/>
      <c r="D20" s="568"/>
      <c r="E20" s="568"/>
      <c r="F20" s="341"/>
      <c r="G20" s="341"/>
      <c r="H20" s="341"/>
      <c r="I20" s="341"/>
      <c r="J20" s="341"/>
      <c r="K20" s="341"/>
      <c r="L20" s="341"/>
      <c r="M20" s="539"/>
      <c r="N20" s="341"/>
      <c r="O20" s="341"/>
      <c r="P20" s="341"/>
      <c r="Q20" s="346"/>
      <c r="R20" s="341"/>
      <c r="S20" s="341"/>
      <c r="T20" s="341"/>
      <c r="U20" s="346"/>
      <c r="V20" s="341"/>
      <c r="W20" s="341"/>
      <c r="X20" s="341"/>
      <c r="Y20" s="346"/>
      <c r="Z20" s="341"/>
      <c r="AA20" s="341"/>
      <c r="AB20" s="341"/>
      <c r="AC20" s="346"/>
      <c r="AD20" s="341"/>
      <c r="AE20" s="341"/>
      <c r="AF20" s="341"/>
      <c r="AG20" s="346"/>
      <c r="AH20" s="341"/>
      <c r="AI20" s="341"/>
      <c r="AJ20" s="341"/>
      <c r="AK20" s="346"/>
      <c r="AL20" s="341"/>
      <c r="AM20" s="341"/>
      <c r="AN20" s="341"/>
      <c r="AO20" s="346"/>
      <c r="AP20" s="341"/>
      <c r="AQ20" s="341"/>
      <c r="AR20" s="341"/>
      <c r="AS20" s="346"/>
      <c r="AT20" s="341"/>
      <c r="AU20" s="341"/>
      <c r="AV20" s="341"/>
      <c r="AW20" s="346"/>
      <c r="AX20" s="341"/>
      <c r="AY20" s="341"/>
    </row>
    <row r="21" spans="1:51" ht="13">
      <c r="A21" s="552" t="s">
        <v>576</v>
      </c>
      <c r="B21" s="555">
        <v>10200</v>
      </c>
      <c r="C21" s="555">
        <v>9099</v>
      </c>
      <c r="D21" s="555">
        <v>11263</v>
      </c>
      <c r="E21" s="555">
        <v>13968</v>
      </c>
      <c r="F21" s="555">
        <v>15302</v>
      </c>
      <c r="G21" s="555">
        <v>13704</v>
      </c>
      <c r="H21" s="555">
        <v>15453</v>
      </c>
      <c r="I21" s="555">
        <v>19019</v>
      </c>
      <c r="J21" s="555">
        <v>23146</v>
      </c>
      <c r="K21" s="555">
        <v>22946</v>
      </c>
      <c r="L21" s="555">
        <v>22974</v>
      </c>
      <c r="M21" s="539"/>
      <c r="N21" s="555">
        <v>2737</v>
      </c>
      <c r="O21" s="555">
        <v>2889</v>
      </c>
      <c r="P21" s="555">
        <v>2736</v>
      </c>
      <c r="Q21" s="556">
        <v>2901</v>
      </c>
      <c r="R21" s="555">
        <v>3007</v>
      </c>
      <c r="S21" s="555">
        <v>3568</v>
      </c>
      <c r="T21" s="555">
        <v>3556</v>
      </c>
      <c r="U21" s="556">
        <v>3837</v>
      </c>
      <c r="V21" s="555">
        <v>3596</v>
      </c>
      <c r="W21" s="555">
        <v>4076</v>
      </c>
      <c r="X21" s="555">
        <v>3727</v>
      </c>
      <c r="Y21" s="556">
        <v>3903</v>
      </c>
      <c r="Z21" s="555">
        <v>3563</v>
      </c>
      <c r="AA21" s="555">
        <v>3149</v>
      </c>
      <c r="AB21" s="555">
        <v>3255</v>
      </c>
      <c r="AC21" s="556">
        <v>3737</v>
      </c>
      <c r="AD21" s="555">
        <v>3340</v>
      </c>
      <c r="AE21" s="555">
        <v>3835</v>
      </c>
      <c r="AF21" s="555">
        <v>3967</v>
      </c>
      <c r="AG21" s="556">
        <v>4311</v>
      </c>
      <c r="AH21" s="555">
        <v>4257</v>
      </c>
      <c r="AI21" s="555">
        <v>4055</v>
      </c>
      <c r="AJ21" s="555">
        <v>4913</v>
      </c>
      <c r="AK21" s="556">
        <v>5794</v>
      </c>
      <c r="AL21" s="555">
        <v>5596</v>
      </c>
      <c r="AM21" s="555">
        <v>6023</v>
      </c>
      <c r="AN21" s="555">
        <v>5779</v>
      </c>
      <c r="AO21" s="556">
        <v>5748</v>
      </c>
      <c r="AP21" s="555">
        <v>5182</v>
      </c>
      <c r="AQ21" s="555">
        <v>5949</v>
      </c>
      <c r="AR21" s="555">
        <v>5825</v>
      </c>
      <c r="AS21" s="556">
        <v>5990</v>
      </c>
      <c r="AT21" s="555">
        <v>6140</v>
      </c>
      <c r="AU21" s="555">
        <v>5671</v>
      </c>
      <c r="AV21" s="555">
        <v>5334</v>
      </c>
      <c r="AW21" s="556">
        <v>5829</v>
      </c>
      <c r="AX21" s="555">
        <v>5097</v>
      </c>
      <c r="AY21" s="555">
        <v>6016</v>
      </c>
    </row>
    <row r="22" spans="1:51" ht="13">
      <c r="A22" s="552" t="s">
        <v>577</v>
      </c>
      <c r="B22" s="569">
        <f t="shared" ref="B22:G22" si="2">B21/B8*100</f>
        <v>35.58594703973764</v>
      </c>
      <c r="C22" s="569">
        <f t="shared" si="2"/>
        <v>33.573168031879561</v>
      </c>
      <c r="D22" s="569">
        <f t="shared" si="2"/>
        <v>35.910604349985014</v>
      </c>
      <c r="E22" s="569">
        <f t="shared" si="2"/>
        <v>36.484008464089214</v>
      </c>
      <c r="F22" s="569">
        <f t="shared" si="2"/>
        <v>37.45991333937183</v>
      </c>
      <c r="G22" s="569">
        <f t="shared" si="2"/>
        <v>37.938098665633127</v>
      </c>
      <c r="H22" s="569">
        <v>39</v>
      </c>
      <c r="I22" s="569">
        <v>38.299999999999997</v>
      </c>
      <c r="J22" s="569">
        <v>38.4</v>
      </c>
      <c r="K22" s="569">
        <v>36.1</v>
      </c>
      <c r="L22" s="569">
        <v>37.1</v>
      </c>
      <c r="M22" s="539"/>
      <c r="N22" s="569">
        <f t="shared" ref="N22:AC22" si="3">N21/N8*100</f>
        <v>36.931588179732827</v>
      </c>
      <c r="O22" s="569">
        <f t="shared" si="3"/>
        <v>36.667089732199521</v>
      </c>
      <c r="P22" s="569">
        <f t="shared" si="3"/>
        <v>35.952693823915901</v>
      </c>
      <c r="Q22" s="570">
        <f t="shared" si="3"/>
        <v>34.274574669187146</v>
      </c>
      <c r="R22" s="569">
        <f t="shared" si="3"/>
        <v>36.523745900643753</v>
      </c>
      <c r="S22" s="569">
        <f t="shared" si="3"/>
        <v>36.249111043381085</v>
      </c>
      <c r="T22" s="569">
        <f t="shared" si="3"/>
        <v>36.845922702310638</v>
      </c>
      <c r="U22" s="570">
        <f t="shared" si="3"/>
        <v>36.342110248153062</v>
      </c>
      <c r="V22" s="569">
        <f t="shared" si="3"/>
        <v>36.750127746550845</v>
      </c>
      <c r="W22" s="569">
        <f t="shared" si="3"/>
        <v>38.35874270656879</v>
      </c>
      <c r="X22" s="569">
        <f t="shared" si="3"/>
        <v>36.690293364835597</v>
      </c>
      <c r="Y22" s="570">
        <f t="shared" si="3"/>
        <v>37.966926070038909</v>
      </c>
      <c r="Z22" s="569">
        <f t="shared" si="3"/>
        <v>39.008101598423472</v>
      </c>
      <c r="AA22" s="569">
        <f t="shared" si="3"/>
        <v>37.231023882714595</v>
      </c>
      <c r="AB22" s="569">
        <f t="shared" si="3"/>
        <v>37.310866574965615</v>
      </c>
      <c r="AC22" s="570">
        <f t="shared" si="3"/>
        <v>38.109320823985314</v>
      </c>
      <c r="AD22" s="569">
        <v>38.071355294654055</v>
      </c>
      <c r="AE22" s="569">
        <v>39.4</v>
      </c>
      <c r="AF22" s="569">
        <v>39.799999999999997</v>
      </c>
      <c r="AG22" s="570">
        <v>38.6</v>
      </c>
      <c r="AH22" s="569">
        <v>38.392857142857146</v>
      </c>
      <c r="AI22" s="569">
        <v>34.167509268621501</v>
      </c>
      <c r="AJ22" s="569">
        <v>38.376816122480861</v>
      </c>
      <c r="AK22" s="570">
        <v>41.575774971297356</v>
      </c>
      <c r="AL22" s="569">
        <v>40.351889241419094</v>
      </c>
      <c r="AM22" s="569">
        <v>37.9</v>
      </c>
      <c r="AN22" s="569">
        <v>38.534373541374947</v>
      </c>
      <c r="AO22" s="570">
        <v>36.921891058581707</v>
      </c>
      <c r="AP22" s="569">
        <v>36.640033939051122</v>
      </c>
      <c r="AQ22" s="569">
        <v>36.030525104475799</v>
      </c>
      <c r="AR22" s="569">
        <v>37.104274157589657</v>
      </c>
      <c r="AS22" s="570">
        <v>34.722624775375337</v>
      </c>
      <c r="AT22" s="569">
        <v>39.521112255406798</v>
      </c>
      <c r="AU22" s="569">
        <v>37.481824190350302</v>
      </c>
      <c r="AV22" s="569">
        <v>34.995407426846867</v>
      </c>
      <c r="AW22" s="570">
        <v>36.227470478558111</v>
      </c>
      <c r="AX22" s="569">
        <v>35.516688732492504</v>
      </c>
      <c r="AY22" s="569">
        <v>36.019638366662676</v>
      </c>
    </row>
    <row r="23" spans="1:51" ht="13">
      <c r="A23" s="552" t="s">
        <v>578</v>
      </c>
      <c r="B23" s="571">
        <v>6570</v>
      </c>
      <c r="C23" s="571">
        <v>5765</v>
      </c>
      <c r="D23" s="571">
        <v>7183</v>
      </c>
      <c r="E23" s="571">
        <v>8753</v>
      </c>
      <c r="F23" s="571">
        <v>10114</v>
      </c>
      <c r="G23" s="571">
        <v>9128</v>
      </c>
      <c r="H23" s="571">
        <v>10740</v>
      </c>
      <c r="I23" s="571">
        <v>13276</v>
      </c>
      <c r="J23" s="571">
        <v>15843</v>
      </c>
      <c r="K23" s="571">
        <v>15827</v>
      </c>
      <c r="L23" s="571">
        <v>15011</v>
      </c>
      <c r="M23" s="539"/>
      <c r="N23" s="571">
        <v>1732</v>
      </c>
      <c r="O23" s="571">
        <v>1778</v>
      </c>
      <c r="P23" s="571">
        <v>1804</v>
      </c>
      <c r="Q23" s="572">
        <v>1869</v>
      </c>
      <c r="R23" s="571">
        <v>1832</v>
      </c>
      <c r="S23" s="571">
        <v>2150</v>
      </c>
      <c r="T23" s="571">
        <v>2258</v>
      </c>
      <c r="U23" s="572">
        <v>2513</v>
      </c>
      <c r="V23" s="571">
        <v>2403</v>
      </c>
      <c r="W23" s="571">
        <v>2729.3663581851001</v>
      </c>
      <c r="X23" s="571">
        <v>2481</v>
      </c>
      <c r="Y23" s="572">
        <v>2501</v>
      </c>
      <c r="Z23" s="571">
        <v>2372</v>
      </c>
      <c r="AA23" s="571">
        <v>1859</v>
      </c>
      <c r="AB23" s="571">
        <v>2245</v>
      </c>
      <c r="AC23" s="572">
        <v>2652</v>
      </c>
      <c r="AD23" s="571">
        <v>2248</v>
      </c>
      <c r="AE23" s="555">
        <v>2594</v>
      </c>
      <c r="AF23" s="555">
        <v>2813</v>
      </c>
      <c r="AG23" s="572">
        <v>3085</v>
      </c>
      <c r="AH23" s="571">
        <v>3097</v>
      </c>
      <c r="AI23" s="555">
        <v>2868</v>
      </c>
      <c r="AJ23" s="555">
        <v>3425</v>
      </c>
      <c r="AK23" s="572">
        <v>3886</v>
      </c>
      <c r="AL23" s="571">
        <v>3795</v>
      </c>
      <c r="AM23" s="555">
        <v>4056</v>
      </c>
      <c r="AN23" s="555">
        <v>3960</v>
      </c>
      <c r="AO23" s="572">
        <v>4032</v>
      </c>
      <c r="AP23" s="571">
        <v>3431</v>
      </c>
      <c r="AQ23" s="555">
        <v>3709</v>
      </c>
      <c r="AR23" s="555">
        <v>4445</v>
      </c>
      <c r="AS23" s="572">
        <v>4242</v>
      </c>
      <c r="AT23" s="571">
        <v>3866</v>
      </c>
      <c r="AU23" s="555">
        <v>3600</v>
      </c>
      <c r="AV23" s="555">
        <v>3567</v>
      </c>
      <c r="AW23" s="572">
        <v>3979</v>
      </c>
      <c r="AX23" s="571">
        <v>3602</v>
      </c>
      <c r="AY23" s="555">
        <v>4119</v>
      </c>
    </row>
    <row r="24" spans="1:51" ht="13">
      <c r="A24" s="552" t="s">
        <v>579</v>
      </c>
      <c r="B24" s="341">
        <v>22.9</v>
      </c>
      <c r="C24" s="341">
        <v>21.3</v>
      </c>
      <c r="D24" s="341">
        <v>22.9</v>
      </c>
      <c r="E24" s="563">
        <v>22.862739976492101</v>
      </c>
      <c r="F24" s="563">
        <v>24.8</v>
      </c>
      <c r="G24" s="563">
        <v>25.3</v>
      </c>
      <c r="H24" s="563">
        <v>27.1</v>
      </c>
      <c r="I24" s="563">
        <v>26.7</v>
      </c>
      <c r="J24" s="563">
        <v>26.3</v>
      </c>
      <c r="K24" s="563">
        <v>24.9</v>
      </c>
      <c r="L24" s="563">
        <v>24.2</v>
      </c>
      <c r="M24" s="539"/>
      <c r="N24" s="341">
        <v>23.4</v>
      </c>
      <c r="O24" s="341">
        <v>22.6</v>
      </c>
      <c r="P24" s="341">
        <v>23.7</v>
      </c>
      <c r="Q24" s="346">
        <v>22.1</v>
      </c>
      <c r="R24" s="341">
        <v>22.3</v>
      </c>
      <c r="S24" s="341">
        <v>21.8</v>
      </c>
      <c r="T24" s="563">
        <v>23.39653921873381</v>
      </c>
      <c r="U24" s="573">
        <v>23.801856412199278</v>
      </c>
      <c r="V24" s="563">
        <v>24.559099301709338</v>
      </c>
      <c r="W24" s="563">
        <v>25.684058199031302</v>
      </c>
      <c r="X24" s="563">
        <v>24.4</v>
      </c>
      <c r="Y24" s="573">
        <v>24.3</v>
      </c>
      <c r="Z24" s="563">
        <v>26</v>
      </c>
      <c r="AA24" s="563">
        <v>21.979191298179238</v>
      </c>
      <c r="AB24" s="563">
        <v>25.730659025787965</v>
      </c>
      <c r="AC24" s="573">
        <v>27</v>
      </c>
      <c r="AD24" s="563">
        <v>25.624073862988716</v>
      </c>
      <c r="AE24" s="563">
        <v>26.7</v>
      </c>
      <c r="AF24" s="563">
        <v>28.2</v>
      </c>
      <c r="AG24" s="573">
        <v>27.6</v>
      </c>
      <c r="AH24" s="563">
        <v>27.93109668109668</v>
      </c>
      <c r="AI24" s="563">
        <v>24.165824064711831</v>
      </c>
      <c r="AJ24" s="563">
        <v>26.755722209202403</v>
      </c>
      <c r="AK24" s="573">
        <v>27.884615384615387</v>
      </c>
      <c r="AL24" s="563">
        <v>27.365157196423421</v>
      </c>
      <c r="AM24" s="563">
        <v>25.5</v>
      </c>
      <c r="AN24" s="563">
        <v>26.405281056211244</v>
      </c>
      <c r="AO24" s="573">
        <v>25.897617059541396</v>
      </c>
      <c r="AP24" s="563">
        <v>24.259350915647317</v>
      </c>
      <c r="AQ24" s="563">
        <v>22.463812004118466</v>
      </c>
      <c r="AR24" s="563">
        <v>28.305732484076433</v>
      </c>
      <c r="AS24" s="573">
        <v>24.591304347826089</v>
      </c>
      <c r="AT24" s="563">
        <v>24.884140061791967</v>
      </c>
      <c r="AU24" s="563">
        <v>23.793787177792467</v>
      </c>
      <c r="AV24" s="563">
        <v>23.395879805799762</v>
      </c>
      <c r="AW24" s="573">
        <v>24.729645742697329</v>
      </c>
      <c r="AX24" s="563">
        <v>25.092328060762313</v>
      </c>
      <c r="AY24" s="563">
        <v>24.661717159621602</v>
      </c>
    </row>
    <row r="25" spans="1:51" ht="13">
      <c r="A25" s="560" t="s">
        <v>580</v>
      </c>
      <c r="B25" s="574"/>
      <c r="C25" s="574"/>
      <c r="D25" s="574"/>
      <c r="E25" s="575"/>
      <c r="F25" s="575"/>
      <c r="G25" s="575"/>
      <c r="H25" s="575"/>
      <c r="I25" s="576">
        <v>11775</v>
      </c>
      <c r="J25" s="576">
        <v>14078</v>
      </c>
      <c r="K25" s="576">
        <v>13768</v>
      </c>
      <c r="L25" s="576">
        <v>12962</v>
      </c>
      <c r="M25" s="539"/>
      <c r="N25" s="574"/>
      <c r="O25" s="574"/>
      <c r="P25" s="574"/>
      <c r="Q25" s="577"/>
      <c r="R25" s="574"/>
      <c r="S25" s="574"/>
      <c r="T25" s="575"/>
      <c r="U25" s="578"/>
      <c r="V25" s="575"/>
      <c r="W25" s="575"/>
      <c r="X25" s="575"/>
      <c r="Y25" s="578"/>
      <c r="Z25" s="575"/>
      <c r="AA25" s="575"/>
      <c r="AB25" s="575"/>
      <c r="AC25" s="578"/>
      <c r="AD25" s="575"/>
      <c r="AE25" s="575"/>
      <c r="AF25" s="575"/>
      <c r="AG25" s="578"/>
      <c r="AH25" s="579">
        <v>2755</v>
      </c>
      <c r="AI25" s="579">
        <v>2513</v>
      </c>
      <c r="AJ25" s="579">
        <v>3040</v>
      </c>
      <c r="AK25" s="580">
        <v>3467</v>
      </c>
      <c r="AL25" s="579">
        <v>3374</v>
      </c>
      <c r="AM25" s="579">
        <v>3605</v>
      </c>
      <c r="AN25" s="579">
        <v>3533</v>
      </c>
      <c r="AO25" s="580">
        <v>3566</v>
      </c>
      <c r="AP25" s="579">
        <v>2976</v>
      </c>
      <c r="AQ25" s="579">
        <v>3192</v>
      </c>
      <c r="AR25" s="579">
        <v>3896</v>
      </c>
      <c r="AS25" s="580">
        <v>3704</v>
      </c>
      <c r="AT25" s="579">
        <v>3353</v>
      </c>
      <c r="AU25" s="579">
        <v>3083</v>
      </c>
      <c r="AV25" s="579">
        <v>3047</v>
      </c>
      <c r="AW25" s="580">
        <v>3479</v>
      </c>
      <c r="AX25" s="579">
        <v>3103</v>
      </c>
      <c r="AY25" s="579">
        <v>3585</v>
      </c>
    </row>
    <row r="26" spans="1:51" ht="13">
      <c r="A26" s="560" t="s">
        <v>581</v>
      </c>
      <c r="B26" s="574"/>
      <c r="C26" s="574"/>
      <c r="D26" s="574"/>
      <c r="E26" s="575"/>
      <c r="F26" s="575"/>
      <c r="G26" s="575"/>
      <c r="H26" s="575"/>
      <c r="I26" s="575">
        <v>23.7</v>
      </c>
      <c r="J26" s="575">
        <v>23.3</v>
      </c>
      <c r="K26" s="575">
        <v>21.6</v>
      </c>
      <c r="L26" s="575">
        <v>20.9</v>
      </c>
      <c r="M26" s="539"/>
      <c r="N26" s="574"/>
      <c r="O26" s="574"/>
      <c r="P26" s="574"/>
      <c r="Q26" s="577"/>
      <c r="R26" s="574"/>
      <c r="S26" s="574"/>
      <c r="T26" s="575"/>
      <c r="U26" s="578"/>
      <c r="V26" s="575"/>
      <c r="W26" s="575"/>
      <c r="X26" s="575"/>
      <c r="Y26" s="578"/>
      <c r="Z26" s="575"/>
      <c r="AA26" s="575"/>
      <c r="AB26" s="575"/>
      <c r="AC26" s="578"/>
      <c r="AD26" s="575"/>
      <c r="AE26" s="575"/>
      <c r="AF26" s="575"/>
      <c r="AG26" s="578"/>
      <c r="AH26" s="575">
        <v>24.8</v>
      </c>
      <c r="AI26" s="575">
        <v>21.2</v>
      </c>
      <c r="AJ26" s="575">
        <v>23.7</v>
      </c>
      <c r="AK26" s="578">
        <v>24.9</v>
      </c>
      <c r="AL26" s="575">
        <v>24.3</v>
      </c>
      <c r="AM26" s="575">
        <v>22.7</v>
      </c>
      <c r="AN26" s="575">
        <v>23.6</v>
      </c>
      <c r="AO26" s="578">
        <v>22.9</v>
      </c>
      <c r="AP26" s="575">
        <v>21</v>
      </c>
      <c r="AQ26" s="575">
        <v>19.3</v>
      </c>
      <c r="AR26" s="575">
        <v>24.8</v>
      </c>
      <c r="AS26" s="578">
        <v>21.47121905976465</v>
      </c>
      <c r="AT26" s="575">
        <v>21.582131822863026</v>
      </c>
      <c r="AU26" s="575">
        <v>20.376734963648381</v>
      </c>
      <c r="AV26" s="575">
        <v>19.990814853693742</v>
      </c>
      <c r="AW26" s="578">
        <v>21.622125543816033</v>
      </c>
      <c r="AX26" s="575">
        <v>21.622186607205073</v>
      </c>
      <c r="AY26" s="575">
        <v>21.537371590506556</v>
      </c>
    </row>
    <row r="27" spans="1:51" ht="13">
      <c r="A27" s="560" t="s">
        <v>582</v>
      </c>
      <c r="B27" s="581"/>
      <c r="C27" s="581"/>
      <c r="D27" s="582"/>
      <c r="E27" s="576">
        <v>7779</v>
      </c>
      <c r="F27" s="576">
        <v>8582</v>
      </c>
      <c r="G27" s="576">
        <v>7669</v>
      </c>
      <c r="H27" s="576">
        <v>9098</v>
      </c>
      <c r="I27" s="576">
        <v>11755</v>
      </c>
      <c r="J27" s="576">
        <v>13117</v>
      </c>
      <c r="K27" s="576">
        <v>12624</v>
      </c>
      <c r="L27" s="576">
        <v>12125</v>
      </c>
      <c r="M27" s="539"/>
      <c r="N27" s="579"/>
      <c r="O27" s="579"/>
      <c r="P27" s="579"/>
      <c r="Q27" s="580"/>
      <c r="R27" s="576">
        <v>1611</v>
      </c>
      <c r="S27" s="576">
        <v>1991</v>
      </c>
      <c r="T27" s="576">
        <v>2024</v>
      </c>
      <c r="U27" s="583">
        <v>2154</v>
      </c>
      <c r="V27" s="576">
        <v>1989</v>
      </c>
      <c r="W27" s="576">
        <v>2301.5304182700002</v>
      </c>
      <c r="X27" s="576">
        <v>2160.4103993842</v>
      </c>
      <c r="Y27" s="584">
        <v>2131.060167183</v>
      </c>
      <c r="Z27" s="585">
        <v>1911</v>
      </c>
      <c r="AA27" s="585">
        <v>1583</v>
      </c>
      <c r="AB27" s="585">
        <v>1896</v>
      </c>
      <c r="AC27" s="586">
        <v>2279</v>
      </c>
      <c r="AD27" s="576">
        <v>2016</v>
      </c>
      <c r="AE27" s="576">
        <v>2197</v>
      </c>
      <c r="AF27" s="576">
        <v>2331</v>
      </c>
      <c r="AG27" s="586">
        <v>2554</v>
      </c>
      <c r="AH27" s="576">
        <v>2588</v>
      </c>
      <c r="AI27" s="576">
        <v>2801</v>
      </c>
      <c r="AJ27" s="576">
        <v>3064</v>
      </c>
      <c r="AK27" s="586">
        <v>3302</v>
      </c>
      <c r="AL27" s="576">
        <v>3187</v>
      </c>
      <c r="AM27" s="576">
        <f>3413+16</f>
        <v>3429</v>
      </c>
      <c r="AN27" s="576">
        <v>3272</v>
      </c>
      <c r="AO27" s="586">
        <v>3229</v>
      </c>
      <c r="AP27" s="576">
        <v>2887</v>
      </c>
      <c r="AQ27" s="576">
        <v>3246</v>
      </c>
      <c r="AR27" s="576">
        <v>3086</v>
      </c>
      <c r="AS27" s="586">
        <v>3405</v>
      </c>
      <c r="AT27" s="576">
        <v>3099</v>
      </c>
      <c r="AU27" s="576">
        <v>2984</v>
      </c>
      <c r="AV27" s="576">
        <v>2896</v>
      </c>
      <c r="AW27" s="586">
        <v>3146</v>
      </c>
      <c r="AX27" s="576">
        <v>2868</v>
      </c>
      <c r="AY27" s="576">
        <v>3349</v>
      </c>
    </row>
    <row r="28" spans="1:51" ht="13">
      <c r="A28" s="552" t="s">
        <v>583</v>
      </c>
      <c r="B28" s="587"/>
      <c r="C28" s="569"/>
      <c r="D28" s="569"/>
      <c r="E28" s="569">
        <f>E27/E8*100</f>
        <v>20.318521036809134</v>
      </c>
      <c r="F28" s="588">
        <v>20.984601826238098</v>
      </c>
      <c r="G28" s="588">
        <v>21.2</v>
      </c>
      <c r="H28" s="588">
        <v>22.9</v>
      </c>
      <c r="I28" s="588">
        <v>23.7</v>
      </c>
      <c r="J28" s="588">
        <v>21.7</v>
      </c>
      <c r="K28" s="588">
        <v>19.8</v>
      </c>
      <c r="L28" s="588">
        <v>19.600000000000001</v>
      </c>
      <c r="M28" s="539"/>
      <c r="N28" s="569"/>
      <c r="O28" s="569"/>
      <c r="P28" s="569"/>
      <c r="Q28" s="569"/>
      <c r="R28" s="589">
        <v>19.600000000000001</v>
      </c>
      <c r="S28" s="588">
        <v>20.2</v>
      </c>
      <c r="T28" s="588">
        <v>20.971920008289295</v>
      </c>
      <c r="U28" s="590">
        <v>20.401591210456527</v>
      </c>
      <c r="V28" s="588">
        <v>20.3</v>
      </c>
      <c r="W28" s="588">
        <v>21.659424226143422</v>
      </c>
      <c r="X28" s="588">
        <v>21.268068511362472</v>
      </c>
      <c r="Y28" s="590">
        <v>20.730157268317122</v>
      </c>
      <c r="Z28" s="588">
        <v>20.9</v>
      </c>
      <c r="AA28" s="588">
        <v>18.712461574840386</v>
      </c>
      <c r="AB28" s="588">
        <v>21.730857404860153</v>
      </c>
      <c r="AC28" s="590">
        <v>23.240872934937791</v>
      </c>
      <c r="AD28" s="588">
        <v>22.979596489228314</v>
      </c>
      <c r="AE28" s="588">
        <v>22.6</v>
      </c>
      <c r="AF28" s="588">
        <v>23.4</v>
      </c>
      <c r="AG28" s="590">
        <v>22.9</v>
      </c>
      <c r="AH28" s="588">
        <v>23.340548340548338</v>
      </c>
      <c r="AI28" s="588">
        <v>23.6</v>
      </c>
      <c r="AJ28" s="588">
        <v>23.93376034994532</v>
      </c>
      <c r="AK28" s="590">
        <v>23.694029850746269</v>
      </c>
      <c r="AL28" s="588">
        <v>22.980963368906838</v>
      </c>
      <c r="AM28" s="588">
        <v>21.6</v>
      </c>
      <c r="AN28" s="588">
        <v>21.817696872707877</v>
      </c>
      <c r="AO28" s="590">
        <v>20.741264131551901</v>
      </c>
      <c r="AP28" s="563">
        <v>20.412925121968463</v>
      </c>
      <c r="AQ28" s="588">
        <v>19.7</v>
      </c>
      <c r="AR28" s="588">
        <v>19.657303012930761</v>
      </c>
      <c r="AS28" s="590">
        <v>19.737986203698334</v>
      </c>
      <c r="AT28" s="563">
        <v>19.899999999999999</v>
      </c>
      <c r="AU28" s="588">
        <v>19.722405816259091</v>
      </c>
      <c r="AV28" s="588">
        <v>19.000131216375806</v>
      </c>
      <c r="AW28" s="590">
        <v>19.552517091361093</v>
      </c>
      <c r="AX28" s="563">
        <v>19.98467005783569</v>
      </c>
      <c r="AY28" s="588">
        <v>20.051490839420431</v>
      </c>
    </row>
    <row r="29" spans="1:51" ht="13">
      <c r="A29" s="552" t="s">
        <v>584</v>
      </c>
      <c r="B29" s="349"/>
      <c r="C29" s="349">
        <v>4548</v>
      </c>
      <c r="D29" s="349">
        <v>5930</v>
      </c>
      <c r="E29" s="349">
        <v>7385</v>
      </c>
      <c r="F29" s="349">
        <v>8136</v>
      </c>
      <c r="G29" s="349">
        <v>7382</v>
      </c>
      <c r="H29" s="349">
        <v>8995</v>
      </c>
      <c r="I29" s="349">
        <v>11147</v>
      </c>
      <c r="J29" s="349">
        <v>13183</v>
      </c>
      <c r="K29" s="349">
        <v>12385</v>
      </c>
      <c r="L29" s="349">
        <v>11925</v>
      </c>
      <c r="M29" s="539"/>
      <c r="N29" s="349">
        <v>1414</v>
      </c>
      <c r="O29" s="349">
        <v>1468</v>
      </c>
      <c r="P29" s="349">
        <v>1520</v>
      </c>
      <c r="Q29" s="350">
        <v>1528</v>
      </c>
      <c r="R29" s="349">
        <v>1515</v>
      </c>
      <c r="S29" s="349">
        <v>1810</v>
      </c>
      <c r="T29" s="349">
        <v>1898</v>
      </c>
      <c r="U29" s="350">
        <v>2162</v>
      </c>
      <c r="V29" s="349">
        <v>1930</v>
      </c>
      <c r="W29" s="349">
        <v>2263</v>
      </c>
      <c r="X29" s="349">
        <v>1927</v>
      </c>
      <c r="Y29" s="350">
        <v>2016</v>
      </c>
      <c r="Z29" s="349">
        <v>1932</v>
      </c>
      <c r="AA29" s="349">
        <v>1418</v>
      </c>
      <c r="AB29" s="349">
        <v>1820</v>
      </c>
      <c r="AC29" s="350">
        <v>2212</v>
      </c>
      <c r="AD29" s="349">
        <v>1867</v>
      </c>
      <c r="AE29" s="349">
        <v>2182</v>
      </c>
      <c r="AF29" s="349">
        <v>2352</v>
      </c>
      <c r="AG29" s="350">
        <v>2594</v>
      </c>
      <c r="AH29" s="349">
        <v>2631</v>
      </c>
      <c r="AI29" s="349">
        <v>2381</v>
      </c>
      <c r="AJ29" s="349">
        <v>2900</v>
      </c>
      <c r="AK29" s="350">
        <v>3235</v>
      </c>
      <c r="AL29" s="349">
        <v>3161</v>
      </c>
      <c r="AM29" s="349">
        <v>3413</v>
      </c>
      <c r="AN29" s="349">
        <v>3260</v>
      </c>
      <c r="AO29" s="350">
        <v>3349</v>
      </c>
      <c r="AP29" s="591">
        <v>2760</v>
      </c>
      <c r="AQ29" s="349">
        <v>2921</v>
      </c>
      <c r="AR29" s="349">
        <v>3277</v>
      </c>
      <c r="AS29" s="350">
        <v>3427</v>
      </c>
      <c r="AT29" s="591">
        <v>3088</v>
      </c>
      <c r="AU29" s="349">
        <v>2831</v>
      </c>
      <c r="AV29" s="349">
        <v>2802</v>
      </c>
      <c r="AW29" s="350">
        <v>3204</v>
      </c>
      <c r="AX29" s="591">
        <v>2846</v>
      </c>
      <c r="AY29" s="349">
        <v>3316</v>
      </c>
    </row>
    <row r="30" spans="1:51" ht="13">
      <c r="A30" s="552" t="s">
        <v>585</v>
      </c>
      <c r="B30" s="341"/>
      <c r="C30" s="592" t="s">
        <v>586</v>
      </c>
      <c r="D30" s="593" t="s">
        <v>587</v>
      </c>
      <c r="E30" s="593" t="s">
        <v>588</v>
      </c>
      <c r="F30" s="592" t="s">
        <v>589</v>
      </c>
      <c r="G30" s="592" t="s">
        <v>590</v>
      </c>
      <c r="H30" s="592">
        <v>22.7</v>
      </c>
      <c r="I30" s="592">
        <v>22.4</v>
      </c>
      <c r="J30" s="592">
        <v>21.8</v>
      </c>
      <c r="K30" s="592">
        <v>19.5</v>
      </c>
      <c r="L30" s="592">
        <v>19.2</v>
      </c>
      <c r="M30" s="594"/>
      <c r="N30" s="595">
        <f>N29/N8*100</f>
        <v>19.079746323033326</v>
      </c>
      <c r="O30" s="595">
        <f>O29/O8*100</f>
        <v>18.63180606675974</v>
      </c>
      <c r="P30" s="595">
        <f>P29/P8*100</f>
        <v>19.973718791064389</v>
      </c>
      <c r="Q30" s="596">
        <f>Q29/Q8*100</f>
        <v>18.052930056710775</v>
      </c>
      <c r="R30" s="592" t="s">
        <v>591</v>
      </c>
      <c r="S30" s="592" t="s">
        <v>591</v>
      </c>
      <c r="T30" s="592" t="s">
        <v>592</v>
      </c>
      <c r="U30" s="597" t="s">
        <v>593</v>
      </c>
      <c r="V30" s="592" t="s">
        <v>592</v>
      </c>
      <c r="W30" s="592" t="s">
        <v>171</v>
      </c>
      <c r="X30" s="592" t="s">
        <v>594</v>
      </c>
      <c r="Y30" s="597" t="s">
        <v>595</v>
      </c>
      <c r="Z30" s="592" t="s">
        <v>596</v>
      </c>
      <c r="AA30" s="592" t="s">
        <v>586</v>
      </c>
      <c r="AB30" s="592" t="s">
        <v>597</v>
      </c>
      <c r="AC30" s="597" t="s">
        <v>598</v>
      </c>
      <c r="AD30" s="595">
        <v>21.281203693149436</v>
      </c>
      <c r="AE30" s="595">
        <v>22.4</v>
      </c>
      <c r="AF30" s="595">
        <v>23.6</v>
      </c>
      <c r="AG30" s="597">
        <v>23.2</v>
      </c>
      <c r="AH30" s="595">
        <v>23.728354978354979</v>
      </c>
      <c r="AI30" s="595">
        <v>20.062352544657905</v>
      </c>
      <c r="AJ30" s="595">
        <v>22.652710513982193</v>
      </c>
      <c r="AK30" s="596">
        <v>23.213260619977039</v>
      </c>
      <c r="AL30" s="595">
        <v>22.793481396019612</v>
      </c>
      <c r="AM30" s="595">
        <v>21.5</v>
      </c>
      <c r="AN30" s="595">
        <v>21.737680869507233</v>
      </c>
      <c r="AO30" s="596">
        <v>21.512076053442961</v>
      </c>
      <c r="AP30" s="588">
        <v>19.514954394400057</v>
      </c>
      <c r="AQ30" s="595">
        <v>17.691236145599902</v>
      </c>
      <c r="AR30" s="595">
        <v>20.873941015351296</v>
      </c>
      <c r="AS30" s="596">
        <v>19.865515042606223</v>
      </c>
      <c r="AT30" s="588">
        <v>19.899999999999999</v>
      </c>
      <c r="AU30" s="595">
        <v>18.711169861202908</v>
      </c>
      <c r="AV30" s="595">
        <v>18.399999999999999</v>
      </c>
      <c r="AW30" s="596">
        <v>19.912989434431324</v>
      </c>
      <c r="AX30" s="588">
        <v>19.831370636192599</v>
      </c>
      <c r="AY30" s="595">
        <v>19.853909711411806</v>
      </c>
    </row>
    <row r="31" spans="1:51" ht="13">
      <c r="A31" s="168" t="s">
        <v>282</v>
      </c>
      <c r="B31" s="598">
        <v>4955</v>
      </c>
      <c r="C31" s="598">
        <v>4411</v>
      </c>
      <c r="D31" s="598">
        <v>5793</v>
      </c>
      <c r="E31" s="598">
        <v>7201</v>
      </c>
      <c r="F31" s="598">
        <v>7843</v>
      </c>
      <c r="G31" s="598">
        <v>7087</v>
      </c>
      <c r="H31" s="598">
        <v>8964</v>
      </c>
      <c r="I31" s="598">
        <v>10778</v>
      </c>
      <c r="J31" s="598">
        <v>12235</v>
      </c>
      <c r="K31" s="598">
        <v>11439</v>
      </c>
      <c r="L31" s="598">
        <v>11236</v>
      </c>
      <c r="M31" s="539"/>
      <c r="N31" s="598">
        <v>1391</v>
      </c>
      <c r="O31" s="598">
        <v>1458</v>
      </c>
      <c r="P31" s="598">
        <v>1501</v>
      </c>
      <c r="Q31" s="583">
        <v>1443</v>
      </c>
      <c r="R31" s="598">
        <v>1458</v>
      </c>
      <c r="S31" s="598">
        <v>1766</v>
      </c>
      <c r="T31" s="598">
        <v>1861</v>
      </c>
      <c r="U31" s="583">
        <v>2116</v>
      </c>
      <c r="V31" s="571">
        <v>1830</v>
      </c>
      <c r="W31" s="598">
        <v>2225</v>
      </c>
      <c r="X31" s="598">
        <v>1866</v>
      </c>
      <c r="Y31" s="583">
        <v>1922</v>
      </c>
      <c r="Z31" s="598">
        <v>1886</v>
      </c>
      <c r="AA31" s="598">
        <v>1367</v>
      </c>
      <c r="AB31" s="598">
        <v>1744</v>
      </c>
      <c r="AC31" s="583">
        <v>2090</v>
      </c>
      <c r="AD31" s="598">
        <v>1834</v>
      </c>
      <c r="AE31" s="598">
        <v>2138</v>
      </c>
      <c r="AF31" s="598">
        <v>2425</v>
      </c>
      <c r="AG31" s="583">
        <v>2567</v>
      </c>
      <c r="AH31" s="598">
        <v>2564</v>
      </c>
      <c r="AI31" s="598">
        <v>2292</v>
      </c>
      <c r="AJ31" s="598">
        <v>2876</v>
      </c>
      <c r="AK31" s="583">
        <v>3046</v>
      </c>
      <c r="AL31" s="598">
        <v>2964</v>
      </c>
      <c r="AM31" s="598">
        <v>3428</v>
      </c>
      <c r="AN31" s="598">
        <v>2929</v>
      </c>
      <c r="AO31" s="583">
        <v>2914</v>
      </c>
      <c r="AP31" s="349">
        <v>2644</v>
      </c>
      <c r="AQ31" s="598">
        <v>2656</v>
      </c>
      <c r="AR31" s="598">
        <v>3013</v>
      </c>
      <c r="AS31" s="583">
        <v>3126</v>
      </c>
      <c r="AT31" s="349">
        <v>2881</v>
      </c>
      <c r="AU31" s="598">
        <v>2700</v>
      </c>
      <c r="AV31" s="598">
        <v>2566</v>
      </c>
      <c r="AW31" s="583">
        <v>3089</v>
      </c>
      <c r="AX31" s="349">
        <v>2762</v>
      </c>
      <c r="AY31" s="598">
        <v>3186</v>
      </c>
    </row>
    <row r="32" spans="1:51" ht="13">
      <c r="A32" s="552" t="s">
        <v>599</v>
      </c>
      <c r="B32" s="599" t="s">
        <v>600</v>
      </c>
      <c r="C32" s="599" t="s">
        <v>601</v>
      </c>
      <c r="D32" s="599" t="s">
        <v>602</v>
      </c>
      <c r="E32" s="599" t="s">
        <v>603</v>
      </c>
      <c r="F32" s="599" t="s">
        <v>604</v>
      </c>
      <c r="G32" s="599" t="s">
        <v>595</v>
      </c>
      <c r="H32" s="592">
        <v>22.6</v>
      </c>
      <c r="I32" s="592">
        <v>21.7</v>
      </c>
      <c r="J32" s="592">
        <v>20.3</v>
      </c>
      <c r="K32" s="595">
        <v>18</v>
      </c>
      <c r="L32" s="595">
        <v>18.100000000000001</v>
      </c>
      <c r="M32" s="539"/>
      <c r="N32" s="599" t="s">
        <v>603</v>
      </c>
      <c r="O32" s="599" t="s">
        <v>602</v>
      </c>
      <c r="P32" s="599" t="s">
        <v>592</v>
      </c>
      <c r="Q32" s="600" t="s">
        <v>605</v>
      </c>
      <c r="R32" s="599" t="s">
        <v>606</v>
      </c>
      <c r="S32" s="599" t="s">
        <v>607</v>
      </c>
      <c r="T32" s="599" t="s">
        <v>588</v>
      </c>
      <c r="U32" s="600" t="s">
        <v>608</v>
      </c>
      <c r="V32" s="599" t="s">
        <v>609</v>
      </c>
      <c r="W32" s="599" t="s">
        <v>597</v>
      </c>
      <c r="X32" s="599" t="s">
        <v>591</v>
      </c>
      <c r="Y32" s="600" t="s">
        <v>609</v>
      </c>
      <c r="Z32" s="599" t="s">
        <v>610</v>
      </c>
      <c r="AA32" s="599" t="s">
        <v>611</v>
      </c>
      <c r="AB32" s="599" t="s">
        <v>608</v>
      </c>
      <c r="AC32" s="600" t="s">
        <v>171</v>
      </c>
      <c r="AD32" s="595">
        <v>20.905049583950799</v>
      </c>
      <c r="AE32" s="595">
        <v>22</v>
      </c>
      <c r="AF32" s="595">
        <v>24.3</v>
      </c>
      <c r="AG32" s="596">
        <v>23</v>
      </c>
      <c r="AH32" s="595">
        <v>23.1</v>
      </c>
      <c r="AI32" s="595">
        <v>19.3</v>
      </c>
      <c r="AJ32" s="595">
        <v>22.465239806280302</v>
      </c>
      <c r="AK32" s="596">
        <v>21.857060849598163</v>
      </c>
      <c r="AL32" s="595">
        <v>21.372944909143353</v>
      </c>
      <c r="AM32" s="595">
        <v>21.5</v>
      </c>
      <c r="AN32" s="595">
        <v>19.530572781222912</v>
      </c>
      <c r="AO32" s="596">
        <v>18.717882836587872</v>
      </c>
      <c r="AP32" s="595">
        <v>18.694760658983242</v>
      </c>
      <c r="AQ32" s="595">
        <v>16.086245533280845</v>
      </c>
      <c r="AR32" s="595">
        <v>19.192305242372125</v>
      </c>
      <c r="AS32" s="596">
        <v>18.120688655730103</v>
      </c>
      <c r="AT32" s="595">
        <v>18.544026776519051</v>
      </c>
      <c r="AU32" s="595">
        <v>17.84534038334435</v>
      </c>
      <c r="AV32" s="595">
        <v>16.835061015614748</v>
      </c>
      <c r="AW32" s="596">
        <v>19.198259788688627</v>
      </c>
      <c r="AX32" s="595">
        <v>19.246045571737159</v>
      </c>
      <c r="AY32" s="595">
        <v>19.075559813196026</v>
      </c>
    </row>
    <row r="33" spans="1:51" ht="13">
      <c r="A33" s="552" t="s">
        <v>287</v>
      </c>
      <c r="B33" s="555">
        <v>3571</v>
      </c>
      <c r="C33" s="555">
        <v>3231</v>
      </c>
      <c r="D33" s="555">
        <v>4298</v>
      </c>
      <c r="E33" s="555">
        <v>5437</v>
      </c>
      <c r="F33" s="598">
        <v>5884</v>
      </c>
      <c r="G33" s="598">
        <v>5410</v>
      </c>
      <c r="H33" s="598">
        <v>7069</v>
      </c>
      <c r="I33" s="598">
        <v>8411</v>
      </c>
      <c r="J33" s="598">
        <v>9458</v>
      </c>
      <c r="K33" s="598">
        <v>8756</v>
      </c>
      <c r="L33" s="598">
        <v>8599</v>
      </c>
      <c r="M33" s="539"/>
      <c r="N33" s="555">
        <v>1049</v>
      </c>
      <c r="O33" s="555">
        <v>1078</v>
      </c>
      <c r="P33" s="555">
        <v>1067</v>
      </c>
      <c r="Q33" s="556">
        <v>1104</v>
      </c>
      <c r="R33" s="555">
        <v>1081</v>
      </c>
      <c r="S33" s="555">
        <v>1321</v>
      </c>
      <c r="T33" s="555">
        <v>1412</v>
      </c>
      <c r="U33" s="556">
        <v>1623</v>
      </c>
      <c r="V33" s="555">
        <v>1374</v>
      </c>
      <c r="W33" s="555">
        <v>1680</v>
      </c>
      <c r="X33" s="555">
        <v>1341</v>
      </c>
      <c r="Y33" s="556">
        <v>1489</v>
      </c>
      <c r="Z33" s="555">
        <v>1422</v>
      </c>
      <c r="AA33" s="555">
        <v>1027</v>
      </c>
      <c r="AB33" s="555">
        <v>1324</v>
      </c>
      <c r="AC33" s="556">
        <v>1637</v>
      </c>
      <c r="AD33" s="598">
        <v>1390</v>
      </c>
      <c r="AE33" s="598">
        <v>1693</v>
      </c>
      <c r="AF33" s="598">
        <v>1929</v>
      </c>
      <c r="AG33" s="556">
        <v>2057</v>
      </c>
      <c r="AH33" s="598">
        <v>2000</v>
      </c>
      <c r="AI33" s="598">
        <v>1773</v>
      </c>
      <c r="AJ33" s="598">
        <v>2243</v>
      </c>
      <c r="AK33" s="556">
        <v>2395</v>
      </c>
      <c r="AL33" s="598">
        <v>2293</v>
      </c>
      <c r="AM33" s="598">
        <v>2653</v>
      </c>
      <c r="AN33" s="598">
        <v>2244</v>
      </c>
      <c r="AO33" s="556">
        <v>2268</v>
      </c>
      <c r="AP33" s="598">
        <v>2010</v>
      </c>
      <c r="AQ33" s="598">
        <v>2044</v>
      </c>
      <c r="AR33" s="598">
        <v>2323</v>
      </c>
      <c r="AS33" s="556">
        <v>2379</v>
      </c>
      <c r="AT33" s="598">
        <v>2196</v>
      </c>
      <c r="AU33" s="598">
        <v>2103</v>
      </c>
      <c r="AV33" s="598">
        <v>1953</v>
      </c>
      <c r="AW33" s="556">
        <v>2347</v>
      </c>
      <c r="AX33" s="598">
        <v>2105</v>
      </c>
      <c r="AY33" s="598">
        <v>2426</v>
      </c>
    </row>
    <row r="34" spans="1:51" ht="13">
      <c r="A34" s="552"/>
      <c r="B34" s="560"/>
      <c r="C34" s="560"/>
      <c r="D34" s="561"/>
      <c r="E34" s="561"/>
      <c r="F34" s="341"/>
      <c r="G34" s="341"/>
      <c r="H34" s="341"/>
      <c r="I34" s="341"/>
      <c r="J34" s="341"/>
      <c r="K34" s="341"/>
      <c r="L34" s="341"/>
      <c r="M34" s="539"/>
      <c r="N34" s="341"/>
      <c r="O34" s="341"/>
      <c r="P34" s="341"/>
      <c r="Q34" s="346"/>
      <c r="R34" s="560"/>
      <c r="S34" s="560"/>
      <c r="T34" s="560"/>
      <c r="U34" s="346"/>
      <c r="V34" s="341"/>
      <c r="W34" s="341"/>
      <c r="X34" s="341"/>
      <c r="Y34" s="346"/>
      <c r="Z34" s="341"/>
      <c r="AA34" s="341"/>
      <c r="AB34" s="341"/>
      <c r="AC34" s="346"/>
      <c r="AD34" s="341"/>
      <c r="AE34" s="341"/>
      <c r="AF34" s="341"/>
      <c r="AG34" s="346"/>
      <c r="AH34" s="341"/>
      <c r="AI34" s="341"/>
      <c r="AJ34" s="341"/>
      <c r="AK34" s="346"/>
      <c r="AL34" s="341"/>
      <c r="AM34" s="341"/>
      <c r="AN34" s="341"/>
      <c r="AO34" s="346"/>
      <c r="AP34" s="341"/>
      <c r="AQ34" s="341"/>
      <c r="AR34" s="341"/>
      <c r="AS34" s="346"/>
      <c r="AT34" s="341"/>
      <c r="AU34" s="341"/>
      <c r="AV34" s="341"/>
      <c r="AW34" s="346"/>
      <c r="AX34" s="341"/>
      <c r="AY34" s="341"/>
    </row>
    <row r="35" spans="1:51" ht="13">
      <c r="A35" s="548" t="s">
        <v>612</v>
      </c>
      <c r="B35" s="560"/>
      <c r="C35" s="560"/>
      <c r="D35" s="561"/>
      <c r="E35" s="561"/>
      <c r="F35" s="341"/>
      <c r="G35" s="341"/>
      <c r="H35" s="341"/>
      <c r="I35" s="341"/>
      <c r="J35" s="341"/>
      <c r="K35" s="341"/>
      <c r="L35" s="341"/>
      <c r="M35" s="539"/>
      <c r="N35" s="341"/>
      <c r="O35" s="341"/>
      <c r="P35" s="341"/>
      <c r="Q35" s="346"/>
      <c r="R35" s="341"/>
      <c r="S35" s="341"/>
      <c r="T35" s="341"/>
      <c r="U35" s="346"/>
      <c r="V35" s="341"/>
      <c r="W35" s="341"/>
      <c r="X35" s="341"/>
      <c r="Y35" s="346"/>
      <c r="Z35" s="341"/>
      <c r="AA35" s="341"/>
      <c r="AB35" s="341"/>
      <c r="AC35" s="346"/>
      <c r="AD35" s="341"/>
      <c r="AE35" s="341"/>
      <c r="AF35" s="341"/>
      <c r="AG35" s="346"/>
      <c r="AH35" s="341"/>
      <c r="AI35" s="341"/>
      <c r="AJ35" s="341"/>
      <c r="AK35" s="346"/>
      <c r="AL35" s="341"/>
      <c r="AM35" s="341"/>
      <c r="AN35" s="341"/>
      <c r="AO35" s="346"/>
      <c r="AP35" s="341"/>
      <c r="AQ35" s="341"/>
      <c r="AR35" s="341"/>
      <c r="AS35" s="346"/>
      <c r="AT35" s="341"/>
      <c r="AU35" s="341"/>
      <c r="AV35" s="341"/>
      <c r="AW35" s="346"/>
      <c r="AX35" s="341"/>
      <c r="AY35" s="341"/>
    </row>
    <row r="36" spans="1:51" ht="13">
      <c r="A36" s="552" t="s">
        <v>613</v>
      </c>
      <c r="B36" s="349">
        <v>22400</v>
      </c>
      <c r="C36" s="349">
        <v>23933</v>
      </c>
      <c r="D36" s="349">
        <v>19286</v>
      </c>
      <c r="E36" s="349">
        <v>25927</v>
      </c>
      <c r="F36" s="349">
        <v>31838</v>
      </c>
      <c r="G36" s="349">
        <v>34700</v>
      </c>
      <c r="H36" s="349">
        <v>35329</v>
      </c>
      <c r="I36" s="349">
        <v>44534</v>
      </c>
      <c r="J36" s="349">
        <v>51437</v>
      </c>
      <c r="K36" s="349">
        <v>65398</v>
      </c>
      <c r="L36" s="349">
        <v>63473</v>
      </c>
      <c r="M36" s="539"/>
      <c r="N36" s="349">
        <v>22564</v>
      </c>
      <c r="O36" s="349">
        <v>22961</v>
      </c>
      <c r="P36" s="349">
        <v>19626</v>
      </c>
      <c r="Q36" s="350">
        <v>19286</v>
      </c>
      <c r="R36" s="349">
        <v>20895</v>
      </c>
      <c r="S36" s="349">
        <v>24822</v>
      </c>
      <c r="T36" s="349">
        <v>24502</v>
      </c>
      <c r="U36" s="350">
        <v>25928</v>
      </c>
      <c r="V36" s="349">
        <v>29719</v>
      </c>
      <c r="W36" s="349">
        <v>29001</v>
      </c>
      <c r="X36" s="349">
        <v>31101</v>
      </c>
      <c r="Y36" s="350">
        <v>31838</v>
      </c>
      <c r="Z36" s="349">
        <v>33800</v>
      </c>
      <c r="AA36" s="349">
        <v>34582</v>
      </c>
      <c r="AB36" s="349">
        <v>35244</v>
      </c>
      <c r="AC36" s="350">
        <v>34700</v>
      </c>
      <c r="AD36" s="349">
        <v>36816</v>
      </c>
      <c r="AE36" s="349">
        <v>31698</v>
      </c>
      <c r="AF36" s="349">
        <v>33881</v>
      </c>
      <c r="AG36" s="350">
        <v>35329</v>
      </c>
      <c r="AH36" s="349">
        <v>38250</v>
      </c>
      <c r="AI36" s="349">
        <v>38294</v>
      </c>
      <c r="AJ36" s="349">
        <v>42560</v>
      </c>
      <c r="AK36" s="350">
        <v>44534</v>
      </c>
      <c r="AL36" s="349">
        <v>47401</v>
      </c>
      <c r="AM36" s="349">
        <v>49523</v>
      </c>
      <c r="AN36" s="349">
        <v>51181</v>
      </c>
      <c r="AO36" s="350">
        <v>51437</v>
      </c>
      <c r="AP36" s="349">
        <v>60896</v>
      </c>
      <c r="AQ36" s="349">
        <v>60750</v>
      </c>
      <c r="AR36" s="349">
        <v>62285</v>
      </c>
      <c r="AS36" s="350">
        <v>65398</v>
      </c>
      <c r="AT36" s="349">
        <v>64008</v>
      </c>
      <c r="AU36" s="349">
        <v>60113</v>
      </c>
      <c r="AV36" s="349">
        <v>62124</v>
      </c>
      <c r="AW36" s="350">
        <v>63473</v>
      </c>
      <c r="AX36" s="349">
        <v>65947</v>
      </c>
      <c r="AY36" s="349">
        <v>63563</v>
      </c>
    </row>
    <row r="37" spans="1:51" ht="13">
      <c r="A37" s="552" t="s">
        <v>219</v>
      </c>
      <c r="B37" s="349">
        <v>21727</v>
      </c>
      <c r="C37" s="349">
        <v>23167</v>
      </c>
      <c r="D37" s="349">
        <v>21674</v>
      </c>
      <c r="E37" s="349">
        <v>23086</v>
      </c>
      <c r="F37" s="349">
        <v>29518</v>
      </c>
      <c r="G37" s="349">
        <v>34033</v>
      </c>
      <c r="H37" s="349">
        <v>34485</v>
      </c>
      <c r="I37" s="349">
        <v>39794</v>
      </c>
      <c r="J37" s="349">
        <v>48815</v>
      </c>
      <c r="K37" s="349">
        <v>60153</v>
      </c>
      <c r="L37" s="349">
        <v>63023</v>
      </c>
      <c r="M37" s="539"/>
      <c r="N37" s="349"/>
      <c r="O37" s="349"/>
      <c r="P37" s="349"/>
      <c r="Q37" s="350"/>
      <c r="R37" s="349">
        <v>21066</v>
      </c>
      <c r="S37" s="349">
        <v>21518</v>
      </c>
      <c r="T37" s="349">
        <v>21826</v>
      </c>
      <c r="U37" s="350">
        <v>23086</v>
      </c>
      <c r="V37" s="349">
        <v>25173</v>
      </c>
      <c r="W37" s="349">
        <v>26794</v>
      </c>
      <c r="X37" s="349">
        <v>28050</v>
      </c>
      <c r="Y37" s="350">
        <v>29518</v>
      </c>
      <c r="Z37" s="349">
        <v>31092</v>
      </c>
      <c r="AA37" s="349">
        <v>32065</v>
      </c>
      <c r="AB37" s="349">
        <v>33313</v>
      </c>
      <c r="AC37" s="350">
        <v>34033</v>
      </c>
      <c r="AD37" s="349">
        <v>35029</v>
      </c>
      <c r="AE37" s="349">
        <v>34608</v>
      </c>
      <c r="AF37" s="349">
        <v>34468</v>
      </c>
      <c r="AG37" s="350">
        <v>34485</v>
      </c>
      <c r="AH37" s="349">
        <v>35195</v>
      </c>
      <c r="AI37" s="349">
        <v>35491</v>
      </c>
      <c r="AJ37" s="349">
        <v>37663</v>
      </c>
      <c r="AK37" s="350">
        <v>39794</v>
      </c>
      <c r="AL37" s="349">
        <v>42208</v>
      </c>
      <c r="AM37" s="349">
        <v>44463</v>
      </c>
      <c r="AN37" s="349">
        <v>47040</v>
      </c>
      <c r="AO37" s="350">
        <v>48815</v>
      </c>
      <c r="AP37" s="349">
        <v>52087</v>
      </c>
      <c r="AQ37" s="349">
        <v>54757</v>
      </c>
      <c r="AR37" s="349">
        <v>57310</v>
      </c>
      <c r="AS37" s="350">
        <v>60153</v>
      </c>
      <c r="AT37" s="349">
        <v>62667</v>
      </c>
      <c r="AU37" s="349">
        <v>62511</v>
      </c>
      <c r="AV37" s="349">
        <v>62786</v>
      </c>
      <c r="AW37" s="350">
        <v>63023</v>
      </c>
      <c r="AX37" s="349">
        <v>63133</v>
      </c>
      <c r="AY37" s="349">
        <v>63044</v>
      </c>
    </row>
    <row r="38" spans="1:51" ht="13">
      <c r="A38" s="601" t="s">
        <v>614</v>
      </c>
      <c r="B38" s="567"/>
      <c r="C38" s="602">
        <v>22696</v>
      </c>
      <c r="D38" s="555">
        <v>20812</v>
      </c>
      <c r="E38" s="555">
        <v>19469</v>
      </c>
      <c r="F38" s="349">
        <v>23221</v>
      </c>
      <c r="G38" s="349">
        <v>21818</v>
      </c>
      <c r="H38" s="349">
        <v>21543</v>
      </c>
      <c r="I38" s="349">
        <v>29477.371770221318</v>
      </c>
      <c r="J38" s="349">
        <v>42896</v>
      </c>
      <c r="K38" s="349">
        <v>51915.8</v>
      </c>
      <c r="L38" s="349">
        <v>54309.199633992241</v>
      </c>
      <c r="M38" s="539"/>
      <c r="N38" s="349"/>
      <c r="O38" s="349"/>
      <c r="P38" s="349"/>
      <c r="Q38" s="350"/>
      <c r="R38" s="603"/>
      <c r="S38" s="349"/>
      <c r="T38" s="349"/>
      <c r="U38" s="350">
        <v>19469</v>
      </c>
      <c r="V38" s="349">
        <v>20843</v>
      </c>
      <c r="W38" s="349">
        <v>21938</v>
      </c>
      <c r="X38" s="349">
        <v>22672</v>
      </c>
      <c r="Y38" s="350">
        <v>23221</v>
      </c>
      <c r="Z38" s="349">
        <v>23925</v>
      </c>
      <c r="AA38" s="349">
        <v>23372</v>
      </c>
      <c r="AB38" s="349">
        <v>22746</v>
      </c>
      <c r="AC38" s="350">
        <v>21818</v>
      </c>
      <c r="AD38" s="349">
        <v>21285</v>
      </c>
      <c r="AE38" s="579">
        <v>20722</v>
      </c>
      <c r="AF38" s="579">
        <v>20834</v>
      </c>
      <c r="AG38" s="350">
        <v>21542.6</v>
      </c>
      <c r="AH38" s="349">
        <v>23021.970801846481</v>
      </c>
      <c r="AI38" s="579">
        <v>24460</v>
      </c>
      <c r="AJ38" s="579">
        <v>26462.624793486983</v>
      </c>
      <c r="AK38" s="350">
        <v>29477.371770221318</v>
      </c>
      <c r="AL38" s="349">
        <v>33132.327424038442</v>
      </c>
      <c r="AM38" s="579">
        <v>36639</v>
      </c>
      <c r="AN38" s="579">
        <v>40026</v>
      </c>
      <c r="AO38" s="350">
        <v>42896.399999999987</v>
      </c>
      <c r="AP38" s="349">
        <v>44857.980210288457</v>
      </c>
      <c r="AQ38" s="579">
        <v>47126</v>
      </c>
      <c r="AR38" s="579">
        <v>49242.62779445976</v>
      </c>
      <c r="AS38" s="350">
        <v>51915.8</v>
      </c>
      <c r="AT38" s="349">
        <v>53888.608753496635</v>
      </c>
      <c r="AU38" s="579">
        <v>54976.585827215516</v>
      </c>
      <c r="AV38" s="579">
        <v>54561.231311358002</v>
      </c>
      <c r="AW38" s="350">
        <v>54309.199633992241</v>
      </c>
      <c r="AX38" s="349">
        <v>54012.263872925418</v>
      </c>
      <c r="AY38" s="579">
        <v>54359.028295319484</v>
      </c>
    </row>
    <row r="39" spans="1:51" ht="13">
      <c r="A39" s="552"/>
      <c r="B39" s="560"/>
      <c r="C39" s="560"/>
      <c r="D39" s="561"/>
      <c r="E39" s="561"/>
      <c r="F39" s="341"/>
      <c r="G39" s="341"/>
      <c r="H39" s="341"/>
      <c r="I39" s="341"/>
      <c r="J39" s="341"/>
      <c r="K39" s="341"/>
      <c r="L39" s="341"/>
      <c r="M39" s="539"/>
      <c r="N39" s="341"/>
      <c r="O39" s="341"/>
      <c r="P39" s="341"/>
      <c r="Q39" s="346"/>
      <c r="R39" s="341"/>
      <c r="S39" s="341"/>
      <c r="T39" s="341"/>
      <c r="U39" s="346"/>
      <c r="V39" s="341"/>
      <c r="W39" s="341"/>
      <c r="X39" s="341"/>
      <c r="Y39" s="346"/>
      <c r="Z39" s="341"/>
      <c r="AA39" s="341"/>
      <c r="AB39" s="341"/>
      <c r="AC39" s="346"/>
      <c r="AD39" s="341"/>
      <c r="AE39" s="341"/>
      <c r="AF39" s="341"/>
      <c r="AG39" s="346"/>
      <c r="AH39" s="341"/>
      <c r="AI39" s="341"/>
      <c r="AJ39" s="341"/>
      <c r="AK39" s="346"/>
      <c r="AL39" s="341"/>
      <c r="AM39" s="341"/>
      <c r="AN39" s="341"/>
      <c r="AO39" s="346"/>
      <c r="AP39" s="341"/>
      <c r="AQ39" s="341"/>
      <c r="AR39" s="341"/>
      <c r="AS39" s="346"/>
      <c r="AT39" s="341"/>
      <c r="AU39" s="341"/>
      <c r="AV39" s="341"/>
      <c r="AW39" s="346"/>
      <c r="AX39" s="341"/>
      <c r="AY39" s="341"/>
    </row>
    <row r="40" spans="1:51" ht="13">
      <c r="A40" s="552" t="s">
        <v>615</v>
      </c>
      <c r="B40" s="587">
        <v>23.8</v>
      </c>
      <c r="C40" s="587">
        <v>19.600000000000001</v>
      </c>
      <c r="D40" s="604">
        <v>27.4</v>
      </c>
      <c r="E40" s="604">
        <v>32</v>
      </c>
      <c r="F40" s="341">
        <v>27.6</v>
      </c>
      <c r="G40" s="341">
        <v>21.7</v>
      </c>
      <c r="H40" s="341">
        <v>26.1</v>
      </c>
      <c r="I40" s="563">
        <v>28</v>
      </c>
      <c r="J40" s="563">
        <v>27</v>
      </c>
      <c r="K40" s="563">
        <v>20.589164297707512</v>
      </c>
      <c r="L40" s="563">
        <v>18.921663519667423</v>
      </c>
      <c r="M40" s="539"/>
      <c r="N40" s="341"/>
      <c r="O40" s="341"/>
      <c r="P40" s="341"/>
      <c r="Q40" s="346"/>
      <c r="R40" s="563">
        <v>28.629070540206968</v>
      </c>
      <c r="S40" s="563">
        <v>29.617064782972395</v>
      </c>
      <c r="T40" s="563">
        <v>30.930999725098506</v>
      </c>
      <c r="U40" s="573">
        <v>31.989084293511215</v>
      </c>
      <c r="V40" s="563">
        <v>30.985767121874623</v>
      </c>
      <c r="W40" s="563">
        <v>30.800109626174521</v>
      </c>
      <c r="X40" s="563">
        <v>29.524719254647415</v>
      </c>
      <c r="Y40" s="573">
        <v>27.562846347439528</v>
      </c>
      <c r="Z40" s="563">
        <v>26.17</v>
      </c>
      <c r="AA40" s="563">
        <v>22.741306720723532</v>
      </c>
      <c r="AB40" s="563">
        <v>21.571158406628044</v>
      </c>
      <c r="AC40" s="573">
        <v>21.7</v>
      </c>
      <c r="AD40" s="563">
        <v>20.888406748693939</v>
      </c>
      <c r="AE40" s="563">
        <v>23.4</v>
      </c>
      <c r="AF40" s="563">
        <v>25</v>
      </c>
      <c r="AG40" s="573">
        <v>26.083804552704077</v>
      </c>
      <c r="AH40" s="563">
        <v>27.731211819860775</v>
      </c>
      <c r="AI40" s="563">
        <v>28.057817474852779</v>
      </c>
      <c r="AJ40" s="563">
        <v>27.894750816451158</v>
      </c>
      <c r="AK40" s="573">
        <v>28.011760566919637</v>
      </c>
      <c r="AL40" s="563">
        <v>27.665371493555725</v>
      </c>
      <c r="AM40" s="563">
        <v>28.6</v>
      </c>
      <c r="AN40" s="563">
        <v>27.782738095238095</v>
      </c>
      <c r="AO40" s="573">
        <v>27.006043224418725</v>
      </c>
      <c r="AP40" s="563">
        <v>24.539712404246742</v>
      </c>
      <c r="AQ40" s="563">
        <v>22.444618952827948</v>
      </c>
      <c r="AR40" s="563">
        <v>21.4726923748037</v>
      </c>
      <c r="AS40" s="573">
        <v>20.589164297707512</v>
      </c>
      <c r="AT40" s="563">
        <v>20.286594220243508</v>
      </c>
      <c r="AU40" s="563">
        <v>20.193245988705989</v>
      </c>
      <c r="AV40" s="563">
        <v>19.349855063230656</v>
      </c>
      <c r="AW40" s="573">
        <v>18.921663519667423</v>
      </c>
      <c r="AX40" s="563">
        <v>18.505377536312228</v>
      </c>
      <c r="AY40" s="563">
        <v>19.299219592665441</v>
      </c>
    </row>
    <row r="41" spans="1:51" ht="13">
      <c r="A41" s="552" t="s">
        <v>616</v>
      </c>
      <c r="B41" s="588"/>
      <c r="C41" s="588"/>
      <c r="D41" s="588" t="s">
        <v>617</v>
      </c>
      <c r="E41" s="588" t="s">
        <v>618</v>
      </c>
      <c r="F41" s="588" t="s">
        <v>617</v>
      </c>
      <c r="G41" s="588" t="s">
        <v>619</v>
      </c>
      <c r="H41" s="588">
        <v>1.1000000000000001</v>
      </c>
      <c r="I41" s="588">
        <v>1.2487812232999951</v>
      </c>
      <c r="J41" s="588">
        <v>1.2</v>
      </c>
      <c r="K41" s="588">
        <v>1.0573537479427459</v>
      </c>
      <c r="L41" s="588">
        <v>0.98373609634577852</v>
      </c>
      <c r="M41" s="539"/>
      <c r="N41" s="349"/>
      <c r="O41" s="341"/>
      <c r="P41" s="341"/>
      <c r="Q41" s="346"/>
      <c r="R41" s="588" t="s">
        <v>620</v>
      </c>
      <c r="S41" s="588" t="s">
        <v>621</v>
      </c>
      <c r="T41" s="588" t="s">
        <v>618</v>
      </c>
      <c r="U41" s="590" t="s">
        <v>618</v>
      </c>
      <c r="V41" s="588" t="s">
        <v>621</v>
      </c>
      <c r="W41" s="588" t="s">
        <v>620</v>
      </c>
      <c r="X41" s="588" t="s">
        <v>620</v>
      </c>
      <c r="Y41" s="590" t="s">
        <v>617</v>
      </c>
      <c r="Z41" s="588" t="s">
        <v>258</v>
      </c>
      <c r="AA41" s="588" t="s">
        <v>622</v>
      </c>
      <c r="AB41" s="588" t="s">
        <v>619</v>
      </c>
      <c r="AC41" s="590" t="s">
        <v>619</v>
      </c>
      <c r="AD41" s="588">
        <v>1.0209255188558053</v>
      </c>
      <c r="AE41" s="588">
        <v>1.1000000000000001</v>
      </c>
      <c r="AF41" s="588">
        <v>1.1000000000000001</v>
      </c>
      <c r="AG41" s="590">
        <v>1.149630274032188</v>
      </c>
      <c r="AH41" s="588">
        <v>1.1922148032390965</v>
      </c>
      <c r="AI41" s="588">
        <v>1.2424276577160407</v>
      </c>
      <c r="AJ41" s="588">
        <v>1.2460505004911984</v>
      </c>
      <c r="AK41" s="590">
        <v>1.2487812232999951</v>
      </c>
      <c r="AL41" s="588">
        <v>1.2432003411675512</v>
      </c>
      <c r="AM41" s="588">
        <v>1.3</v>
      </c>
      <c r="AN41" s="588">
        <v>1.2481079931972789</v>
      </c>
      <c r="AO41" s="590">
        <v>1.2361569189798218</v>
      </c>
      <c r="AP41" s="588">
        <v>1.1637836696296582</v>
      </c>
      <c r="AQ41" s="588">
        <v>1.1180123089285388</v>
      </c>
      <c r="AR41" s="588">
        <v>1.0804746117606003</v>
      </c>
      <c r="AS41" s="590">
        <v>1.0573537479427459</v>
      </c>
      <c r="AT41" s="588">
        <v>1.0371646959324685</v>
      </c>
      <c r="AU41" s="588">
        <v>1.0176608916830638</v>
      </c>
      <c r="AV41" s="588">
        <v>1.0059248877138216</v>
      </c>
      <c r="AW41" s="590">
        <v>0.98373609634577852</v>
      </c>
      <c r="AX41" s="588">
        <v>0.96325218190169959</v>
      </c>
      <c r="AY41" s="588">
        <v>0.98954698305945055</v>
      </c>
    </row>
    <row r="42" spans="1:51" ht="13">
      <c r="A42" s="552" t="s">
        <v>623</v>
      </c>
      <c r="B42" s="571"/>
      <c r="C42" s="571"/>
      <c r="D42" s="571">
        <v>5424</v>
      </c>
      <c r="E42" s="349">
        <v>1208</v>
      </c>
      <c r="F42" s="349">
        <v>483</v>
      </c>
      <c r="G42" s="349">
        <v>-4137</v>
      </c>
      <c r="H42" s="349">
        <v>-1304</v>
      </c>
      <c r="I42" s="349">
        <v>3691</v>
      </c>
      <c r="J42" s="349">
        <v>7824</v>
      </c>
      <c r="K42" s="349">
        <v>14778</v>
      </c>
      <c r="L42" s="349">
        <v>11004</v>
      </c>
      <c r="M42" s="539"/>
      <c r="N42" s="571"/>
      <c r="O42" s="571"/>
      <c r="P42" s="571"/>
      <c r="Q42" s="572"/>
      <c r="R42" s="571">
        <v>2550</v>
      </c>
      <c r="S42" s="571">
        <v>3027</v>
      </c>
      <c r="T42" s="571">
        <v>3146</v>
      </c>
      <c r="U42" s="572">
        <v>1208</v>
      </c>
      <c r="V42" s="571">
        <v>3641.4269999999997</v>
      </c>
      <c r="W42" s="571">
        <v>4217.08</v>
      </c>
      <c r="X42" s="571">
        <v>2416</v>
      </c>
      <c r="Y42" s="572">
        <v>483</v>
      </c>
      <c r="Z42" s="571">
        <v>-1191</v>
      </c>
      <c r="AA42" s="571">
        <v>-1819</v>
      </c>
      <c r="AB42" s="571">
        <v>-3638</v>
      </c>
      <c r="AC42" s="572">
        <v>-4137</v>
      </c>
      <c r="AD42" s="571">
        <v>-5747</v>
      </c>
      <c r="AE42" s="571">
        <v>-322</v>
      </c>
      <c r="AF42" s="571">
        <v>-1191</v>
      </c>
      <c r="AG42" s="572">
        <v>-1304</v>
      </c>
      <c r="AH42" s="571">
        <v>-1844</v>
      </c>
      <c r="AI42" s="571">
        <v>-876</v>
      </c>
      <c r="AJ42" s="571">
        <v>-1545</v>
      </c>
      <c r="AK42" s="572">
        <v>3691</v>
      </c>
      <c r="AL42" s="571">
        <v>7281</v>
      </c>
      <c r="AM42" s="571">
        <v>9099</v>
      </c>
      <c r="AN42" s="571">
        <v>7643</v>
      </c>
      <c r="AO42" s="572">
        <v>7824</v>
      </c>
      <c r="AP42" s="571">
        <v>6076</v>
      </c>
      <c r="AQ42" s="571">
        <v>15801</v>
      </c>
      <c r="AR42" s="571">
        <v>15152</v>
      </c>
      <c r="AS42" s="572">
        <v>14778</v>
      </c>
      <c r="AT42" s="571">
        <v>12317</v>
      </c>
      <c r="AU42" s="571">
        <v>13284</v>
      </c>
      <c r="AV42" s="571">
        <v>11088</v>
      </c>
      <c r="AW42" s="572">
        <v>11004</v>
      </c>
      <c r="AX42" s="571">
        <v>10496</v>
      </c>
      <c r="AY42" s="571">
        <v>11430</v>
      </c>
    </row>
    <row r="43" spans="1:51" ht="13">
      <c r="A43" s="552" t="s">
        <v>624</v>
      </c>
      <c r="B43" s="341"/>
      <c r="C43" s="605"/>
      <c r="D43" s="605">
        <v>0.75</v>
      </c>
      <c r="E43" s="605">
        <v>0.14000000000000001</v>
      </c>
      <c r="F43" s="605">
        <v>0.05</v>
      </c>
      <c r="G43" s="605">
        <v>-0.45</v>
      </c>
      <c r="H43" s="605">
        <v>-0.12</v>
      </c>
      <c r="I43" s="605">
        <v>0.27802048809882496</v>
      </c>
      <c r="J43" s="605">
        <v>0.49</v>
      </c>
      <c r="K43" s="605">
        <v>0.93377985593327439</v>
      </c>
      <c r="L43" s="605">
        <v>0.73306242089134632</v>
      </c>
      <c r="M43" s="539"/>
      <c r="N43" s="606"/>
      <c r="O43" s="606"/>
      <c r="P43" s="605"/>
      <c r="Q43" s="607"/>
      <c r="R43" s="606">
        <v>0.35</v>
      </c>
      <c r="S43" s="606">
        <v>0.4</v>
      </c>
      <c r="T43" s="606">
        <v>0.38791615289765724</v>
      </c>
      <c r="U43" s="607">
        <v>0.13800982520278762</v>
      </c>
      <c r="V43" s="606">
        <v>0.39058675357930728</v>
      </c>
      <c r="W43" s="606">
        <v>0.42589323462248035</v>
      </c>
      <c r="X43" s="606">
        <v>0.24015541667866708</v>
      </c>
      <c r="Y43" s="607">
        <v>0.05</v>
      </c>
      <c r="Z43" s="606">
        <v>-0.12</v>
      </c>
      <c r="AA43" s="606">
        <v>-0.19745983499782893</v>
      </c>
      <c r="AB43" s="606">
        <v>-0.40525788125208867</v>
      </c>
      <c r="AC43" s="607">
        <v>-0.45</v>
      </c>
      <c r="AD43" s="606">
        <v>-0.63827187916481565</v>
      </c>
      <c r="AE43" s="606">
        <v>-0.03</v>
      </c>
      <c r="AF43" s="606">
        <v>-0.12</v>
      </c>
      <c r="AG43" s="607">
        <v>-0.12150837988826815</v>
      </c>
      <c r="AH43" s="606">
        <v>-0.15911640348606437</v>
      </c>
      <c r="AI43" s="606">
        <v>-7.3843041389193287E-2</v>
      </c>
      <c r="AJ43" s="606">
        <v>-0.12384769539078157</v>
      </c>
      <c r="AK43" s="607">
        <v>0.27802048809882496</v>
      </c>
      <c r="AL43" s="606">
        <v>0.5210017889087657</v>
      </c>
      <c r="AM43" s="606">
        <v>0.6</v>
      </c>
      <c r="AN43" s="606">
        <v>0.48684629594241674</v>
      </c>
      <c r="AO43" s="607">
        <v>0.49381469325927796</v>
      </c>
      <c r="AP43" s="606">
        <v>0.39245575507040437</v>
      </c>
      <c r="AQ43" s="606">
        <v>1.0440700363396103</v>
      </c>
      <c r="AR43" s="606">
        <v>0.97016263285952109</v>
      </c>
      <c r="AS43" s="607">
        <v>0.93377985593327439</v>
      </c>
      <c r="AT43" s="606">
        <v>0.75750307503075032</v>
      </c>
      <c r="AU43" s="606">
        <v>0.82248777165500586</v>
      </c>
      <c r="AV43" s="606">
        <v>0.7259395050412466</v>
      </c>
      <c r="AW43" s="607">
        <v>0.73306242089134632</v>
      </c>
      <c r="AX43" s="606">
        <v>0.71178624711786243</v>
      </c>
      <c r="AY43" s="606">
        <v>0.74877169996724535</v>
      </c>
    </row>
    <row r="44" spans="1:51" ht="13">
      <c r="A44" s="567" t="s">
        <v>625</v>
      </c>
      <c r="B44" s="341"/>
      <c r="C44" s="608"/>
      <c r="D44" s="608">
        <v>45.02</v>
      </c>
      <c r="E44" s="575">
        <v>6.4</v>
      </c>
      <c r="F44" s="609">
        <v>2.1</v>
      </c>
      <c r="G44" s="341">
        <v>-17.399999999999999</v>
      </c>
      <c r="H44" s="341">
        <v>-5.0999999999999996</v>
      </c>
      <c r="I44" s="563">
        <v>11</v>
      </c>
      <c r="J44" s="563">
        <v>21</v>
      </c>
      <c r="K44" s="563">
        <v>34.224177860120427</v>
      </c>
      <c r="L44" s="563">
        <v>26.031415594246781</v>
      </c>
      <c r="M44" s="539"/>
      <c r="N44" s="608"/>
      <c r="O44" s="608"/>
      <c r="P44" s="608"/>
      <c r="Q44" s="610"/>
      <c r="R44" s="608">
        <v>15.8</v>
      </c>
      <c r="S44" s="608">
        <v>17.3</v>
      </c>
      <c r="T44" s="608">
        <v>18.074227277950133</v>
      </c>
      <c r="U44" s="610">
        <v>6.4095081445322863</v>
      </c>
      <c r="V44" s="608">
        <v>17.60419144307469</v>
      </c>
      <c r="W44" s="608">
        <v>21.203077077781689</v>
      </c>
      <c r="X44" s="608">
        <v>11.065310982870752</v>
      </c>
      <c r="Y44" s="610">
        <v>2.1151740748850449</v>
      </c>
      <c r="Z44" s="608">
        <v>-4.8</v>
      </c>
      <c r="AA44" s="608">
        <v>-7.7791557969464993</v>
      </c>
      <c r="AB44" s="608">
        <v>-14.815116468480207</v>
      </c>
      <c r="AC44" s="610">
        <v>-17.399999999999999</v>
      </c>
      <c r="AD44" s="608">
        <v>-21.930092345264445</v>
      </c>
      <c r="AE44" s="608">
        <v>-1.5</v>
      </c>
      <c r="AF44" s="608">
        <v>-5.0999999999999996</v>
      </c>
      <c r="AG44" s="610">
        <v>-5.0999999999999996</v>
      </c>
      <c r="AH44" s="608">
        <v>-6.3990005899295603</v>
      </c>
      <c r="AI44" s="608">
        <v>-3.1</v>
      </c>
      <c r="AJ44" s="608">
        <v>-4.9000000000000004</v>
      </c>
      <c r="AK44" s="610">
        <v>11.015608678783538</v>
      </c>
      <c r="AL44" s="608">
        <v>20.530100098688848</v>
      </c>
      <c r="AM44" s="608">
        <v>25.8</v>
      </c>
      <c r="AN44" s="608">
        <v>20.576674563859573</v>
      </c>
      <c r="AO44" s="610">
        <v>21.026605751142167</v>
      </c>
      <c r="AP44" s="608">
        <v>14.90530860563242</v>
      </c>
      <c r="AQ44" s="608">
        <v>41.47071173630065</v>
      </c>
      <c r="AR44" s="608">
        <v>38.233661367650768</v>
      </c>
      <c r="AS44" s="610">
        <v>34.224177860120427</v>
      </c>
      <c r="AT44" s="608">
        <v>29.000965364601726</v>
      </c>
      <c r="AU44" s="608">
        <v>34.418074411856153</v>
      </c>
      <c r="AV44" s="608">
        <v>27.44962123087587</v>
      </c>
      <c r="AW44" s="610">
        <v>26.031415594246781</v>
      </c>
      <c r="AX44" s="608">
        <v>22.860627708927755</v>
      </c>
      <c r="AY44" s="608">
        <v>25.628951970940399</v>
      </c>
    </row>
    <row r="45" spans="1:51" ht="13">
      <c r="A45" s="552" t="s">
        <v>626</v>
      </c>
      <c r="B45" s="341"/>
      <c r="C45" s="608"/>
      <c r="D45" s="608">
        <v>43.73</v>
      </c>
      <c r="E45" s="575">
        <v>52.1</v>
      </c>
      <c r="F45" s="611">
        <v>55.591295660014126</v>
      </c>
      <c r="G45" s="341">
        <v>54.1</v>
      </c>
      <c r="H45" s="341">
        <v>53.1</v>
      </c>
      <c r="I45" s="563">
        <v>54.24</v>
      </c>
      <c r="J45" s="563">
        <v>54.9</v>
      </c>
      <c r="K45" s="563">
        <v>51.658750762678409</v>
      </c>
      <c r="L45" s="563">
        <v>52.592159448598473</v>
      </c>
      <c r="M45" s="539"/>
      <c r="N45" s="608"/>
      <c r="O45" s="608"/>
      <c r="P45" s="571"/>
      <c r="Q45" s="610"/>
      <c r="R45" s="608">
        <v>52.8</v>
      </c>
      <c r="S45" s="608">
        <v>50.1</v>
      </c>
      <c r="T45" s="608">
        <v>50.471192043378664</v>
      </c>
      <c r="U45" s="610">
        <v>52.128336329691606</v>
      </c>
      <c r="V45" s="608">
        <v>52.153194493469826</v>
      </c>
      <c r="W45" s="608">
        <v>49.539204941715653</v>
      </c>
      <c r="X45" s="608">
        <v>52.580373269114986</v>
      </c>
      <c r="Y45" s="610">
        <v>55.591295660014126</v>
      </c>
      <c r="Z45" s="608">
        <v>56.6</v>
      </c>
      <c r="AA45" s="608">
        <v>52.75352509870276</v>
      </c>
      <c r="AB45" s="608">
        <v>55.016355244880586</v>
      </c>
      <c r="AC45" s="610">
        <v>54.1</v>
      </c>
      <c r="AD45" s="608">
        <v>55.933578075642451</v>
      </c>
      <c r="AE45" s="608">
        <v>47.2</v>
      </c>
      <c r="AF45" s="608">
        <v>49.3</v>
      </c>
      <c r="AG45" s="610">
        <v>53.07630555155307</v>
      </c>
      <c r="AH45" s="608">
        <v>54.983781721045602</v>
      </c>
      <c r="AI45" s="608">
        <v>51.604133659801242</v>
      </c>
      <c r="AJ45" s="608">
        <v>51.499578496854937</v>
      </c>
      <c r="AK45" s="610">
        <v>54.235998705082558</v>
      </c>
      <c r="AL45" s="608">
        <v>54.308377869316885</v>
      </c>
      <c r="AM45" s="608">
        <v>50.1</v>
      </c>
      <c r="AN45" s="608">
        <v>52.58136209849804</v>
      </c>
      <c r="AO45" s="610">
        <v>54.894150623294237</v>
      </c>
      <c r="AP45" s="608">
        <v>52.306468376682538</v>
      </c>
      <c r="AQ45" s="608">
        <v>47.0326849017478</v>
      </c>
      <c r="AR45" s="608">
        <v>48.586420812593481</v>
      </c>
      <c r="AS45" s="610">
        <v>51.658750762678409</v>
      </c>
      <c r="AT45" s="608">
        <v>52.531911735602613</v>
      </c>
      <c r="AU45" s="608">
        <v>48.639588663028817</v>
      </c>
      <c r="AV45" s="608">
        <v>49.639324116743474</v>
      </c>
      <c r="AW45" s="610">
        <v>52.592159448598473</v>
      </c>
      <c r="AX45" s="608">
        <v>54.982994826595132</v>
      </c>
      <c r="AY45" s="608">
        <v>51.923345596795976</v>
      </c>
    </row>
    <row r="46" spans="1:51" ht="13">
      <c r="A46" s="552" t="s">
        <v>627</v>
      </c>
      <c r="B46" s="571"/>
      <c r="C46" s="571"/>
      <c r="D46" s="571">
        <v>9991</v>
      </c>
      <c r="E46" s="349">
        <v>12158.310218541281</v>
      </c>
      <c r="F46" s="349">
        <v>14062</v>
      </c>
      <c r="G46" s="349">
        <v>12217</v>
      </c>
      <c r="H46" s="349">
        <v>11495</v>
      </c>
      <c r="I46" s="349">
        <v>15570</v>
      </c>
      <c r="J46" s="349">
        <v>21228</v>
      </c>
      <c r="K46" s="349">
        <v>23803</v>
      </c>
      <c r="L46" s="349">
        <v>22883</v>
      </c>
      <c r="M46" s="539"/>
      <c r="N46" s="571"/>
      <c r="O46" s="571"/>
      <c r="P46" s="571"/>
      <c r="Q46" s="572"/>
      <c r="R46" s="571">
        <v>10228</v>
      </c>
      <c r="S46" s="571">
        <v>10817</v>
      </c>
      <c r="T46" s="571">
        <v>11538</v>
      </c>
      <c r="U46" s="572">
        <v>12158.310218541281</v>
      </c>
      <c r="V46" s="571">
        <v>12993.24779212676</v>
      </c>
      <c r="W46" s="571">
        <v>13720.374903944379</v>
      </c>
      <c r="X46" s="571">
        <v>14124.048043147603</v>
      </c>
      <c r="Y46" s="572">
        <v>14062</v>
      </c>
      <c r="Z46" s="571">
        <v>14174</v>
      </c>
      <c r="AA46" s="571">
        <v>13721</v>
      </c>
      <c r="AB46" s="571">
        <v>13127</v>
      </c>
      <c r="AC46" s="572">
        <v>12217</v>
      </c>
      <c r="AD46" s="571">
        <v>11836</v>
      </c>
      <c r="AE46" s="571">
        <v>11418</v>
      </c>
      <c r="AF46" s="571">
        <v>11422</v>
      </c>
      <c r="AG46" s="572">
        <v>11495</v>
      </c>
      <c r="AH46" s="571">
        <v>12139</v>
      </c>
      <c r="AI46" s="571">
        <v>13002</v>
      </c>
      <c r="AJ46" s="571">
        <v>14277</v>
      </c>
      <c r="AK46" s="572">
        <v>15570</v>
      </c>
      <c r="AL46" s="571">
        <v>17221</v>
      </c>
      <c r="AM46" s="571">
        <v>18946</v>
      </c>
      <c r="AN46" s="571">
        <v>20430</v>
      </c>
      <c r="AO46" s="572">
        <v>21228</v>
      </c>
      <c r="AP46" s="571">
        <v>22219</v>
      </c>
      <c r="AQ46" s="571">
        <v>23140</v>
      </c>
      <c r="AR46" s="571">
        <v>23535</v>
      </c>
      <c r="AS46" s="572">
        <v>23803</v>
      </c>
      <c r="AT46" s="571">
        <v>24002</v>
      </c>
      <c r="AU46" s="571">
        <v>23846</v>
      </c>
      <c r="AV46" s="571">
        <v>23356</v>
      </c>
      <c r="AW46" s="572">
        <v>22883</v>
      </c>
      <c r="AX46" s="571">
        <v>22715</v>
      </c>
      <c r="AY46" s="571">
        <v>23150</v>
      </c>
    </row>
    <row r="47" spans="1:51" ht="13">
      <c r="A47" s="552" t="s">
        <v>628</v>
      </c>
      <c r="B47" s="571"/>
      <c r="C47" s="571"/>
      <c r="D47" s="571">
        <v>10173</v>
      </c>
      <c r="E47" s="349">
        <v>12896.551092706401</v>
      </c>
      <c r="F47" s="349">
        <v>13153</v>
      </c>
      <c r="G47" s="349">
        <v>10571</v>
      </c>
      <c r="H47" s="349">
        <v>12186</v>
      </c>
      <c r="I47" s="349">
        <v>18564</v>
      </c>
      <c r="J47" s="349">
        <v>21736</v>
      </c>
      <c r="K47" s="349">
        <v>24322</v>
      </c>
      <c r="L47" s="349">
        <v>22026</v>
      </c>
      <c r="M47" s="539"/>
      <c r="N47" s="571"/>
      <c r="O47" s="571"/>
      <c r="P47" s="341"/>
      <c r="Q47" s="572"/>
      <c r="R47" s="571">
        <v>11155</v>
      </c>
      <c r="S47" s="571">
        <v>13102</v>
      </c>
      <c r="T47" s="571">
        <v>13465</v>
      </c>
      <c r="U47" s="572">
        <v>12896.551092706401</v>
      </c>
      <c r="V47" s="571">
        <v>14347.6878679274</v>
      </c>
      <c r="W47" s="571">
        <v>14790.635559088099</v>
      </c>
      <c r="X47" s="571">
        <v>15120.365696016101</v>
      </c>
      <c r="Y47" s="572">
        <v>13153</v>
      </c>
      <c r="Z47" s="571">
        <v>13457</v>
      </c>
      <c r="AA47" s="571">
        <v>12084</v>
      </c>
      <c r="AB47" s="571">
        <v>11821</v>
      </c>
      <c r="AC47" s="572">
        <v>10571</v>
      </c>
      <c r="AD47" s="571">
        <v>11245</v>
      </c>
      <c r="AE47" s="571">
        <v>11368</v>
      </c>
      <c r="AF47" s="571">
        <v>12104</v>
      </c>
      <c r="AG47" s="572">
        <v>12186</v>
      </c>
      <c r="AH47" s="571">
        <v>13793</v>
      </c>
      <c r="AI47" s="571">
        <v>15561</v>
      </c>
      <c r="AJ47" s="571">
        <v>17744</v>
      </c>
      <c r="AK47" s="572">
        <v>18564</v>
      </c>
      <c r="AL47" s="571">
        <v>20442</v>
      </c>
      <c r="AM47" s="571">
        <v>22420</v>
      </c>
      <c r="AN47" s="571">
        <v>22978</v>
      </c>
      <c r="AO47" s="572">
        <v>21736</v>
      </c>
      <c r="AP47" s="571">
        <v>23520</v>
      </c>
      <c r="AQ47" s="571">
        <v>25045</v>
      </c>
      <c r="AR47" s="571">
        <v>24395</v>
      </c>
      <c r="AS47" s="572">
        <v>24322</v>
      </c>
      <c r="AT47" s="571">
        <v>22729</v>
      </c>
      <c r="AU47" s="571">
        <v>22739</v>
      </c>
      <c r="AV47" s="571">
        <v>22598</v>
      </c>
      <c r="AW47" s="572">
        <v>22026</v>
      </c>
      <c r="AX47" s="571">
        <v>23484</v>
      </c>
      <c r="AY47" s="571">
        <v>24901</v>
      </c>
    </row>
    <row r="48" spans="1:51" ht="13">
      <c r="A48" s="552" t="s">
        <v>629</v>
      </c>
      <c r="B48" s="341"/>
      <c r="C48" s="341"/>
      <c r="D48" s="341">
        <v>31.9</v>
      </c>
      <c r="E48" s="609">
        <v>31.757372909863602</v>
      </c>
      <c r="F48" s="609">
        <v>34.4</v>
      </c>
      <c r="G48" s="609">
        <v>33.799999999999997</v>
      </c>
      <c r="H48" s="609">
        <v>29</v>
      </c>
      <c r="I48" s="609">
        <v>31.331750311908884</v>
      </c>
      <c r="J48" s="609">
        <v>35.200000000000003</v>
      </c>
      <c r="K48" s="609">
        <v>37.424335330094493</v>
      </c>
      <c r="L48" s="609">
        <v>36.909255137262491</v>
      </c>
      <c r="M48" s="539"/>
      <c r="N48" s="341"/>
      <c r="O48" s="341"/>
      <c r="P48" s="341"/>
      <c r="Q48" s="346"/>
      <c r="R48" s="341">
        <v>31.8</v>
      </c>
      <c r="S48" s="341">
        <v>31.7</v>
      </c>
      <c r="T48" s="563">
        <v>31.880854356055373</v>
      </c>
      <c r="U48" s="573">
        <v>31.757372909863602</v>
      </c>
      <c r="V48" s="563">
        <v>32.616312392343204</v>
      </c>
      <c r="W48" s="563">
        <v>33.776837651793358</v>
      </c>
      <c r="X48" s="563">
        <v>34.342353077618654</v>
      </c>
      <c r="Y48" s="573">
        <v>34.4</v>
      </c>
      <c r="Z48" s="563">
        <v>35.299999999999997</v>
      </c>
      <c r="AA48" s="563">
        <v>36.080359725472668</v>
      </c>
      <c r="AB48" s="563">
        <v>35.870040441578318</v>
      </c>
      <c r="AC48" s="573">
        <v>33.799999999999997</v>
      </c>
      <c r="AD48" s="563">
        <v>33.096582965158547</v>
      </c>
      <c r="AE48" s="563">
        <v>30.8</v>
      </c>
      <c r="AF48" s="563">
        <v>29.8</v>
      </c>
      <c r="AG48" s="573">
        <v>28.994829108336482</v>
      </c>
      <c r="AH48" s="563">
        <v>28.929933269780744</v>
      </c>
      <c r="AI48" s="563">
        <v>29.486336319310581</v>
      </c>
      <c r="AJ48" s="563">
        <v>30.42190496484125</v>
      </c>
      <c r="AK48" s="573">
        <v>31.331750311908884</v>
      </c>
      <c r="AL48" s="563">
        <v>32.818782993158386</v>
      </c>
      <c r="AM48" s="563">
        <v>33.5</v>
      </c>
      <c r="AN48" s="563">
        <v>34.797567747100203</v>
      </c>
      <c r="AO48" s="573">
        <v>35.178893989360823</v>
      </c>
      <c r="AP48" s="563">
        <v>36.654129136560101</v>
      </c>
      <c r="AQ48" s="563">
        <v>37.79872261879482</v>
      </c>
      <c r="AR48" s="563">
        <v>38.007493298020087</v>
      </c>
      <c r="AS48" s="573">
        <v>37.424335330094493</v>
      </c>
      <c r="AT48" s="563">
        <v>36.928426364699369</v>
      </c>
      <c r="AU48" s="563">
        <v>37.484869920616212</v>
      </c>
      <c r="AV48" s="563">
        <v>36.980271699547167</v>
      </c>
      <c r="AW48" s="573">
        <v>36.909255137262491</v>
      </c>
      <c r="AX48" s="563">
        <v>37.352210875964019</v>
      </c>
      <c r="AY48" s="563">
        <v>37.108279233790178</v>
      </c>
    </row>
    <row r="49" spans="1:51" ht="13">
      <c r="A49" s="168" t="s">
        <v>630</v>
      </c>
      <c r="B49" s="612"/>
      <c r="C49" s="612"/>
      <c r="D49" s="613"/>
      <c r="E49" s="613"/>
      <c r="F49" s="574"/>
      <c r="G49" s="574"/>
      <c r="H49" s="574"/>
      <c r="I49" s="574"/>
      <c r="J49" s="574"/>
      <c r="K49" s="574"/>
      <c r="L49" s="615" t="s">
        <v>631</v>
      </c>
      <c r="M49" s="539"/>
      <c r="N49" s="574"/>
      <c r="O49" s="574"/>
      <c r="P49" s="574"/>
      <c r="Q49" s="577"/>
      <c r="R49" s="574"/>
      <c r="S49" s="574"/>
      <c r="T49" s="574"/>
      <c r="U49" s="614" t="s">
        <v>631</v>
      </c>
      <c r="V49" s="615" t="s">
        <v>631</v>
      </c>
      <c r="W49" s="615" t="s">
        <v>631</v>
      </c>
      <c r="X49" s="615" t="s">
        <v>631</v>
      </c>
      <c r="Y49" s="614" t="s">
        <v>631</v>
      </c>
      <c r="Z49" s="615" t="s">
        <v>631</v>
      </c>
      <c r="AA49" s="615" t="s">
        <v>631</v>
      </c>
      <c r="AB49" s="615" t="s">
        <v>631</v>
      </c>
      <c r="AC49" s="614" t="s">
        <v>631</v>
      </c>
      <c r="AD49" s="615" t="s">
        <v>631</v>
      </c>
      <c r="AE49" s="615" t="s">
        <v>631</v>
      </c>
      <c r="AF49" s="615" t="s">
        <v>631</v>
      </c>
      <c r="AG49" s="614" t="s">
        <v>631</v>
      </c>
      <c r="AH49" s="615" t="s">
        <v>631</v>
      </c>
      <c r="AI49" s="615" t="s">
        <v>631</v>
      </c>
      <c r="AJ49" s="615" t="s">
        <v>631</v>
      </c>
      <c r="AK49" s="614" t="s">
        <v>631</v>
      </c>
      <c r="AL49" s="615" t="s">
        <v>631</v>
      </c>
      <c r="AM49" s="615" t="s">
        <v>631</v>
      </c>
      <c r="AN49" s="615" t="s">
        <v>631</v>
      </c>
      <c r="AO49" s="614" t="s">
        <v>631</v>
      </c>
      <c r="AP49" s="615" t="s">
        <v>631</v>
      </c>
      <c r="AQ49" s="615" t="s">
        <v>631</v>
      </c>
      <c r="AR49" s="615" t="s">
        <v>631</v>
      </c>
      <c r="AS49" s="614" t="s">
        <v>631</v>
      </c>
      <c r="AT49" s="615" t="s">
        <v>631</v>
      </c>
      <c r="AU49" s="615" t="s">
        <v>631</v>
      </c>
      <c r="AV49" s="615" t="s">
        <v>631</v>
      </c>
      <c r="AW49" s="614" t="s">
        <v>631</v>
      </c>
      <c r="AX49" s="615" t="s">
        <v>631</v>
      </c>
      <c r="AY49" s="615" t="s">
        <v>631</v>
      </c>
    </row>
    <row r="50" spans="1:51" ht="13">
      <c r="A50" s="616"/>
      <c r="B50" s="612"/>
      <c r="C50" s="612"/>
      <c r="D50" s="613"/>
      <c r="E50" s="613"/>
      <c r="F50" s="341"/>
      <c r="G50" s="341"/>
      <c r="H50" s="341"/>
      <c r="I50" s="341"/>
      <c r="J50" s="341"/>
      <c r="K50" s="341"/>
      <c r="L50" s="341"/>
      <c r="M50" s="539"/>
      <c r="N50" s="341"/>
      <c r="O50" s="341"/>
      <c r="P50" s="341"/>
      <c r="Q50" s="346"/>
      <c r="R50" s="341"/>
      <c r="S50" s="341"/>
      <c r="T50" s="341"/>
      <c r="U50" s="346"/>
      <c r="V50" s="341"/>
      <c r="W50" s="341"/>
      <c r="X50" s="341"/>
      <c r="Y50" s="346"/>
      <c r="Z50" s="341"/>
      <c r="AA50" s="341"/>
      <c r="AB50" s="341"/>
      <c r="AC50" s="346"/>
      <c r="AD50" s="341"/>
      <c r="AE50" s="341"/>
      <c r="AF50" s="341"/>
      <c r="AG50" s="346"/>
      <c r="AH50" s="341"/>
      <c r="AI50" s="341"/>
      <c r="AJ50" s="341"/>
      <c r="AK50" s="346"/>
      <c r="AL50" s="341"/>
      <c r="AM50" s="341"/>
      <c r="AN50" s="341"/>
      <c r="AO50" s="346"/>
      <c r="AP50" s="341"/>
      <c r="AQ50" s="341"/>
      <c r="AR50" s="341"/>
      <c r="AS50" s="346"/>
      <c r="AT50" s="341"/>
      <c r="AU50" s="341"/>
      <c r="AV50" s="341"/>
      <c r="AW50" s="346"/>
      <c r="AX50" s="341"/>
      <c r="AY50" s="341"/>
    </row>
    <row r="51" spans="1:51" ht="13">
      <c r="A51" s="548" t="s">
        <v>632</v>
      </c>
      <c r="B51" s="560"/>
      <c r="C51" s="560"/>
      <c r="D51" s="613"/>
      <c r="E51" s="613"/>
      <c r="F51" s="341"/>
      <c r="G51" s="341"/>
      <c r="H51" s="341"/>
      <c r="I51" s="341"/>
      <c r="J51" s="341"/>
      <c r="K51" s="341"/>
      <c r="L51" s="341"/>
      <c r="M51" s="539"/>
      <c r="N51" s="341"/>
      <c r="O51" s="341"/>
      <c r="P51" s="341"/>
      <c r="Q51" s="346"/>
      <c r="R51" s="341"/>
      <c r="S51" s="341"/>
      <c r="T51" s="341"/>
      <c r="U51" s="346"/>
      <c r="V51" s="341"/>
      <c r="W51" s="341"/>
      <c r="X51" s="341"/>
      <c r="Y51" s="346"/>
      <c r="Z51" s="341"/>
      <c r="AA51" s="341"/>
      <c r="AB51" s="341"/>
      <c r="AC51" s="346"/>
      <c r="AD51" s="341"/>
      <c r="AE51" s="341"/>
      <c r="AF51" s="341"/>
      <c r="AG51" s="346"/>
      <c r="AH51" s="341"/>
      <c r="AI51" s="341"/>
      <c r="AJ51" s="341"/>
      <c r="AK51" s="346"/>
      <c r="AL51" s="341"/>
      <c r="AM51" s="341"/>
      <c r="AN51" s="341"/>
      <c r="AO51" s="346"/>
      <c r="AP51" s="341"/>
      <c r="AQ51" s="341"/>
      <c r="AR51" s="341"/>
      <c r="AS51" s="346"/>
      <c r="AT51" s="341"/>
      <c r="AU51" s="341"/>
      <c r="AV51" s="341"/>
      <c r="AW51" s="346"/>
      <c r="AX51" s="341"/>
      <c r="AY51" s="341"/>
    </row>
    <row r="52" spans="1:51" ht="13">
      <c r="A52" s="552" t="s">
        <v>633</v>
      </c>
      <c r="B52" s="349">
        <v>5630</v>
      </c>
      <c r="C52" s="349">
        <v>4880</v>
      </c>
      <c r="D52" s="349">
        <v>4610</v>
      </c>
      <c r="E52" s="349">
        <v>3884</v>
      </c>
      <c r="F52" s="349">
        <v>6688</v>
      </c>
      <c r="G52" s="349">
        <v>7006</v>
      </c>
      <c r="H52" s="349">
        <v>6867</v>
      </c>
      <c r="I52" s="349">
        <v>5662</v>
      </c>
      <c r="J52" s="349">
        <v>6211</v>
      </c>
      <c r="K52" s="349">
        <v>9132</v>
      </c>
      <c r="L52" s="349">
        <v>7726</v>
      </c>
      <c r="M52" s="539"/>
      <c r="N52" s="349">
        <v>1111</v>
      </c>
      <c r="O52" s="349">
        <v>1313</v>
      </c>
      <c r="P52" s="349">
        <v>1242</v>
      </c>
      <c r="Q52" s="350">
        <v>944</v>
      </c>
      <c r="R52" s="349">
        <v>666</v>
      </c>
      <c r="S52" s="349">
        <v>199</v>
      </c>
      <c r="T52" s="349">
        <v>777</v>
      </c>
      <c r="U52" s="350">
        <v>2242</v>
      </c>
      <c r="V52" s="349">
        <v>472</v>
      </c>
      <c r="W52" s="349">
        <v>1506</v>
      </c>
      <c r="X52" s="349">
        <v>1883</v>
      </c>
      <c r="Y52" s="350">
        <v>2827</v>
      </c>
      <c r="Z52" s="349">
        <v>1532</v>
      </c>
      <c r="AA52" s="349">
        <v>1963</v>
      </c>
      <c r="AB52" s="349">
        <v>1355</v>
      </c>
      <c r="AC52" s="350">
        <v>2156</v>
      </c>
      <c r="AD52" s="349">
        <v>1610</v>
      </c>
      <c r="AE52" s="349">
        <v>1229</v>
      </c>
      <c r="AF52" s="349">
        <v>1613</v>
      </c>
      <c r="AG52" s="350">
        <v>2415</v>
      </c>
      <c r="AH52" s="349">
        <v>867</v>
      </c>
      <c r="AI52" s="349">
        <v>1462</v>
      </c>
      <c r="AJ52" s="349">
        <v>1814</v>
      </c>
      <c r="AK52" s="350">
        <v>1519</v>
      </c>
      <c r="AL52" s="349">
        <v>338</v>
      </c>
      <c r="AM52" s="349">
        <v>1549</v>
      </c>
      <c r="AN52" s="349">
        <v>1889</v>
      </c>
      <c r="AO52" s="350">
        <v>2435</v>
      </c>
      <c r="AP52" s="349">
        <v>1778</v>
      </c>
      <c r="AQ52" s="349">
        <v>1609</v>
      </c>
      <c r="AR52" s="349">
        <v>1789</v>
      </c>
      <c r="AS52" s="350">
        <v>3956</v>
      </c>
      <c r="AT52" s="349">
        <v>1569</v>
      </c>
      <c r="AU52" s="349">
        <v>1104</v>
      </c>
      <c r="AV52" s="349">
        <v>2476</v>
      </c>
      <c r="AW52" s="350">
        <v>2577</v>
      </c>
      <c r="AX52" s="349">
        <v>1300</v>
      </c>
      <c r="AY52" s="349">
        <v>1902</v>
      </c>
    </row>
    <row r="53" spans="1:51" ht="13">
      <c r="A53" s="601" t="s">
        <v>634</v>
      </c>
      <c r="B53" s="612"/>
      <c r="C53" s="612"/>
      <c r="D53" s="561"/>
      <c r="E53" s="561"/>
      <c r="F53" s="341"/>
      <c r="G53" s="617">
        <v>129.5</v>
      </c>
      <c r="H53" s="617">
        <v>97.1</v>
      </c>
      <c r="I53" s="617">
        <v>67</v>
      </c>
      <c r="J53" s="617">
        <v>66</v>
      </c>
      <c r="K53" s="617">
        <v>104</v>
      </c>
      <c r="L53" s="617">
        <v>89.847656704267948</v>
      </c>
      <c r="M53" s="539"/>
      <c r="N53" s="341"/>
      <c r="O53" s="341"/>
      <c r="P53" s="341"/>
      <c r="Q53" s="346"/>
      <c r="R53" s="341"/>
      <c r="S53" s="341"/>
      <c r="T53" s="341"/>
      <c r="U53" s="346"/>
      <c r="V53" s="341">
        <v>64</v>
      </c>
      <c r="W53" s="341">
        <v>82</v>
      </c>
      <c r="X53" s="341">
        <v>101</v>
      </c>
      <c r="Y53" s="346">
        <v>113</v>
      </c>
      <c r="Z53" s="341">
        <v>130</v>
      </c>
      <c r="AA53" s="341">
        <v>155</v>
      </c>
      <c r="AB53" s="341">
        <v>145</v>
      </c>
      <c r="AC53" s="618">
        <v>129.5</v>
      </c>
      <c r="AD53" s="617">
        <v>131.72182967645963</v>
      </c>
      <c r="AE53" s="617">
        <v>105</v>
      </c>
      <c r="AF53" s="617">
        <v>99</v>
      </c>
      <c r="AG53" s="618">
        <v>97.1</v>
      </c>
      <c r="AH53" s="617">
        <v>79.749967443677562</v>
      </c>
      <c r="AI53" s="617">
        <v>82</v>
      </c>
      <c r="AJ53" s="617">
        <v>81</v>
      </c>
      <c r="AK53" s="618">
        <v>67.316609202235171</v>
      </c>
      <c r="AL53" s="617">
        <v>58.972886029411761</v>
      </c>
      <c r="AM53" s="617">
        <v>54</v>
      </c>
      <c r="AN53" s="617">
        <v>55</v>
      </c>
      <c r="AO53" s="618">
        <v>65.669274688094731</v>
      </c>
      <c r="AP53" s="617">
        <v>83</v>
      </c>
      <c r="AQ53" s="617">
        <v>90</v>
      </c>
      <c r="AR53" s="617">
        <v>88</v>
      </c>
      <c r="AS53" s="618">
        <v>104.25847699509076</v>
      </c>
      <c r="AT53" s="617">
        <v>99.8</v>
      </c>
      <c r="AU53" s="617">
        <v>93.500831944907247</v>
      </c>
      <c r="AV53" s="617">
        <v>105.49044027343297</v>
      </c>
      <c r="AW53" s="618">
        <v>89.847656704267948</v>
      </c>
      <c r="AX53" s="617">
        <v>88</v>
      </c>
      <c r="AY53" s="617">
        <v>93.477522364398141</v>
      </c>
    </row>
    <row r="54" spans="1:51" ht="13">
      <c r="A54" s="552"/>
      <c r="B54" s="560"/>
      <c r="C54" s="560"/>
      <c r="D54" s="561"/>
      <c r="E54" s="561"/>
      <c r="F54" s="341"/>
      <c r="G54" s="341"/>
      <c r="H54" s="341"/>
      <c r="I54" s="341"/>
      <c r="J54" s="341"/>
      <c r="K54" s="341"/>
      <c r="L54" s="341"/>
      <c r="M54" s="539"/>
      <c r="N54" s="341"/>
      <c r="O54" s="341"/>
      <c r="P54" s="341"/>
      <c r="Q54" s="346"/>
      <c r="R54" s="341"/>
      <c r="S54" s="341"/>
      <c r="T54" s="341"/>
      <c r="U54" s="346"/>
      <c r="V54" s="341"/>
      <c r="W54" s="341"/>
      <c r="X54" s="341"/>
      <c r="Y54" s="346"/>
      <c r="Z54" s="341"/>
      <c r="AA54" s="341"/>
      <c r="AB54" s="341"/>
      <c r="AC54" s="346"/>
      <c r="AD54" s="341"/>
      <c r="AE54" s="341"/>
      <c r="AF54" s="341"/>
      <c r="AG54" s="346"/>
      <c r="AH54" s="341"/>
      <c r="AI54" s="341"/>
      <c r="AJ54" s="341"/>
      <c r="AK54" s="346"/>
      <c r="AL54" s="341"/>
      <c r="AM54" s="341"/>
      <c r="AN54" s="341"/>
      <c r="AO54" s="346"/>
      <c r="AP54" s="341"/>
      <c r="AQ54" s="341"/>
      <c r="AR54" s="341"/>
      <c r="AS54" s="346"/>
      <c r="AT54" s="341"/>
      <c r="AU54" s="341"/>
      <c r="AV54" s="341"/>
      <c r="AW54" s="346"/>
      <c r="AX54" s="341"/>
      <c r="AY54" s="341"/>
    </row>
    <row r="55" spans="1:51" ht="13">
      <c r="A55" s="548" t="s">
        <v>635</v>
      </c>
      <c r="B55" s="560"/>
      <c r="C55" s="560"/>
      <c r="D55" s="613"/>
      <c r="E55" s="613"/>
      <c r="F55" s="341"/>
      <c r="G55" s="341"/>
      <c r="H55" s="341"/>
      <c r="I55" s="341"/>
      <c r="J55" s="341"/>
      <c r="K55" s="341"/>
      <c r="L55" s="341"/>
      <c r="M55" s="539"/>
      <c r="N55" s="341"/>
      <c r="O55" s="341"/>
      <c r="P55" s="341"/>
      <c r="Q55" s="346"/>
      <c r="R55" s="341"/>
      <c r="S55" s="341"/>
      <c r="T55" s="341"/>
      <c r="U55" s="346"/>
      <c r="V55" s="341"/>
      <c r="W55" s="341"/>
      <c r="X55" s="341"/>
      <c r="Y55" s="346"/>
      <c r="Z55" s="341"/>
      <c r="AA55" s="341"/>
      <c r="AB55" s="341"/>
      <c r="AC55" s="346"/>
      <c r="AD55" s="341"/>
      <c r="AE55" s="341"/>
      <c r="AF55" s="341"/>
      <c r="AG55" s="346"/>
      <c r="AH55" s="341"/>
      <c r="AI55" s="341"/>
      <c r="AJ55" s="341"/>
      <c r="AK55" s="346"/>
      <c r="AL55" s="341"/>
      <c r="AM55" s="341"/>
      <c r="AN55" s="341"/>
      <c r="AO55" s="346"/>
      <c r="AP55" s="341"/>
      <c r="AQ55" s="341"/>
      <c r="AR55" s="341"/>
      <c r="AS55" s="346"/>
      <c r="AT55" s="341"/>
      <c r="AU55" s="341"/>
      <c r="AV55" s="341"/>
      <c r="AW55" s="346"/>
      <c r="AX55" s="341"/>
      <c r="AY55" s="341"/>
    </row>
    <row r="56" spans="1:51" ht="13">
      <c r="A56" s="552" t="s">
        <v>636</v>
      </c>
      <c r="B56" s="571">
        <v>1212</v>
      </c>
      <c r="C56" s="571">
        <v>1212</v>
      </c>
      <c r="D56" s="571">
        <v>1212</v>
      </c>
      <c r="E56" s="571">
        <v>1205.607634</v>
      </c>
      <c r="F56" s="571">
        <v>1201</v>
      </c>
      <c r="G56" s="585">
        <v>1204</v>
      </c>
      <c r="H56" s="585">
        <v>1206.3050000000001</v>
      </c>
      <c r="I56" s="585">
        <v>1206</v>
      </c>
      <c r="J56" s="585">
        <v>1206</v>
      </c>
      <c r="K56" s="585">
        <v>1208</v>
      </c>
      <c r="L56" s="585">
        <v>1209</v>
      </c>
      <c r="M56" s="539"/>
      <c r="N56" s="571">
        <v>1212</v>
      </c>
      <c r="O56" s="571">
        <v>1212</v>
      </c>
      <c r="P56" s="571">
        <v>1212</v>
      </c>
      <c r="Q56" s="572">
        <v>1212</v>
      </c>
      <c r="R56" s="571">
        <v>1212</v>
      </c>
      <c r="S56" s="571">
        <v>1214</v>
      </c>
      <c r="T56" s="571">
        <v>1209.8633910000001</v>
      </c>
      <c r="U56" s="572">
        <v>1200.9032130000001</v>
      </c>
      <c r="V56" s="571">
        <v>1199.222</v>
      </c>
      <c r="W56" s="571">
        <v>1199.80457</v>
      </c>
      <c r="X56" s="571">
        <v>1201.713493</v>
      </c>
      <c r="Y56" s="572">
        <v>1202.696021</v>
      </c>
      <c r="Z56" s="571">
        <v>1203</v>
      </c>
      <c r="AA56" s="571">
        <v>1203.9224839999999</v>
      </c>
      <c r="AB56" s="571">
        <v>1204.855</v>
      </c>
      <c r="AC56" s="572">
        <v>1206</v>
      </c>
      <c r="AD56" s="571">
        <v>1205.999</v>
      </c>
      <c r="AE56" s="571">
        <v>1206.3800000000001</v>
      </c>
      <c r="AF56" s="571">
        <v>1207</v>
      </c>
      <c r="AG56" s="572">
        <v>1206</v>
      </c>
      <c r="AH56" s="571">
        <v>1206.2950000000001</v>
      </c>
      <c r="AI56" s="571">
        <v>1206.557</v>
      </c>
      <c r="AJ56" s="571">
        <v>1206.5709999999999</v>
      </c>
      <c r="AK56" s="572">
        <v>1205.903</v>
      </c>
      <c r="AL56" s="571">
        <v>1205.826</v>
      </c>
      <c r="AM56" s="571">
        <v>1206</v>
      </c>
      <c r="AN56" s="571">
        <v>1206.7383717076923</v>
      </c>
      <c r="AO56" s="572">
        <v>1206.8609714603172</v>
      </c>
      <c r="AP56" s="571">
        <v>1207.1120745714286</v>
      </c>
      <c r="AQ56" s="571">
        <v>1207.8629251999998</v>
      </c>
      <c r="AR56" s="571">
        <v>1208.1109288030302</v>
      </c>
      <c r="AS56" s="572">
        <v>1208.2847726612904</v>
      </c>
      <c r="AT56" s="571">
        <v>1208.5649282580644</v>
      </c>
      <c r="AU56" s="571">
        <v>1208.9256568135593</v>
      </c>
      <c r="AV56" s="571">
        <v>1208.988580121212</v>
      </c>
      <c r="AW56" s="572">
        <v>1209.0059710806449</v>
      </c>
      <c r="AX56" s="571">
        <v>1209.5862698064516</v>
      </c>
      <c r="AY56" s="571">
        <v>1209.8898396333334</v>
      </c>
    </row>
    <row r="57" spans="1:51" ht="13">
      <c r="A57" s="552" t="s">
        <v>637</v>
      </c>
      <c r="B57" s="592" t="s">
        <v>192</v>
      </c>
      <c r="C57" s="571" t="s">
        <v>192</v>
      </c>
      <c r="D57" s="571" t="s">
        <v>192</v>
      </c>
      <c r="E57" s="571">
        <v>1206.3074710000001</v>
      </c>
      <c r="F57" s="571">
        <v>1202</v>
      </c>
      <c r="G57" s="585">
        <v>1205</v>
      </c>
      <c r="H57" s="585">
        <v>1208.07</v>
      </c>
      <c r="I57" s="585">
        <v>1208</v>
      </c>
      <c r="J57" s="585">
        <v>1207</v>
      </c>
      <c r="K57" s="585">
        <v>1208</v>
      </c>
      <c r="L57" s="585">
        <v>1209</v>
      </c>
      <c r="M57" s="539"/>
      <c r="N57" s="571" t="s">
        <v>192</v>
      </c>
      <c r="O57" s="571" t="s">
        <v>192</v>
      </c>
      <c r="P57" s="571" t="s">
        <v>192</v>
      </c>
      <c r="Q57" s="572" t="s">
        <v>192</v>
      </c>
      <c r="R57" s="571" t="s">
        <v>192</v>
      </c>
      <c r="S57" s="571">
        <v>1214</v>
      </c>
      <c r="T57" s="571">
        <v>1210.867665</v>
      </c>
      <c r="U57" s="572">
        <v>1201.2693389999999</v>
      </c>
      <c r="V57" s="571">
        <v>1199.956318</v>
      </c>
      <c r="W57" s="571">
        <v>1200.262457</v>
      </c>
      <c r="X57" s="571">
        <v>1202.1115139999999</v>
      </c>
      <c r="Y57" s="572">
        <v>1204.241</v>
      </c>
      <c r="Z57" s="571">
        <v>1204</v>
      </c>
      <c r="AA57" s="571">
        <v>1204.833075</v>
      </c>
      <c r="AB57" s="571">
        <v>1205.5840000000001</v>
      </c>
      <c r="AC57" s="572">
        <v>1207</v>
      </c>
      <c r="AD57" s="571">
        <v>1207.644</v>
      </c>
      <c r="AE57" s="571">
        <v>1208.23</v>
      </c>
      <c r="AF57" s="571">
        <v>1208</v>
      </c>
      <c r="AG57" s="572">
        <v>1208</v>
      </c>
      <c r="AH57" s="571">
        <v>1207.998</v>
      </c>
      <c r="AI57" s="571">
        <v>1208.0250000000001</v>
      </c>
      <c r="AJ57" s="571">
        <v>1207.653</v>
      </c>
      <c r="AK57" s="572">
        <v>1207.191</v>
      </c>
      <c r="AL57" s="571">
        <v>1207.06</v>
      </c>
      <c r="AM57" s="571">
        <v>1207</v>
      </c>
      <c r="AN57" s="571">
        <v>1207.6321683276922</v>
      </c>
      <c r="AO57" s="572">
        <v>1207.6462703603177</v>
      </c>
      <c r="AP57" s="571">
        <v>1207.7948756914284</v>
      </c>
      <c r="AQ57" s="571">
        <v>1208.4239320699999</v>
      </c>
      <c r="AR57" s="571">
        <v>1208.5355728430304</v>
      </c>
      <c r="AS57" s="572">
        <v>1208.6720099212905</v>
      </c>
      <c r="AT57" s="571">
        <v>1208.8768267980645</v>
      </c>
      <c r="AU57" s="571">
        <v>1209.1282162835594</v>
      </c>
      <c r="AV57" s="571">
        <v>1209.1659031212121</v>
      </c>
      <c r="AW57" s="572">
        <v>1209.1877746706448</v>
      </c>
      <c r="AX57" s="571">
        <v>1209.8596794164514</v>
      </c>
      <c r="AY57" s="571">
        <v>1210.1848607033332</v>
      </c>
    </row>
    <row r="58" spans="1:51" ht="13">
      <c r="A58" s="552" t="s">
        <v>638</v>
      </c>
      <c r="B58" s="595">
        <v>12.3</v>
      </c>
      <c r="C58" s="608">
        <v>12.7</v>
      </c>
      <c r="D58" s="608">
        <v>9.94</v>
      </c>
      <c r="E58" s="563">
        <v>15.63278090523438</v>
      </c>
      <c r="F58" s="595">
        <v>19.02</v>
      </c>
      <c r="G58" s="619">
        <v>19.71</v>
      </c>
      <c r="H58" s="619">
        <v>21.375191182992694</v>
      </c>
      <c r="I58" s="619">
        <v>27.8</v>
      </c>
      <c r="J58" s="619">
        <v>30.8</v>
      </c>
      <c r="K58" s="619">
        <v>35.700000000000003</v>
      </c>
      <c r="L58" s="619">
        <v>34.968120737883858</v>
      </c>
      <c r="M58" s="539"/>
      <c r="N58" s="608">
        <v>14.31</v>
      </c>
      <c r="O58" s="608">
        <v>13.33</v>
      </c>
      <c r="P58" s="608">
        <v>10.33</v>
      </c>
      <c r="Q58" s="610">
        <v>9.94</v>
      </c>
      <c r="R58" s="608">
        <v>13.27</v>
      </c>
      <c r="S58" s="608">
        <v>14.45</v>
      </c>
      <c r="T58" s="608">
        <v>14.386748230817409</v>
      </c>
      <c r="U58" s="610">
        <v>15.63278090523438</v>
      </c>
      <c r="V58" s="608">
        <v>17.135998738512143</v>
      </c>
      <c r="W58" s="608">
        <v>16.536552885302513</v>
      </c>
      <c r="X58" s="608">
        <v>18.188290779081953</v>
      </c>
      <c r="Y58" s="610">
        <v>18.996787314591455</v>
      </c>
      <c r="Z58" s="608">
        <v>20.56</v>
      </c>
      <c r="AA58" s="608">
        <v>19.438864840324115</v>
      </c>
      <c r="AB58" s="608">
        <v>20.399940518173111</v>
      </c>
      <c r="AC58" s="610">
        <v>19.71</v>
      </c>
      <c r="AD58" s="608">
        <v>21.745353824604958</v>
      </c>
      <c r="AE58" s="608">
        <v>17.440172776145744</v>
      </c>
      <c r="AF58" s="608">
        <v>19.3</v>
      </c>
      <c r="AG58" s="610">
        <v>21.38</v>
      </c>
      <c r="AH58" s="608">
        <v>23.887206165894934</v>
      </c>
      <c r="AI58" s="608">
        <v>23.758743852674733</v>
      </c>
      <c r="AJ58" s="608">
        <v>26.331233421750664</v>
      </c>
      <c r="AK58" s="610">
        <v>27.776810657117039</v>
      </c>
      <c r="AL58" s="608">
        <v>29.401157840543654</v>
      </c>
      <c r="AM58" s="608">
        <v>29.19</v>
      </c>
      <c r="AN58" s="608">
        <v>30.792565478839776</v>
      </c>
      <c r="AO58" s="610">
        <v>30.841927403575163</v>
      </c>
      <c r="AP58" s="608">
        <v>33.778553039235874</v>
      </c>
      <c r="AQ58" s="608">
        <v>31.564905577098298</v>
      </c>
      <c r="AR58" s="608">
        <v>32.820156346399955</v>
      </c>
      <c r="AS58" s="610">
        <v>35.749653395674784</v>
      </c>
      <c r="AT58" s="608">
        <v>35.151258041954513</v>
      </c>
      <c r="AU58" s="608">
        <v>31.938161119433602</v>
      </c>
      <c r="AV58" s="608">
        <v>33.419571455065444</v>
      </c>
      <c r="AW58" s="610">
        <v>34.968120737883858</v>
      </c>
      <c r="AX58" s="608">
        <v>37.972857039728353</v>
      </c>
      <c r="AY58" s="608">
        <v>36.876608332504901</v>
      </c>
    </row>
    <row r="59" spans="1:51" ht="13">
      <c r="A59" s="601" t="s">
        <v>639</v>
      </c>
      <c r="B59" s="606">
        <v>2.95</v>
      </c>
      <c r="C59" s="606">
        <v>2.66</v>
      </c>
      <c r="D59" s="606">
        <v>3.55</v>
      </c>
      <c r="E59" s="605">
        <v>4.5039999999999996</v>
      </c>
      <c r="F59" s="620">
        <v>4.8899999999999997</v>
      </c>
      <c r="G59" s="621">
        <v>4.4800000000000004</v>
      </c>
      <c r="H59" s="621">
        <v>5.85</v>
      </c>
      <c r="I59" s="621">
        <v>6.96</v>
      </c>
      <c r="J59" s="621">
        <v>7.82</v>
      </c>
      <c r="K59" s="621">
        <v>7.23</v>
      </c>
      <c r="L59" s="621">
        <v>7.12</v>
      </c>
      <c r="M59" s="539"/>
      <c r="N59" s="606">
        <v>0.87</v>
      </c>
      <c r="O59" s="606">
        <v>0.89</v>
      </c>
      <c r="P59" s="606">
        <v>0.88</v>
      </c>
      <c r="Q59" s="607">
        <v>0.91</v>
      </c>
      <c r="R59" s="606">
        <v>0.89</v>
      </c>
      <c r="S59" s="606">
        <v>1.0900000000000001</v>
      </c>
      <c r="T59" s="606">
        <v>1.1773463334994536</v>
      </c>
      <c r="U59" s="607">
        <v>1.3506356619015891</v>
      </c>
      <c r="V59" s="606">
        <v>1.1440750753405124</v>
      </c>
      <c r="W59" s="606">
        <v>1.3985000000000001</v>
      </c>
      <c r="X59" s="606">
        <v>1.1100000000000001</v>
      </c>
      <c r="Y59" s="607">
        <v>1.23</v>
      </c>
      <c r="Z59" s="606">
        <v>1.18</v>
      </c>
      <c r="AA59" s="606">
        <v>0.85</v>
      </c>
      <c r="AB59" s="606">
        <v>1.1000000000000001</v>
      </c>
      <c r="AC59" s="607">
        <v>1.35</v>
      </c>
      <c r="AD59" s="606">
        <v>1.1499999999999999</v>
      </c>
      <c r="AE59" s="606">
        <v>1.4</v>
      </c>
      <c r="AF59" s="606">
        <v>1.6</v>
      </c>
      <c r="AG59" s="607">
        <v>1.7</v>
      </c>
      <c r="AH59" s="606">
        <v>1.66</v>
      </c>
      <c r="AI59" s="606">
        <v>1.47</v>
      </c>
      <c r="AJ59" s="606">
        <v>1.86</v>
      </c>
      <c r="AK59" s="607">
        <v>1.98</v>
      </c>
      <c r="AL59" s="606">
        <v>1.9</v>
      </c>
      <c r="AM59" s="606">
        <v>2.19</v>
      </c>
      <c r="AN59" s="606">
        <v>1.8512712054051934</v>
      </c>
      <c r="AO59" s="607">
        <v>1.8742838267965123</v>
      </c>
      <c r="AP59" s="606">
        <v>1.6634743718497869</v>
      </c>
      <c r="AQ59" s="606">
        <v>1.6905891864028215</v>
      </c>
      <c r="AR59" s="606">
        <v>1.9186979810675362</v>
      </c>
      <c r="AS59" s="607">
        <v>1.9556648014320401</v>
      </c>
      <c r="AT59" s="606">
        <v>1.8203407599878942</v>
      </c>
      <c r="AU59" s="606">
        <v>1.7354251588388234</v>
      </c>
      <c r="AV59" s="606">
        <v>1.6170541493485353</v>
      </c>
      <c r="AW59" s="607">
        <v>1.942918443901807</v>
      </c>
      <c r="AX59" s="606">
        <v>1.7394377338101445</v>
      </c>
      <c r="AY59" s="606">
        <v>2.0092738366467593</v>
      </c>
    </row>
    <row r="60" spans="1:51" ht="13">
      <c r="A60" s="552" t="s">
        <v>640</v>
      </c>
      <c r="B60" s="592" t="s">
        <v>192</v>
      </c>
      <c r="C60" s="571" t="s">
        <v>192</v>
      </c>
      <c r="D60" s="571" t="s">
        <v>192</v>
      </c>
      <c r="E60" s="605">
        <v>4.4928999999999997</v>
      </c>
      <c r="F60" s="620">
        <v>4.8899999999999997</v>
      </c>
      <c r="G60" s="621">
        <v>4.4800000000000004</v>
      </c>
      <c r="H60" s="621">
        <v>5.84</v>
      </c>
      <c r="I60" s="621">
        <v>6.95</v>
      </c>
      <c r="J60" s="621">
        <v>7.81</v>
      </c>
      <c r="K60" s="621">
        <v>7.23</v>
      </c>
      <c r="L60" s="621">
        <v>7.11</v>
      </c>
      <c r="M60" s="539"/>
      <c r="N60" s="571" t="s">
        <v>192</v>
      </c>
      <c r="O60" s="571" t="s">
        <v>192</v>
      </c>
      <c r="P60" s="571" t="s">
        <v>192</v>
      </c>
      <c r="Q60" s="572" t="s">
        <v>192</v>
      </c>
      <c r="R60" s="622" t="s">
        <v>192</v>
      </c>
      <c r="S60" s="622">
        <v>1.0900000000000001</v>
      </c>
      <c r="T60" s="622">
        <v>1.175633030772153</v>
      </c>
      <c r="U60" s="623">
        <v>1.3502000000000001</v>
      </c>
      <c r="V60" s="622">
        <v>1.1271</v>
      </c>
      <c r="W60" s="622">
        <v>1.3979999999999999</v>
      </c>
      <c r="X60" s="622">
        <v>1.1100000000000001</v>
      </c>
      <c r="Y60" s="623">
        <v>1.22</v>
      </c>
      <c r="Z60" s="622">
        <v>1.18</v>
      </c>
      <c r="AA60" s="622">
        <v>0.83</v>
      </c>
      <c r="AB60" s="622">
        <v>1.0900000000000001</v>
      </c>
      <c r="AC60" s="623">
        <v>1.35</v>
      </c>
      <c r="AD60" s="622">
        <v>1.1499999999999999</v>
      </c>
      <c r="AE60" s="622">
        <v>1.4</v>
      </c>
      <c r="AF60" s="622">
        <v>1.59</v>
      </c>
      <c r="AG60" s="623">
        <v>1.7</v>
      </c>
      <c r="AH60" s="622">
        <v>1.65</v>
      </c>
      <c r="AI60" s="622">
        <v>1.47</v>
      </c>
      <c r="AJ60" s="622">
        <v>1.85</v>
      </c>
      <c r="AK60" s="623">
        <v>1.98</v>
      </c>
      <c r="AL60" s="622">
        <v>1.9</v>
      </c>
      <c r="AM60" s="622">
        <v>2.19</v>
      </c>
      <c r="AN60" s="622">
        <v>1.8499010365826905</v>
      </c>
      <c r="AO60" s="623">
        <v>1.8730650319692554</v>
      </c>
      <c r="AP60" s="622">
        <v>1.66253396202768</v>
      </c>
      <c r="AQ60" s="622">
        <v>1.689804335885756</v>
      </c>
      <c r="AR60" s="622">
        <v>1.918023806735784</v>
      </c>
      <c r="AS60" s="623">
        <v>1.9550382408159517</v>
      </c>
      <c r="AT60" s="622">
        <v>1.8198710995454432</v>
      </c>
      <c r="AU60" s="622">
        <v>1.7351344313579284</v>
      </c>
      <c r="AV60" s="622">
        <v>1.6168170099351722</v>
      </c>
      <c r="AW60" s="623">
        <v>1.9426263225658342</v>
      </c>
      <c r="AX60" s="622">
        <v>1.7390446477353612</v>
      </c>
      <c r="AY60" s="622">
        <v>2.008784012210461</v>
      </c>
    </row>
    <row r="61" spans="1:51" ht="13">
      <c r="A61" s="1135" t="s">
        <v>641</v>
      </c>
      <c r="B61" s="1136"/>
      <c r="C61" s="1136"/>
      <c r="D61" s="1136">
        <v>29.1</v>
      </c>
      <c r="E61" s="1136">
        <v>33.218729735351332</v>
      </c>
      <c r="F61" s="1136">
        <v>28.291799520282051</v>
      </c>
      <c r="G61" s="1136">
        <v>22.694409415720891</v>
      </c>
      <c r="H61" s="1136">
        <v>29.457429048414024</v>
      </c>
      <c r="I61" s="1136">
        <v>28.4</v>
      </c>
      <c r="J61" s="1136">
        <v>26.8</v>
      </c>
      <c r="K61" s="1136">
        <v>22.2</v>
      </c>
      <c r="L61" s="1136">
        <v>20.870535714285715</v>
      </c>
      <c r="M61" s="539"/>
      <c r="N61" s="341"/>
      <c r="O61" s="341"/>
      <c r="P61" s="341"/>
      <c r="Q61" s="346"/>
      <c r="R61" s="1136">
        <v>29.207720340126876</v>
      </c>
      <c r="S61" s="1136">
        <v>30.771821120689658</v>
      </c>
      <c r="T61" s="1136">
        <v>32.551904558244644</v>
      </c>
      <c r="U61" s="1137">
        <v>33.218729735351332</v>
      </c>
      <c r="V61" s="1136">
        <v>31.681447282470298</v>
      </c>
      <c r="W61" s="1136">
        <v>32.3111904458328</v>
      </c>
      <c r="X61" s="1138">
        <v>30.540817943328356</v>
      </c>
      <c r="Y61" s="1137">
        <v>28.291799520282051</v>
      </c>
      <c r="Z61" s="1136">
        <v>27</v>
      </c>
      <c r="AA61" s="1136">
        <v>23.44931921331316</v>
      </c>
      <c r="AB61" s="1136">
        <v>22.432501708817497</v>
      </c>
      <c r="AC61" s="1137">
        <v>22.694409415720891</v>
      </c>
      <c r="AD61" s="1136">
        <v>21.929788712248151</v>
      </c>
      <c r="AE61" s="1136">
        <v>25.4</v>
      </c>
      <c r="AF61" s="1136">
        <v>28</v>
      </c>
      <c r="AG61" s="1137">
        <v>29.5</v>
      </c>
      <c r="AH61" s="1136">
        <v>30.710395643120297</v>
      </c>
      <c r="AI61" s="1136">
        <v>30.42812254516889</v>
      </c>
      <c r="AJ61" s="1136">
        <v>29.184922330448636</v>
      </c>
      <c r="AK61" s="1137">
        <v>28.39510347626133</v>
      </c>
      <c r="AL61" s="1136">
        <v>27.654902459981539</v>
      </c>
      <c r="AM61" s="1136">
        <v>29.3</v>
      </c>
      <c r="AN61" s="1136">
        <v>27.938984833873938</v>
      </c>
      <c r="AO61" s="1137">
        <v>26.767519087219366</v>
      </c>
      <c r="AP61" s="1136">
        <v>24.927117674304551</v>
      </c>
      <c r="AQ61" s="1136">
        <v>22.944745744509479</v>
      </c>
      <c r="AR61" s="1136">
        <v>22.618017876333514</v>
      </c>
      <c r="AS61" s="1137">
        <v>22.174531416670902</v>
      </c>
      <c r="AT61" s="1136">
        <v>22.070244867672521</v>
      </c>
      <c r="AU61" s="1136">
        <v>22.406607940508572</v>
      </c>
      <c r="AV61" s="1136">
        <v>21.216971607279174</v>
      </c>
      <c r="AW61" s="1137">
        <v>20.870535714285715</v>
      </c>
      <c r="AX61" s="1136">
        <v>20.32739873342096</v>
      </c>
      <c r="AY61" s="1136">
        <v>20.875253885031412</v>
      </c>
    </row>
    <row r="62" spans="1:51" ht="13">
      <c r="A62" s="552" t="s">
        <v>642</v>
      </c>
      <c r="B62" s="620">
        <v>4.5999999999999996</v>
      </c>
      <c r="C62" s="620">
        <v>4</v>
      </c>
      <c r="D62" s="620">
        <v>3.8</v>
      </c>
      <c r="E62" s="620">
        <v>3.2</v>
      </c>
      <c r="F62" s="620">
        <v>5.57</v>
      </c>
      <c r="G62" s="620">
        <v>5.82</v>
      </c>
      <c r="H62" s="620">
        <v>5.692590182416553</v>
      </c>
      <c r="I62" s="620">
        <v>4.6900000000000004</v>
      </c>
      <c r="J62" s="620">
        <v>5.15</v>
      </c>
      <c r="K62" s="620">
        <v>7.56</v>
      </c>
      <c r="L62" s="620">
        <v>6.39</v>
      </c>
      <c r="M62" s="539"/>
      <c r="N62" s="624">
        <v>0.91666666666666663</v>
      </c>
      <c r="O62" s="624">
        <v>1.0833333333333333</v>
      </c>
      <c r="P62" s="624">
        <v>1.0247524752475248</v>
      </c>
      <c r="Q62" s="625">
        <v>0.77887788778877887</v>
      </c>
      <c r="R62" s="624" t="s">
        <v>643</v>
      </c>
      <c r="S62" s="624">
        <v>0.2</v>
      </c>
      <c r="T62" s="624">
        <v>0.6</v>
      </c>
      <c r="U62" s="625">
        <v>1.9</v>
      </c>
      <c r="V62" s="624">
        <v>0.39358850988390809</v>
      </c>
      <c r="W62" s="624">
        <v>1.2552044204999153</v>
      </c>
      <c r="X62" s="624">
        <v>1.566929231442024</v>
      </c>
      <c r="Y62" s="625">
        <v>2.3505523845081382</v>
      </c>
      <c r="Z62" s="624">
        <v>1.27</v>
      </c>
      <c r="AA62" s="624">
        <v>1.63</v>
      </c>
      <c r="AB62" s="624">
        <v>1.1246166551161758</v>
      </c>
      <c r="AC62" s="625">
        <v>1.79</v>
      </c>
      <c r="AD62" s="624">
        <v>1.34</v>
      </c>
      <c r="AE62" s="624">
        <v>1.02</v>
      </c>
      <c r="AF62" s="624">
        <v>1.3</v>
      </c>
      <c r="AG62" s="625">
        <v>2</v>
      </c>
      <c r="AH62" s="624">
        <v>0.71872966397108495</v>
      </c>
      <c r="AI62" s="624">
        <v>1.211712335181844</v>
      </c>
      <c r="AJ62" s="624">
        <v>1.5034341120414796</v>
      </c>
      <c r="AK62" s="625">
        <v>1.2596369691426259</v>
      </c>
      <c r="AL62" s="624">
        <v>0.28030578209459739</v>
      </c>
      <c r="AM62" s="624">
        <v>1.28</v>
      </c>
      <c r="AN62" s="624">
        <v>1.5653765922159402</v>
      </c>
      <c r="AO62" s="625">
        <v>2.0176309099246277</v>
      </c>
      <c r="AP62" s="624">
        <v>1.4729369686996616</v>
      </c>
      <c r="AQ62" s="624">
        <v>1.3321047996680413</v>
      </c>
      <c r="AR62" s="624">
        <v>1.4800364414976033</v>
      </c>
      <c r="AS62" s="625">
        <v>3.28</v>
      </c>
      <c r="AT62" s="624">
        <v>1.2982339329186392</v>
      </c>
      <c r="AU62" s="624">
        <v>0.91320751923644472</v>
      </c>
      <c r="AV62" s="624">
        <v>2.0479928766173776</v>
      </c>
      <c r="AW62" s="625">
        <v>2.1315031204491093</v>
      </c>
      <c r="AX62" s="624">
        <v>1.08</v>
      </c>
      <c r="AY62" s="624">
        <v>1.5720439478824089</v>
      </c>
    </row>
    <row r="63" spans="1:51" ht="13">
      <c r="A63" s="168" t="s">
        <v>644</v>
      </c>
      <c r="B63" s="612"/>
      <c r="C63" s="612"/>
      <c r="D63" s="613"/>
      <c r="E63" s="626">
        <v>2.1</v>
      </c>
      <c r="F63" s="626">
        <v>2.4</v>
      </c>
      <c r="G63" s="626">
        <v>2.5</v>
      </c>
      <c r="H63" s="626">
        <v>3</v>
      </c>
      <c r="I63" s="621">
        <v>3.4</v>
      </c>
      <c r="J63" s="621">
        <v>3.8</v>
      </c>
      <c r="K63" s="621" t="s">
        <v>645</v>
      </c>
      <c r="L63" s="965">
        <v>3.8</v>
      </c>
      <c r="M63" s="964"/>
      <c r="N63" s="626"/>
      <c r="O63" s="626"/>
      <c r="P63" s="626"/>
      <c r="Q63" s="627"/>
      <c r="R63" s="626"/>
      <c r="S63" s="626"/>
      <c r="T63" s="626"/>
      <c r="U63" s="627">
        <v>2.1</v>
      </c>
      <c r="V63" s="626"/>
      <c r="W63" s="626"/>
      <c r="X63" s="626"/>
      <c r="Y63" s="627">
        <v>2.4</v>
      </c>
      <c r="Z63" s="626"/>
      <c r="AA63" s="626"/>
      <c r="AB63" s="626"/>
      <c r="AC63" s="628">
        <v>2.5</v>
      </c>
      <c r="AD63" s="626"/>
      <c r="AE63" s="626"/>
      <c r="AF63" s="626"/>
      <c r="AG63" s="628">
        <v>3</v>
      </c>
      <c r="AH63" s="626"/>
      <c r="AI63" s="626"/>
      <c r="AJ63" s="626"/>
      <c r="AK63" s="629">
        <v>3.4</v>
      </c>
      <c r="AL63" s="626"/>
      <c r="AM63" s="626"/>
      <c r="AN63" s="626"/>
      <c r="AO63" s="629">
        <v>3.8</v>
      </c>
      <c r="AP63" s="626"/>
      <c r="AQ63" s="626"/>
      <c r="AR63" s="626"/>
      <c r="AS63" s="629" t="str">
        <f>K63</f>
        <v>3.80</v>
      </c>
      <c r="AT63" s="626"/>
      <c r="AU63" s="626"/>
      <c r="AV63" s="626"/>
      <c r="AW63" s="629">
        <v>3.8</v>
      </c>
      <c r="AX63" s="626"/>
      <c r="AY63" s="626"/>
    </row>
    <row r="64" spans="1:51" ht="13">
      <c r="A64" s="168" t="s">
        <v>646</v>
      </c>
      <c r="B64" s="612"/>
      <c r="C64" s="612"/>
      <c r="D64" s="613"/>
      <c r="E64" s="630">
        <f>E63/E59</f>
        <v>0.46625222024866791</v>
      </c>
      <c r="F64" s="631">
        <v>0.49</v>
      </c>
      <c r="G64" s="631">
        <v>0.56000000000000005</v>
      </c>
      <c r="H64" s="631">
        <v>0.51</v>
      </c>
      <c r="I64" s="632">
        <v>0.49</v>
      </c>
      <c r="J64" s="632">
        <v>0.49</v>
      </c>
      <c r="K64" s="632">
        <f>3.8/K59</f>
        <v>0.52558782849239272</v>
      </c>
      <c r="L64" s="966">
        <v>0.53</v>
      </c>
      <c r="M64" s="964"/>
      <c r="N64" s="574"/>
      <c r="O64" s="574"/>
      <c r="P64" s="574"/>
      <c r="Q64" s="577"/>
      <c r="R64" s="574"/>
      <c r="S64" s="574"/>
      <c r="T64" s="574"/>
      <c r="U64" s="633">
        <v>0.47</v>
      </c>
      <c r="V64" s="574"/>
      <c r="W64" s="574"/>
      <c r="X64" s="574"/>
      <c r="Y64" s="633">
        <v>0.49</v>
      </c>
      <c r="Z64" s="574"/>
      <c r="AA64" s="574"/>
      <c r="AB64" s="574"/>
      <c r="AC64" s="634">
        <v>0.56000000000000005</v>
      </c>
      <c r="AD64" s="574"/>
      <c r="AE64" s="574"/>
      <c r="AF64" s="574"/>
      <c r="AG64" s="634">
        <v>0.51</v>
      </c>
      <c r="AH64" s="574"/>
      <c r="AI64" s="574"/>
      <c r="AJ64" s="574"/>
      <c r="AK64" s="635">
        <v>0.49</v>
      </c>
      <c r="AL64" s="574"/>
      <c r="AM64" s="574"/>
      <c r="AN64" s="574"/>
      <c r="AO64" s="635">
        <v>0.49</v>
      </c>
      <c r="AP64" s="574"/>
      <c r="AQ64" s="574"/>
      <c r="AR64" s="574"/>
      <c r="AS64" s="635">
        <f>K64</f>
        <v>0.52558782849239272</v>
      </c>
      <c r="AT64" s="574"/>
      <c r="AU64" s="574"/>
      <c r="AV64" s="574"/>
      <c r="AW64" s="635">
        <v>0.53</v>
      </c>
      <c r="AX64" s="574"/>
      <c r="AY64" s="574"/>
    </row>
    <row r="65" spans="1:51" ht="13">
      <c r="A65" s="168" t="s">
        <v>647</v>
      </c>
      <c r="B65" s="612"/>
      <c r="C65" s="612"/>
      <c r="D65" s="613"/>
      <c r="E65" s="613"/>
      <c r="F65" s="626"/>
      <c r="G65" s="626">
        <v>3</v>
      </c>
      <c r="H65" s="626"/>
      <c r="I65" s="626"/>
      <c r="J65" s="626"/>
      <c r="K65" s="626"/>
      <c r="L65" s="967" t="s">
        <v>1270</v>
      </c>
      <c r="M65" s="539"/>
      <c r="N65" s="626"/>
      <c r="O65" s="626"/>
      <c r="P65" s="626"/>
      <c r="Q65" s="627"/>
      <c r="R65" s="626"/>
      <c r="S65" s="626"/>
      <c r="T65" s="626"/>
      <c r="U65" s="627"/>
      <c r="V65" s="626"/>
      <c r="W65" s="626"/>
      <c r="X65" s="626"/>
      <c r="Y65" s="627"/>
      <c r="Z65" s="626"/>
      <c r="AA65" s="626"/>
      <c r="AB65" s="626"/>
      <c r="AC65" s="628">
        <v>3</v>
      </c>
      <c r="AD65" s="626"/>
      <c r="AE65" s="626"/>
      <c r="AF65" s="626"/>
      <c r="AG65" s="628"/>
      <c r="AH65" s="626"/>
      <c r="AI65" s="626"/>
      <c r="AJ65" s="626"/>
      <c r="AK65" s="346"/>
      <c r="AL65" s="626"/>
      <c r="AM65" s="626"/>
      <c r="AN65" s="626"/>
      <c r="AO65" s="346"/>
      <c r="AP65" s="626"/>
      <c r="AQ65" s="626"/>
      <c r="AR65" s="626"/>
      <c r="AS65" s="346"/>
      <c r="AT65" s="626"/>
      <c r="AU65" s="626"/>
      <c r="AV65" s="626"/>
      <c r="AW65" s="346" t="s">
        <v>1270</v>
      </c>
      <c r="AX65" s="626"/>
      <c r="AY65" s="626"/>
    </row>
    <row r="66" spans="1:51" ht="13">
      <c r="A66" s="552"/>
      <c r="B66" s="567"/>
      <c r="C66" s="567"/>
      <c r="D66" s="604"/>
      <c r="E66" s="604"/>
      <c r="F66" s="341"/>
      <c r="G66" s="341"/>
      <c r="H66" s="341"/>
      <c r="I66" s="341"/>
      <c r="J66" s="341"/>
      <c r="K66" s="341"/>
      <c r="L66" s="341"/>
      <c r="M66" s="539"/>
      <c r="N66" s="341"/>
      <c r="O66" s="341"/>
      <c r="P66" s="341"/>
      <c r="Q66" s="346"/>
      <c r="R66" s="341"/>
      <c r="S66" s="341"/>
      <c r="T66" s="341"/>
      <c r="U66" s="346"/>
      <c r="V66" s="341"/>
      <c r="W66" s="341"/>
      <c r="X66" s="341"/>
      <c r="Y66" s="346"/>
      <c r="Z66" s="341"/>
      <c r="AA66" s="341"/>
      <c r="AB66" s="341"/>
      <c r="AC66" s="346"/>
      <c r="AD66" s="341"/>
      <c r="AE66" s="341"/>
      <c r="AF66" s="341"/>
      <c r="AG66" s="346"/>
      <c r="AH66" s="341"/>
      <c r="AI66" s="341"/>
      <c r="AJ66" s="341"/>
      <c r="AK66" s="346"/>
      <c r="AL66" s="341"/>
      <c r="AM66" s="341"/>
      <c r="AN66" s="341"/>
      <c r="AO66" s="346"/>
      <c r="AP66" s="341"/>
      <c r="AQ66" s="341"/>
      <c r="AR66" s="341"/>
      <c r="AS66" s="346"/>
      <c r="AT66" s="341"/>
      <c r="AU66" s="341"/>
      <c r="AV66" s="341"/>
      <c r="AW66" s="346"/>
      <c r="AX66" s="341"/>
      <c r="AY66" s="341"/>
    </row>
    <row r="67" spans="1:51" ht="13">
      <c r="A67" s="548" t="s">
        <v>648</v>
      </c>
      <c r="B67" s="567"/>
      <c r="C67" s="567"/>
      <c r="D67" s="604"/>
      <c r="E67" s="604"/>
      <c r="F67" s="341"/>
      <c r="G67" s="341"/>
      <c r="H67" s="341"/>
      <c r="I67" s="341"/>
      <c r="J67" s="341"/>
      <c r="K67" s="341"/>
      <c r="L67" s="341"/>
      <c r="M67" s="539"/>
      <c r="N67" s="341"/>
      <c r="O67" s="341"/>
      <c r="P67" s="341"/>
      <c r="Q67" s="346"/>
      <c r="R67" s="341"/>
      <c r="S67" s="341"/>
      <c r="T67" s="341"/>
      <c r="U67" s="346"/>
      <c r="V67" s="341"/>
      <c r="W67" s="341"/>
      <c r="X67" s="341"/>
      <c r="Y67" s="346"/>
      <c r="Z67" s="341"/>
      <c r="AA67" s="341"/>
      <c r="AB67" s="341"/>
      <c r="AC67" s="346"/>
      <c r="AD67" s="341"/>
      <c r="AE67" s="341"/>
      <c r="AF67" s="341"/>
      <c r="AG67" s="346"/>
      <c r="AH67" s="341"/>
      <c r="AI67" s="341"/>
      <c r="AJ67" s="341"/>
      <c r="AK67" s="346"/>
      <c r="AL67" s="341"/>
      <c r="AM67" s="341"/>
      <c r="AN67" s="341"/>
      <c r="AO67" s="346"/>
      <c r="AP67" s="341"/>
      <c r="AQ67" s="341"/>
      <c r="AR67" s="341"/>
      <c r="AS67" s="346"/>
      <c r="AT67" s="341"/>
      <c r="AU67" s="341"/>
      <c r="AV67" s="341"/>
      <c r="AW67" s="346"/>
      <c r="AX67" s="341"/>
      <c r="AY67" s="341"/>
    </row>
    <row r="68" spans="1:51" ht="13">
      <c r="A68" s="168" t="s">
        <v>649</v>
      </c>
      <c r="B68" s="587"/>
      <c r="C68" s="587"/>
      <c r="D68" s="636">
        <v>12948</v>
      </c>
      <c r="E68" s="341">
        <v>13847</v>
      </c>
      <c r="F68" s="349">
        <v>14268</v>
      </c>
      <c r="G68" s="349">
        <v>13840</v>
      </c>
      <c r="H68" s="349">
        <v>15529</v>
      </c>
      <c r="I68" s="349">
        <v>16996</v>
      </c>
      <c r="J68" s="349">
        <v>18211</v>
      </c>
      <c r="K68" s="349">
        <v>18874</v>
      </c>
      <c r="L68" s="349">
        <v>19055</v>
      </c>
      <c r="M68" s="539"/>
      <c r="N68" s="349"/>
      <c r="O68" s="349"/>
      <c r="P68" s="349"/>
      <c r="Q68" s="350">
        <v>12948</v>
      </c>
      <c r="R68" s="349">
        <v>13271.37</v>
      </c>
      <c r="S68" s="349">
        <v>13572.39</v>
      </c>
      <c r="T68" s="349">
        <v>13837.48</v>
      </c>
      <c r="U68" s="350">
        <v>13847</v>
      </c>
      <c r="V68" s="349">
        <v>13939</v>
      </c>
      <c r="W68" s="349">
        <v>14620</v>
      </c>
      <c r="X68" s="349">
        <v>14670</v>
      </c>
      <c r="Y68" s="350">
        <v>14268</v>
      </c>
      <c r="Z68" s="349">
        <v>14176.6356987</v>
      </c>
      <c r="AA68" s="349">
        <v>13967.1542605</v>
      </c>
      <c r="AB68" s="349">
        <v>13902.244087700001</v>
      </c>
      <c r="AC68" s="350">
        <v>13840.4785889</v>
      </c>
      <c r="AD68" s="349">
        <v>13947</v>
      </c>
      <c r="AE68" s="349">
        <v>14569</v>
      </c>
      <c r="AF68" s="349">
        <v>15198</v>
      </c>
      <c r="AG68" s="350">
        <v>15529</v>
      </c>
      <c r="AH68" s="349">
        <v>15548</v>
      </c>
      <c r="AI68" s="349">
        <v>15912</v>
      </c>
      <c r="AJ68" s="349">
        <v>16217</v>
      </c>
      <c r="AK68" s="350">
        <v>16996</v>
      </c>
      <c r="AL68" s="349">
        <v>16042</v>
      </c>
      <c r="AM68" s="349">
        <v>18056</v>
      </c>
      <c r="AN68" s="349">
        <v>18146</v>
      </c>
      <c r="AO68" s="350">
        <v>18211</v>
      </c>
      <c r="AP68" s="349">
        <v>18156.621501000001</v>
      </c>
      <c r="AQ68" s="349">
        <v>19081.437000999998</v>
      </c>
      <c r="AR68" s="349">
        <v>18908.072345600001</v>
      </c>
      <c r="AS68" s="350">
        <v>18874</v>
      </c>
      <c r="AT68" s="349">
        <v>19042</v>
      </c>
      <c r="AU68" s="349">
        <v>19080</v>
      </c>
      <c r="AV68" s="349">
        <v>19067</v>
      </c>
      <c r="AW68" s="350">
        <v>19055</v>
      </c>
      <c r="AX68" s="349">
        <v>19086</v>
      </c>
      <c r="AY68" s="349">
        <v>19398</v>
      </c>
    </row>
    <row r="69" spans="1:51" ht="13">
      <c r="A69" s="168" t="s">
        <v>650</v>
      </c>
      <c r="B69" s="587"/>
      <c r="C69" s="587"/>
      <c r="D69" s="349">
        <v>1397</v>
      </c>
      <c r="E69" s="349">
        <v>1610</v>
      </c>
      <c r="F69" s="349">
        <v>1366</v>
      </c>
      <c r="G69" s="349">
        <v>1109</v>
      </c>
      <c r="H69" s="349">
        <v>1474</v>
      </c>
      <c r="I69" s="349">
        <v>1630</v>
      </c>
      <c r="J69" s="349">
        <v>1762</v>
      </c>
      <c r="K69" s="349">
        <v>1495</v>
      </c>
      <c r="L69" s="349">
        <v>1600</v>
      </c>
      <c r="M69" s="539"/>
      <c r="N69" s="341"/>
      <c r="O69" s="349"/>
      <c r="P69" s="349"/>
      <c r="Q69" s="350">
        <v>1397</v>
      </c>
      <c r="R69" s="349">
        <v>1513.53</v>
      </c>
      <c r="S69" s="349">
        <v>1602.76</v>
      </c>
      <c r="T69" s="349">
        <v>1705.98</v>
      </c>
      <c r="U69" s="350">
        <v>1609.74</v>
      </c>
      <c r="V69" s="349">
        <v>1531</v>
      </c>
      <c r="W69" s="349">
        <v>1576</v>
      </c>
      <c r="X69" s="349">
        <v>1485</v>
      </c>
      <c r="Y69" s="350">
        <v>1366</v>
      </c>
      <c r="Z69" s="349">
        <v>1332.2333999999998</v>
      </c>
      <c r="AA69" s="349">
        <v>1144.5119999000001</v>
      </c>
      <c r="AB69" s="349">
        <v>1108.239</v>
      </c>
      <c r="AC69" s="350">
        <v>1109.492</v>
      </c>
      <c r="AD69" s="349">
        <v>1200</v>
      </c>
      <c r="AE69" s="349">
        <v>1354</v>
      </c>
      <c r="AF69" s="349">
        <v>1404</v>
      </c>
      <c r="AG69" s="350">
        <v>1474</v>
      </c>
      <c r="AH69" s="349">
        <v>1521</v>
      </c>
      <c r="AI69" s="349">
        <v>1582</v>
      </c>
      <c r="AJ69" s="349">
        <v>1615</v>
      </c>
      <c r="AK69" s="350">
        <v>1630</v>
      </c>
      <c r="AL69" s="349">
        <v>1722</v>
      </c>
      <c r="AM69" s="349">
        <v>1783</v>
      </c>
      <c r="AN69" s="349">
        <v>1795</v>
      </c>
      <c r="AO69" s="350">
        <v>1762</v>
      </c>
      <c r="AP69" s="349">
        <v>1742.59</v>
      </c>
      <c r="AQ69" s="349">
        <v>1700.39</v>
      </c>
      <c r="AR69" s="349">
        <v>1592.43</v>
      </c>
      <c r="AS69" s="350">
        <v>1495</v>
      </c>
      <c r="AT69" s="349">
        <v>1516</v>
      </c>
      <c r="AU69" s="349">
        <v>1558</v>
      </c>
      <c r="AV69" s="349">
        <v>1568</v>
      </c>
      <c r="AW69" s="350">
        <v>1600</v>
      </c>
      <c r="AX69" s="349">
        <v>1745</v>
      </c>
      <c r="AY69" s="349">
        <v>1907</v>
      </c>
    </row>
    <row r="70" spans="1:51" ht="13">
      <c r="A70" s="168" t="s">
        <v>651</v>
      </c>
      <c r="B70" s="587"/>
      <c r="C70" s="637">
        <v>11749</v>
      </c>
      <c r="D70" s="637">
        <v>12355</v>
      </c>
      <c r="E70" s="637">
        <v>13517</v>
      </c>
      <c r="F70" s="637">
        <v>14398</v>
      </c>
      <c r="G70" s="637">
        <v>14012</v>
      </c>
      <c r="H70" s="637">
        <v>14611</v>
      </c>
      <c r="I70" s="637">
        <v>15969</v>
      </c>
      <c r="J70" s="637">
        <v>17923</v>
      </c>
      <c r="K70" s="637">
        <v>18778</v>
      </c>
      <c r="L70" s="637">
        <v>19054</v>
      </c>
      <c r="M70" s="539"/>
      <c r="N70" s="341"/>
      <c r="O70" s="341"/>
      <c r="P70" s="341"/>
      <c r="Q70" s="350">
        <v>12354.738565051926</v>
      </c>
      <c r="R70" s="349">
        <v>12595.5</v>
      </c>
      <c r="S70" s="349">
        <v>12926.17</v>
      </c>
      <c r="T70" s="349">
        <v>13235.71</v>
      </c>
      <c r="U70" s="350">
        <v>13517.11</v>
      </c>
      <c r="V70" s="349">
        <v>13733</v>
      </c>
      <c r="W70" s="349">
        <v>14022</v>
      </c>
      <c r="X70" s="349">
        <v>14249</v>
      </c>
      <c r="Y70" s="350">
        <v>14398</v>
      </c>
      <c r="Z70" s="349">
        <v>14454.0698625</v>
      </c>
      <c r="AA70" s="349">
        <v>14361.1978499</v>
      </c>
      <c r="AB70" s="349">
        <v>14195.348250700001</v>
      </c>
      <c r="AC70" s="350">
        <v>14012.2706932</v>
      </c>
      <c r="AD70" s="349">
        <v>13929</v>
      </c>
      <c r="AE70" s="349">
        <v>13980</v>
      </c>
      <c r="AF70" s="349">
        <v>14251</v>
      </c>
      <c r="AG70" s="350">
        <v>14611</v>
      </c>
      <c r="AH70" s="349">
        <v>14992</v>
      </c>
      <c r="AI70" s="349">
        <v>15370</v>
      </c>
      <c r="AJ70" s="349">
        <v>15658</v>
      </c>
      <c r="AK70" s="350">
        <v>15969</v>
      </c>
      <c r="AL70" s="349">
        <v>16483</v>
      </c>
      <c r="AM70" s="349">
        <v>17036</v>
      </c>
      <c r="AN70" s="349">
        <v>17535</v>
      </c>
      <c r="AO70" s="350">
        <v>17923</v>
      </c>
      <c r="AP70" s="349">
        <v>18117.077842800001</v>
      </c>
      <c r="AQ70" s="349">
        <v>18424.845635999998</v>
      </c>
      <c r="AR70" s="349">
        <v>18618.4380814</v>
      </c>
      <c r="AS70" s="350">
        <v>18778</v>
      </c>
      <c r="AT70" s="349">
        <v>18980</v>
      </c>
      <c r="AU70" s="349">
        <v>18956</v>
      </c>
      <c r="AV70" s="349">
        <v>18992</v>
      </c>
      <c r="AW70" s="350">
        <v>19054</v>
      </c>
      <c r="AX70" s="349">
        <v>19079</v>
      </c>
      <c r="AY70" s="349">
        <v>19131</v>
      </c>
    </row>
    <row r="71" spans="1:51" ht="13">
      <c r="A71" s="168" t="s">
        <v>652</v>
      </c>
      <c r="B71" s="587"/>
      <c r="C71" s="637"/>
      <c r="D71" s="637"/>
      <c r="E71" s="638">
        <v>8.9</v>
      </c>
      <c r="F71" s="638">
        <v>6</v>
      </c>
      <c r="G71" s="638">
        <v>4.8</v>
      </c>
      <c r="H71" s="638">
        <v>5.0999999999999996</v>
      </c>
      <c r="I71" s="638">
        <v>5.7</v>
      </c>
      <c r="J71" s="638">
        <v>5.0999999999999996</v>
      </c>
      <c r="K71" s="638">
        <v>4.3</v>
      </c>
      <c r="L71" s="638">
        <v>3.9</v>
      </c>
      <c r="M71" s="539"/>
      <c r="N71" s="341"/>
      <c r="O71" s="341"/>
      <c r="P71" s="341"/>
      <c r="Q71" s="350"/>
      <c r="R71" s="349"/>
      <c r="S71" s="349"/>
      <c r="T71" s="349"/>
      <c r="U71" s="573">
        <v>8.9</v>
      </c>
      <c r="V71" s="563"/>
      <c r="W71" s="563"/>
      <c r="X71" s="563"/>
      <c r="Y71" s="573">
        <v>6</v>
      </c>
      <c r="Z71" s="563"/>
      <c r="AA71" s="563"/>
      <c r="AB71" s="563"/>
      <c r="AC71" s="573">
        <v>4.8</v>
      </c>
      <c r="AD71" s="563">
        <v>4.3</v>
      </c>
      <c r="AE71" s="563">
        <v>4.7</v>
      </c>
      <c r="AF71" s="563">
        <v>5.3</v>
      </c>
      <c r="AG71" s="573">
        <v>5.0999999999999996</v>
      </c>
      <c r="AH71" s="563">
        <v>5.3</v>
      </c>
      <c r="AI71" s="563">
        <v>5.6</v>
      </c>
      <c r="AJ71" s="563">
        <v>5.6</v>
      </c>
      <c r="AK71" s="573">
        <v>5.7</v>
      </c>
      <c r="AL71" s="563">
        <v>6.2</v>
      </c>
      <c r="AM71" s="563">
        <v>5.5</v>
      </c>
      <c r="AN71" s="563">
        <v>5.0999999999999996</v>
      </c>
      <c r="AO71" s="573">
        <v>5.0999999999999996</v>
      </c>
      <c r="AP71" s="563">
        <v>4.5670798000000001</v>
      </c>
      <c r="AQ71" s="563">
        <v>4.6537303999999997</v>
      </c>
      <c r="AR71" s="563">
        <v>4.4000000000000004</v>
      </c>
      <c r="AS71" s="573">
        <v>4.3</v>
      </c>
      <c r="AT71" s="563">
        <v>4.3</v>
      </c>
      <c r="AU71" s="563">
        <v>4.2</v>
      </c>
      <c r="AV71" s="563">
        <v>4.0999999999999996</v>
      </c>
      <c r="AW71" s="573">
        <v>3.9</v>
      </c>
      <c r="AX71" s="563">
        <v>3.9</v>
      </c>
      <c r="AY71" s="563">
        <v>3.8</v>
      </c>
    </row>
    <row r="72" spans="1:51" ht="13">
      <c r="A72" s="168" t="s">
        <v>653</v>
      </c>
      <c r="B72" s="563">
        <v>4.5999999999999996</v>
      </c>
      <c r="C72" s="563">
        <v>3.8</v>
      </c>
      <c r="D72" s="563">
        <v>4.3</v>
      </c>
      <c r="E72" s="563">
        <v>3.4</v>
      </c>
      <c r="F72" s="563">
        <v>2.7</v>
      </c>
      <c r="G72" s="563">
        <v>2</v>
      </c>
      <c r="H72" s="563">
        <v>2.1</v>
      </c>
      <c r="I72" s="563">
        <v>2.2999999999999998</v>
      </c>
      <c r="J72" s="563">
        <v>2.2000000000000002</v>
      </c>
      <c r="K72" s="563">
        <v>1.8</v>
      </c>
      <c r="L72" s="563">
        <v>1.4</v>
      </c>
      <c r="M72" s="539"/>
      <c r="N72" s="563">
        <v>3.9</v>
      </c>
      <c r="O72" s="563">
        <v>3.7</v>
      </c>
      <c r="P72" s="563">
        <v>4.0999999999999996</v>
      </c>
      <c r="Q72" s="573">
        <v>4.3</v>
      </c>
      <c r="R72" s="563">
        <v>4.3</v>
      </c>
      <c r="S72" s="563">
        <v>4.4000000000000004</v>
      </c>
      <c r="T72" s="563">
        <v>4.0999999999999996</v>
      </c>
      <c r="U72" s="573">
        <v>3.4</v>
      </c>
      <c r="V72" s="563">
        <v>3.4</v>
      </c>
      <c r="W72" s="563">
        <v>3</v>
      </c>
      <c r="X72" s="563">
        <v>2.5</v>
      </c>
      <c r="Y72" s="573">
        <v>2.7</v>
      </c>
      <c r="Z72" s="563">
        <v>2.6</v>
      </c>
      <c r="AA72" s="563">
        <v>2.2999999999999998</v>
      </c>
      <c r="AB72" s="563">
        <v>2.2999999999999998</v>
      </c>
      <c r="AC72" s="573">
        <v>2</v>
      </c>
      <c r="AD72" s="563">
        <v>1.5</v>
      </c>
      <c r="AE72" s="563">
        <v>1.6</v>
      </c>
      <c r="AF72" s="563">
        <v>1.9</v>
      </c>
      <c r="AG72" s="573">
        <v>2.1</v>
      </c>
      <c r="AH72" s="563">
        <v>2.2000000000000002</v>
      </c>
      <c r="AI72" s="563">
        <v>2.4</v>
      </c>
      <c r="AJ72" s="563">
        <v>2.4</v>
      </c>
      <c r="AK72" s="573">
        <v>2.2999999999999998</v>
      </c>
      <c r="AL72" s="563">
        <v>2.4</v>
      </c>
      <c r="AM72" s="563">
        <v>2.1</v>
      </c>
      <c r="AN72" s="563">
        <v>2.1</v>
      </c>
      <c r="AO72" s="573">
        <v>2.2000000000000002</v>
      </c>
      <c r="AP72" s="563">
        <v>2.2999999999999998</v>
      </c>
      <c r="AQ72" s="563">
        <v>2.1</v>
      </c>
      <c r="AR72" s="563">
        <v>1.7943948999999999</v>
      </c>
      <c r="AS72" s="573">
        <v>1.8</v>
      </c>
      <c r="AT72" s="563">
        <v>1.7</v>
      </c>
      <c r="AU72" s="563">
        <v>1.6</v>
      </c>
      <c r="AV72" s="563">
        <v>1.6</v>
      </c>
      <c r="AW72" s="573">
        <v>1.4</v>
      </c>
      <c r="AX72" s="563">
        <v>1.4</v>
      </c>
      <c r="AY72" s="563">
        <v>1.3</v>
      </c>
    </row>
    <row r="73" spans="1:51" ht="13">
      <c r="A73" s="168" t="s">
        <v>654</v>
      </c>
      <c r="B73" s="612"/>
      <c r="C73" s="612">
        <v>15.1</v>
      </c>
      <c r="D73" s="561">
        <v>15.7</v>
      </c>
      <c r="E73" s="561">
        <v>16</v>
      </c>
      <c r="F73" s="341">
        <v>15.5</v>
      </c>
      <c r="G73" s="341">
        <v>15.7</v>
      </c>
      <c r="H73" s="341">
        <v>17.100000000000001</v>
      </c>
      <c r="I73" s="341">
        <v>18.2</v>
      </c>
      <c r="J73" s="341">
        <v>19</v>
      </c>
      <c r="K73" s="341">
        <v>19.8</v>
      </c>
      <c r="L73" s="341">
        <v>20.5</v>
      </c>
      <c r="M73" s="539"/>
      <c r="N73" s="341"/>
      <c r="O73" s="341"/>
      <c r="P73" s="341"/>
      <c r="Q73" s="346"/>
      <c r="R73" s="341"/>
      <c r="S73" s="341"/>
      <c r="T73" s="341"/>
      <c r="U73" s="346"/>
      <c r="V73" s="341">
        <v>16.100000000000001</v>
      </c>
      <c r="W73" s="341">
        <v>15.6</v>
      </c>
      <c r="X73" s="341">
        <v>15.7</v>
      </c>
      <c r="Y73" s="346">
        <v>15.5</v>
      </c>
      <c r="Z73" s="341">
        <v>15.5</v>
      </c>
      <c r="AA73" s="341">
        <v>15.5</v>
      </c>
      <c r="AB73" s="341">
        <v>15.6</v>
      </c>
      <c r="AC73" s="346">
        <v>15.7</v>
      </c>
      <c r="AD73" s="563">
        <v>15.79613</v>
      </c>
      <c r="AE73" s="563">
        <v>16.2</v>
      </c>
      <c r="AF73" s="563">
        <v>16.7</v>
      </c>
      <c r="AG73" s="346">
        <v>17.100000000000001</v>
      </c>
      <c r="AH73" s="563">
        <v>17.600000000000001</v>
      </c>
      <c r="AI73" s="563">
        <v>17.899999999999999</v>
      </c>
      <c r="AJ73" s="563">
        <v>18.100000000000001</v>
      </c>
      <c r="AK73" s="346">
        <v>18.2</v>
      </c>
      <c r="AL73" s="563">
        <v>18.600000000000001</v>
      </c>
      <c r="AM73" s="563">
        <v>18.8</v>
      </c>
      <c r="AN73" s="563">
        <v>18.8</v>
      </c>
      <c r="AO73" s="573">
        <v>19</v>
      </c>
      <c r="AP73" s="563">
        <v>19</v>
      </c>
      <c r="AQ73" s="563">
        <v>19.2</v>
      </c>
      <c r="AR73" s="563">
        <v>19.600000000000001</v>
      </c>
      <c r="AS73" s="573">
        <v>19.8</v>
      </c>
      <c r="AT73" s="563">
        <v>19.97</v>
      </c>
      <c r="AU73" s="563">
        <v>20.12997</v>
      </c>
      <c r="AV73" s="563">
        <v>20.3</v>
      </c>
      <c r="AW73" s="573">
        <v>20.5</v>
      </c>
      <c r="AX73" s="563">
        <v>20.5</v>
      </c>
      <c r="AY73" s="563">
        <v>20.6</v>
      </c>
    </row>
    <row r="74" spans="1:51" ht="13">
      <c r="A74" s="89" t="s">
        <v>655</v>
      </c>
      <c r="B74" s="612"/>
      <c r="C74" s="612"/>
      <c r="D74" s="561"/>
      <c r="E74" s="561"/>
      <c r="F74" s="341"/>
      <c r="G74" s="563">
        <v>21</v>
      </c>
      <c r="H74" s="341">
        <v>22.5</v>
      </c>
      <c r="I74" s="341">
        <v>22.7</v>
      </c>
      <c r="J74" s="341">
        <v>23.4</v>
      </c>
      <c r="K74" s="341">
        <v>24.4</v>
      </c>
      <c r="L74" s="341">
        <v>24.4</v>
      </c>
      <c r="M74" s="539"/>
      <c r="N74" s="341"/>
      <c r="O74" s="341"/>
      <c r="P74" s="341"/>
      <c r="Q74" s="346"/>
      <c r="R74" s="341"/>
      <c r="S74" s="341"/>
      <c r="T74" s="341"/>
      <c r="U74" s="346"/>
      <c r="V74" s="341"/>
      <c r="W74" s="341"/>
      <c r="X74" s="341"/>
      <c r="Y74" s="346"/>
      <c r="Z74" s="341">
        <v>20.3</v>
      </c>
      <c r="AA74" s="341">
        <v>20.399999999999999</v>
      </c>
      <c r="AB74" s="341">
        <v>20.3</v>
      </c>
      <c r="AC74" s="573">
        <v>21</v>
      </c>
      <c r="AD74" s="563">
        <v>21.3</v>
      </c>
      <c r="AE74" s="563">
        <v>20.6</v>
      </c>
      <c r="AF74" s="563">
        <v>21.5</v>
      </c>
      <c r="AG74" s="346">
        <v>22.5</v>
      </c>
      <c r="AH74" s="563">
        <v>23</v>
      </c>
      <c r="AI74" s="563">
        <v>22.4</v>
      </c>
      <c r="AJ74" s="563">
        <v>22.7</v>
      </c>
      <c r="AK74" s="346">
        <v>22.7</v>
      </c>
      <c r="AL74" s="563">
        <v>23.5</v>
      </c>
      <c r="AM74" s="563">
        <v>23.1</v>
      </c>
      <c r="AN74" s="563">
        <v>23.4</v>
      </c>
      <c r="AO74" s="346">
        <v>23.4</v>
      </c>
      <c r="AP74" s="563">
        <v>23.5</v>
      </c>
      <c r="AQ74" s="563">
        <v>23.6</v>
      </c>
      <c r="AR74" s="563">
        <v>24</v>
      </c>
      <c r="AS74" s="346">
        <v>24.4</v>
      </c>
      <c r="AT74" s="563">
        <v>24.47</v>
      </c>
      <c r="AU74" s="563">
        <v>25.47757</v>
      </c>
      <c r="AV74" s="563">
        <v>24.9</v>
      </c>
      <c r="AW74" s="346">
        <v>24.4</v>
      </c>
      <c r="AX74" s="563">
        <v>25.2</v>
      </c>
      <c r="AY74" s="563">
        <v>25.2</v>
      </c>
    </row>
    <row r="75" spans="1:51" ht="13">
      <c r="A75" s="567" t="s">
        <v>656</v>
      </c>
      <c r="B75" s="563">
        <v>2.11</v>
      </c>
      <c r="C75" s="563">
        <v>2.2999999999999998</v>
      </c>
      <c r="D75" s="563">
        <v>2.16</v>
      </c>
      <c r="E75" s="563">
        <v>2.2000000000000002</v>
      </c>
      <c r="F75" s="563">
        <v>2.12</v>
      </c>
      <c r="G75" s="563">
        <v>2.1</v>
      </c>
      <c r="H75" s="563">
        <v>2.4300000000000002</v>
      </c>
      <c r="I75" s="563">
        <v>2.4</v>
      </c>
      <c r="J75" s="563">
        <v>2.1</v>
      </c>
      <c r="K75" s="563">
        <v>2.2000000000000002</v>
      </c>
      <c r="L75" s="563">
        <v>2.1</v>
      </c>
      <c r="M75" s="539"/>
      <c r="N75" s="563">
        <v>2.2999999999999998</v>
      </c>
      <c r="O75" s="563">
        <v>2.2000000000000002</v>
      </c>
      <c r="P75" s="563">
        <v>2.15</v>
      </c>
      <c r="Q75" s="573">
        <v>2.16</v>
      </c>
      <c r="R75" s="563">
        <v>2.1</v>
      </c>
      <c r="S75" s="563">
        <v>2.1</v>
      </c>
      <c r="T75" s="563">
        <v>2.16281486544715</v>
      </c>
      <c r="U75" s="573">
        <v>2.1694629901857598</v>
      </c>
      <c r="V75" s="563">
        <v>2.16228</v>
      </c>
      <c r="W75" s="563">
        <v>2.1944000000000004</v>
      </c>
      <c r="X75" s="563">
        <v>2.1635</v>
      </c>
      <c r="Y75" s="573">
        <v>2.12</v>
      </c>
      <c r="Z75" s="563">
        <v>2.1</v>
      </c>
      <c r="AA75" s="563">
        <v>2.03294</v>
      </c>
      <c r="AB75" s="563">
        <v>2.0552899999999998</v>
      </c>
      <c r="AC75" s="573">
        <v>2.0552899999999998</v>
      </c>
      <c r="AD75" s="563">
        <v>2.1490900000000002</v>
      </c>
      <c r="AE75" s="563">
        <v>2.2999999999999998</v>
      </c>
      <c r="AF75" s="563">
        <v>2.4</v>
      </c>
      <c r="AG75" s="573">
        <v>2.4300000000000002</v>
      </c>
      <c r="AH75" s="563">
        <v>2.6139800000000002</v>
      </c>
      <c r="AI75" s="563">
        <v>2.5299999999999998</v>
      </c>
      <c r="AJ75" s="563">
        <v>2.5</v>
      </c>
      <c r="AK75" s="573">
        <v>2.4</v>
      </c>
      <c r="AL75" s="563">
        <v>2.2000000000000002</v>
      </c>
      <c r="AM75" s="563">
        <v>2.1</v>
      </c>
      <c r="AN75" s="563">
        <v>2.1</v>
      </c>
      <c r="AO75" s="573">
        <v>2.1</v>
      </c>
      <c r="AP75" s="563">
        <v>2.2000000000000002</v>
      </c>
      <c r="AQ75" s="563">
        <v>2.2000000000000002</v>
      </c>
      <c r="AR75" s="563">
        <v>2.2000000000000002</v>
      </c>
      <c r="AS75" s="573">
        <v>2.2000000000000002</v>
      </c>
      <c r="AT75" s="563">
        <v>2.1</v>
      </c>
      <c r="AU75" s="563">
        <v>2.1514099999999998</v>
      </c>
      <c r="AV75" s="563">
        <v>2.1</v>
      </c>
      <c r="AW75" s="573">
        <v>2.1</v>
      </c>
      <c r="AX75" s="563">
        <v>2.1</v>
      </c>
      <c r="AY75" s="563">
        <v>2</v>
      </c>
    </row>
    <row r="76" spans="1:51" s="1106" customFormat="1" ht="13">
      <c r="A76" s="1096" t="s">
        <v>1340</v>
      </c>
      <c r="B76" s="1097"/>
      <c r="C76" s="1097"/>
      <c r="D76" s="1098"/>
      <c r="E76" s="1098"/>
      <c r="F76" s="1099">
        <v>105272</v>
      </c>
      <c r="G76" s="1099">
        <v>83317</v>
      </c>
      <c r="H76" s="1099">
        <v>82383.483175000001</v>
      </c>
      <c r="I76" s="1099">
        <v>91168</v>
      </c>
      <c r="J76" s="1099">
        <v>93258</v>
      </c>
      <c r="K76" s="1099">
        <v>102590</v>
      </c>
      <c r="L76" s="1099">
        <v>107948</v>
      </c>
      <c r="M76" s="1100"/>
      <c r="N76" s="1101"/>
      <c r="O76" s="1101"/>
      <c r="P76" s="1101"/>
      <c r="Q76" s="1102"/>
      <c r="R76" s="1101"/>
      <c r="S76" s="1101"/>
      <c r="T76" s="1101"/>
      <c r="U76" s="1101"/>
      <c r="V76" s="1103">
        <v>130231</v>
      </c>
      <c r="W76" s="1104">
        <v>123288</v>
      </c>
      <c r="X76" s="1104">
        <v>111924</v>
      </c>
      <c r="Y76" s="1105">
        <v>105272</v>
      </c>
      <c r="Z76" s="1104">
        <v>96411</v>
      </c>
      <c r="AA76" s="1104">
        <v>91425</v>
      </c>
      <c r="AB76" s="1104">
        <v>87672</v>
      </c>
      <c r="AC76" s="1104">
        <v>83317</v>
      </c>
      <c r="AD76" s="1103">
        <v>79967</v>
      </c>
      <c r="AE76" s="1104">
        <v>79944</v>
      </c>
      <c r="AF76" s="1104">
        <v>80099</v>
      </c>
      <c r="AG76" s="1105">
        <v>82383.483175000001</v>
      </c>
      <c r="AH76" s="1104">
        <v>84890</v>
      </c>
      <c r="AI76" s="1104">
        <v>85110</v>
      </c>
      <c r="AJ76" s="1104">
        <v>87590</v>
      </c>
      <c r="AK76" s="1105">
        <v>91168</v>
      </c>
      <c r="AL76" s="1104">
        <v>91948</v>
      </c>
      <c r="AM76" s="1104">
        <v>91822</v>
      </c>
      <c r="AN76" s="1104">
        <v>89881</v>
      </c>
      <c r="AO76" s="1105">
        <v>93258</v>
      </c>
      <c r="AP76" s="1104">
        <v>96987</v>
      </c>
      <c r="AQ76" s="1104">
        <v>102310</v>
      </c>
      <c r="AR76" s="1104">
        <v>106070</v>
      </c>
      <c r="AS76" s="1104">
        <v>102590</v>
      </c>
      <c r="AT76" s="1103">
        <v>101961</v>
      </c>
      <c r="AU76" s="1104">
        <v>100271</v>
      </c>
      <c r="AV76" s="1104">
        <v>104683</v>
      </c>
      <c r="AW76" s="1104">
        <v>107948</v>
      </c>
      <c r="AX76" s="1103"/>
      <c r="AY76" s="1104"/>
    </row>
    <row r="77" spans="1:51" s="1106" customFormat="1" ht="13">
      <c r="A77" s="1096" t="s">
        <v>1341</v>
      </c>
      <c r="B77" s="1107">
        <v>5.37</v>
      </c>
      <c r="C77" s="1107">
        <v>5.17</v>
      </c>
      <c r="D77" s="1107">
        <v>6.2362976781598585</v>
      </c>
      <c r="E77" s="1107">
        <v>5.6</v>
      </c>
      <c r="F77" s="1107">
        <v>4.5</v>
      </c>
      <c r="G77" s="1107">
        <v>4.0999999999999996</v>
      </c>
      <c r="H77" s="1107">
        <v>3.6294593990042943</v>
      </c>
      <c r="I77" s="1107">
        <v>3.18</v>
      </c>
      <c r="J77" s="1107">
        <v>2.7</v>
      </c>
      <c r="K77" s="1107">
        <v>2.7</v>
      </c>
      <c r="L77" s="1107">
        <v>3</v>
      </c>
      <c r="M77" s="1107"/>
      <c r="N77" s="1107">
        <v>5.6463888704720837</v>
      </c>
      <c r="O77" s="1107">
        <v>5.548382319310428</v>
      </c>
      <c r="P77" s="1107">
        <v>5.8304998739530012</v>
      </c>
      <c r="Q77" s="1107">
        <v>6.2362976781598585</v>
      </c>
      <c r="R77" s="1108">
        <v>6.2132534377407653</v>
      </c>
      <c r="S77" s="1107">
        <v>6.2521680046773254</v>
      </c>
      <c r="T77" s="1107">
        <v>6.2383032508052079</v>
      </c>
      <c r="U77" s="1107">
        <v>5.6279778923314741</v>
      </c>
      <c r="V77" s="1108">
        <v>5.4980342841943948</v>
      </c>
      <c r="W77" s="1107">
        <v>5.1577854403756032</v>
      </c>
      <c r="X77" s="1107">
        <v>4.6590176006662762</v>
      </c>
      <c r="Y77" s="1107">
        <v>4.5</v>
      </c>
      <c r="Z77" s="1108">
        <v>4.2</v>
      </c>
      <c r="AA77" s="1107">
        <v>4.2</v>
      </c>
      <c r="AB77" s="1107">
        <v>4.2300000000000004</v>
      </c>
      <c r="AC77" s="1107">
        <v>4.0999999999999996</v>
      </c>
      <c r="AD77" s="1108">
        <v>3.93</v>
      </c>
      <c r="AE77" s="1107">
        <v>3.8</v>
      </c>
      <c r="AF77" s="1107">
        <v>3.7</v>
      </c>
      <c r="AG77" s="1107">
        <v>3.6294593990042943</v>
      </c>
      <c r="AH77" s="1108">
        <v>3.5</v>
      </c>
      <c r="AI77" s="1107">
        <v>3.36</v>
      </c>
      <c r="AJ77" s="1107">
        <v>3.2</v>
      </c>
      <c r="AK77" s="1107">
        <v>3.18</v>
      </c>
      <c r="AL77" s="1108">
        <v>3.14</v>
      </c>
      <c r="AM77" s="1107">
        <v>2.82</v>
      </c>
      <c r="AN77" s="1107">
        <v>2.7</v>
      </c>
      <c r="AO77" s="1107">
        <v>2.7</v>
      </c>
      <c r="AP77" s="1108">
        <v>2.7</v>
      </c>
      <c r="AQ77" s="1107">
        <v>2.9</v>
      </c>
      <c r="AR77" s="1107">
        <v>2.9</v>
      </c>
      <c r="AS77" s="1107">
        <v>2.7</v>
      </c>
      <c r="AT77" s="1108">
        <v>2.7</v>
      </c>
      <c r="AU77" s="1107">
        <v>2.7</v>
      </c>
      <c r="AV77" s="1107">
        <v>2.9</v>
      </c>
      <c r="AW77" s="1107">
        <v>3</v>
      </c>
      <c r="AX77" s="1103"/>
      <c r="AY77" s="1104"/>
    </row>
    <row r="78" spans="1:51" ht="13">
      <c r="A78" s="220" t="s">
        <v>1338</v>
      </c>
      <c r="B78" s="563"/>
      <c r="C78" s="563"/>
      <c r="D78" s="563"/>
      <c r="E78" s="563"/>
      <c r="F78" s="563"/>
      <c r="G78" s="563"/>
      <c r="H78" s="563"/>
      <c r="I78" s="563"/>
      <c r="J78" s="563"/>
      <c r="K78" s="563"/>
      <c r="L78" s="563"/>
      <c r="M78" s="563"/>
      <c r="N78" s="563"/>
      <c r="O78" s="563"/>
      <c r="P78" s="563"/>
      <c r="Q78" s="563"/>
      <c r="R78" s="1094"/>
      <c r="S78" s="563"/>
      <c r="T78" s="563"/>
      <c r="U78" s="563"/>
      <c r="V78" s="1094"/>
      <c r="W78" s="563"/>
      <c r="X78" s="563"/>
      <c r="Y78" s="563"/>
      <c r="Z78" s="1094"/>
      <c r="AA78" s="563"/>
      <c r="AB78" s="563"/>
      <c r="AC78" s="563"/>
      <c r="AD78" s="1094"/>
      <c r="AE78" s="563"/>
      <c r="AF78" s="563"/>
      <c r="AG78" s="563"/>
      <c r="AH78" s="1094"/>
      <c r="AI78" s="563"/>
      <c r="AJ78" s="563"/>
      <c r="AK78" s="563"/>
      <c r="AL78" s="1094"/>
      <c r="AM78" s="563"/>
      <c r="AN78" s="563"/>
      <c r="AO78" s="563"/>
      <c r="AP78" s="1094"/>
      <c r="AQ78" s="563"/>
      <c r="AR78" s="563"/>
      <c r="AS78" s="563"/>
      <c r="AT78" s="1093">
        <v>50759</v>
      </c>
      <c r="AU78" s="349">
        <v>51073</v>
      </c>
      <c r="AV78" s="563"/>
      <c r="AW78" s="563"/>
      <c r="AX78" s="1093">
        <v>46197</v>
      </c>
      <c r="AY78" s="349">
        <v>45437</v>
      </c>
    </row>
    <row r="79" spans="1:51" ht="14" thickBot="1">
      <c r="A79" s="639" t="s">
        <v>1339</v>
      </c>
      <c r="B79" s="640"/>
      <c r="C79" s="640"/>
      <c r="D79" s="640"/>
      <c r="E79" s="640"/>
      <c r="F79" s="640"/>
      <c r="G79" s="640"/>
      <c r="H79" s="640"/>
      <c r="I79" s="640"/>
      <c r="J79" s="640"/>
      <c r="K79" s="640"/>
      <c r="L79" s="640"/>
      <c r="M79" s="640"/>
      <c r="N79" s="640"/>
      <c r="O79" s="640"/>
      <c r="P79" s="640"/>
      <c r="Q79" s="641"/>
      <c r="R79" s="640"/>
      <c r="S79" s="640"/>
      <c r="T79" s="640"/>
      <c r="U79" s="641"/>
      <c r="V79" s="640"/>
      <c r="W79" s="640"/>
      <c r="X79" s="640"/>
      <c r="Y79" s="640"/>
      <c r="Z79" s="1095"/>
      <c r="AA79" s="640"/>
      <c r="AB79" s="640"/>
      <c r="AC79" s="640"/>
      <c r="AD79" s="1095"/>
      <c r="AE79" s="640"/>
      <c r="AF79" s="640"/>
      <c r="AG79" s="641"/>
      <c r="AH79" s="640"/>
      <c r="AI79" s="640"/>
      <c r="AJ79" s="640"/>
      <c r="AK79" s="641"/>
      <c r="AL79" s="640"/>
      <c r="AM79" s="640"/>
      <c r="AN79" s="640"/>
      <c r="AO79" s="641"/>
      <c r="AP79" s="640"/>
      <c r="AQ79" s="640"/>
      <c r="AR79" s="640"/>
      <c r="AS79" s="641"/>
      <c r="AT79" s="1109">
        <v>107506</v>
      </c>
      <c r="AU79" s="1109">
        <v>109792</v>
      </c>
      <c r="AV79" s="640"/>
      <c r="AW79" s="641"/>
      <c r="AX79" s="1109">
        <v>123165</v>
      </c>
      <c r="AY79" s="1109">
        <v>126593</v>
      </c>
    </row>
    <row r="80" spans="1:51" ht="13">
      <c r="A80" s="642" t="s">
        <v>657</v>
      </c>
      <c r="B80" s="62"/>
      <c r="C80" s="62"/>
      <c r="D80" s="62"/>
      <c r="E80" s="62"/>
      <c r="F80" s="540"/>
      <c r="G80" s="541"/>
      <c r="H80" s="541"/>
      <c r="I80" s="541"/>
      <c r="J80" s="541"/>
      <c r="K80" s="541"/>
      <c r="L80" s="541"/>
      <c r="M80" s="542"/>
      <c r="N80" s="540"/>
      <c r="O80" s="540"/>
      <c r="P80" s="540"/>
      <c r="Q80" s="543"/>
      <c r="R80" s="540"/>
      <c r="S80" s="540"/>
      <c r="T80" s="540"/>
      <c r="U80" s="543"/>
      <c r="V80" s="540"/>
      <c r="W80" s="540"/>
      <c r="X80" s="540"/>
      <c r="Y80" s="543"/>
      <c r="Z80" s="540"/>
      <c r="AA80" s="540"/>
      <c r="AB80" s="540"/>
      <c r="AC80" s="543"/>
      <c r="AD80" s="540"/>
      <c r="AE80" s="540"/>
      <c r="AF80" s="540"/>
      <c r="AG80" s="543"/>
      <c r="AH80" s="540"/>
      <c r="AI80" s="540"/>
      <c r="AJ80" s="540"/>
      <c r="AK80" s="543"/>
      <c r="AL80" s="540"/>
      <c r="AM80" s="540"/>
      <c r="AN80" s="540"/>
      <c r="AO80" s="543"/>
      <c r="AP80" s="540"/>
      <c r="AQ80" s="540"/>
      <c r="AR80" s="540"/>
      <c r="AS80" s="543"/>
      <c r="AT80" s="540"/>
      <c r="AU80" s="540"/>
      <c r="AV80" s="540"/>
      <c r="AW80" s="543"/>
      <c r="AX80" s="540"/>
      <c r="AY80" s="540"/>
    </row>
    <row r="81" spans="1:51" ht="13">
      <c r="A81" s="540" t="s">
        <v>658</v>
      </c>
      <c r="B81" s="540"/>
      <c r="C81" s="540"/>
      <c r="D81" s="540"/>
      <c r="E81" s="540"/>
      <c r="F81" s="540"/>
      <c r="G81" s="541"/>
      <c r="H81" s="541"/>
      <c r="I81" s="541"/>
      <c r="J81" s="541"/>
      <c r="K81" s="541"/>
      <c r="L81" s="541"/>
      <c r="M81" s="542"/>
      <c r="N81" s="540"/>
      <c r="O81" s="540"/>
      <c r="P81" s="540"/>
      <c r="Q81" s="543"/>
      <c r="R81" s="540"/>
      <c r="S81" s="540"/>
      <c r="T81" s="540"/>
      <c r="U81" s="543"/>
      <c r="V81" s="540"/>
      <c r="W81" s="540"/>
      <c r="X81" s="540"/>
      <c r="Y81" s="543"/>
      <c r="Z81" s="540"/>
      <c r="AA81" s="540"/>
      <c r="AB81" s="540"/>
      <c r="AC81" s="543"/>
      <c r="AD81" s="540"/>
      <c r="AE81" s="540"/>
      <c r="AF81" s="540"/>
      <c r="AG81" s="543"/>
      <c r="AH81" s="540"/>
      <c r="AI81" s="540"/>
      <c r="AJ81" s="540"/>
      <c r="AK81" s="543"/>
      <c r="AL81" s="540"/>
      <c r="AM81" s="540"/>
      <c r="AN81" s="540"/>
      <c r="AO81" s="543"/>
      <c r="AP81" s="540"/>
      <c r="AQ81" s="540"/>
      <c r="AR81" s="540"/>
      <c r="AS81" s="543"/>
      <c r="AT81" s="540"/>
      <c r="AU81" s="540"/>
      <c r="AV81" s="540"/>
      <c r="AW81" s="543"/>
      <c r="AX81" s="540"/>
      <c r="AY81" s="540"/>
    </row>
  </sheetData>
  <hyperlinks>
    <hyperlink ref="A2" location="'START PAGE'!A1" display="Back to start page" xr:uid="{16099EEB-F142-4D01-932A-FB0EE0EC5080}"/>
  </hyperlinks>
  <pageMargins left="0" right="0" top="0.74803149606299213" bottom="0.74803149606299213" header="0.31496062992125984" footer="0.31496062992125984"/>
  <pageSetup paperSize="9" scale="51"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D2A79-0CF4-485F-992C-A3CF42C182D5}">
  <sheetPr>
    <tabColor theme="3"/>
    <pageSetUpPr fitToPage="1"/>
  </sheetPr>
  <dimension ref="A1:P141"/>
  <sheetViews>
    <sheetView showGridLines="0" zoomScaleNormal="100" workbookViewId="0"/>
  </sheetViews>
  <sheetFormatPr baseColWidth="10" defaultColWidth="10.33203125" defaultRowHeight="11"/>
  <cols>
    <col min="1" max="1" width="11.6640625" style="1050" customWidth="1"/>
    <col min="2" max="2" width="82.33203125" style="969" bestFit="1" customWidth="1"/>
    <col min="3" max="10" width="10.6640625" style="999" customWidth="1"/>
    <col min="11" max="11" width="10.6640625" style="1000" customWidth="1"/>
    <col min="12" max="16384" width="10.33203125" style="969"/>
  </cols>
  <sheetData>
    <row r="1" spans="1:13" ht="12" thickBot="1">
      <c r="A1" s="1051" t="s">
        <v>659</v>
      </c>
      <c r="B1" s="1051"/>
      <c r="C1" s="1051"/>
      <c r="D1" s="1051"/>
      <c r="E1" s="1051"/>
      <c r="F1" s="1051"/>
      <c r="G1" s="1051"/>
      <c r="H1" s="1051"/>
      <c r="I1" s="1051"/>
      <c r="J1" s="1052"/>
      <c r="K1" s="1051"/>
    </row>
    <row r="2" spans="1:13" s="972" customFormat="1" ht="50" thickTop="1" thickBot="1">
      <c r="A2" s="970" t="s">
        <v>1276</v>
      </c>
      <c r="B2" s="971" t="s">
        <v>30</v>
      </c>
      <c r="C2" s="1053"/>
      <c r="D2" s="1053"/>
      <c r="E2" s="1053"/>
      <c r="F2" s="1053"/>
      <c r="G2" s="1053"/>
      <c r="H2" s="1053"/>
      <c r="I2" s="1053"/>
      <c r="J2" s="1054"/>
      <c r="K2" s="1055"/>
    </row>
    <row r="3" spans="1:13" ht="25" thickTop="1">
      <c r="A3" s="969"/>
      <c r="B3" s="973" t="s">
        <v>660</v>
      </c>
      <c r="C3" s="974">
        <v>2018</v>
      </c>
      <c r="D3" s="974" t="s">
        <v>661</v>
      </c>
      <c r="E3" s="974">
        <v>2020</v>
      </c>
      <c r="F3" s="974">
        <v>2021</v>
      </c>
      <c r="G3" s="974">
        <v>2022</v>
      </c>
      <c r="H3" s="974">
        <v>2023</v>
      </c>
      <c r="I3" s="974">
        <v>2024</v>
      </c>
      <c r="J3" s="974">
        <v>2025</v>
      </c>
      <c r="K3" s="974" t="s">
        <v>1277</v>
      </c>
    </row>
    <row r="4" spans="1:13" ht="12">
      <c r="A4" s="969"/>
      <c r="B4" s="975" t="s">
        <v>662</v>
      </c>
      <c r="C4" s="976"/>
      <c r="D4" s="976"/>
      <c r="E4" s="976"/>
      <c r="F4" s="976"/>
      <c r="G4" s="976"/>
      <c r="H4" s="976"/>
      <c r="I4" s="977"/>
      <c r="J4" s="977"/>
      <c r="K4" s="977"/>
      <c r="L4" s="972"/>
      <c r="M4" s="972"/>
    </row>
    <row r="5" spans="1:13" ht="13">
      <c r="A5" s="978" t="s">
        <v>1278</v>
      </c>
      <c r="B5" s="978" t="s">
        <v>1306</v>
      </c>
      <c r="C5" s="979">
        <v>6</v>
      </c>
      <c r="D5" s="979">
        <v>19</v>
      </c>
      <c r="E5" s="979">
        <v>5</v>
      </c>
      <c r="F5" s="979">
        <v>6</v>
      </c>
      <c r="G5" s="979">
        <v>8</v>
      </c>
      <c r="H5" s="979">
        <v>10</v>
      </c>
      <c r="I5" s="979">
        <v>12.177842624349969</v>
      </c>
      <c r="J5" s="980">
        <v>13.90358073926242</v>
      </c>
      <c r="K5" s="980"/>
      <c r="L5" s="972"/>
      <c r="M5" s="972"/>
    </row>
    <row r="6" spans="1:13" ht="13">
      <c r="A6" s="978" t="s">
        <v>1278</v>
      </c>
      <c r="B6" s="978" t="s">
        <v>1307</v>
      </c>
      <c r="C6" s="979"/>
      <c r="D6" s="979">
        <v>22</v>
      </c>
      <c r="E6" s="979"/>
      <c r="F6" s="979"/>
      <c r="G6" s="979"/>
      <c r="H6" s="979"/>
      <c r="I6" s="979">
        <v>21.000531220985604</v>
      </c>
      <c r="J6" s="980">
        <v>18.279896021784932</v>
      </c>
      <c r="K6" s="980"/>
      <c r="L6" s="972"/>
      <c r="M6" s="972"/>
    </row>
    <row r="7" spans="1:13">
      <c r="A7" s="978" t="s">
        <v>1278</v>
      </c>
      <c r="B7" s="978" t="s">
        <v>1308</v>
      </c>
      <c r="C7" s="979"/>
      <c r="D7" s="979">
        <f>D5+D6</f>
        <v>41</v>
      </c>
      <c r="E7" s="979"/>
      <c r="F7" s="979"/>
      <c r="G7" s="979"/>
      <c r="H7" s="979">
        <v>10</v>
      </c>
      <c r="I7" s="979">
        <v>33.178373845335571</v>
      </c>
      <c r="J7" s="980">
        <v>32.183476761047352</v>
      </c>
      <c r="K7" s="980"/>
      <c r="L7" s="972"/>
      <c r="M7" s="972"/>
    </row>
    <row r="8" spans="1:13" ht="13">
      <c r="A8" s="978" t="s">
        <v>1278</v>
      </c>
      <c r="B8" s="978" t="s">
        <v>1309</v>
      </c>
      <c r="C8" s="979">
        <v>29</v>
      </c>
      <c r="D8" s="979">
        <v>56</v>
      </c>
      <c r="E8" s="979">
        <v>22</v>
      </c>
      <c r="F8" s="979">
        <v>27</v>
      </c>
      <c r="G8" s="979">
        <v>18</v>
      </c>
      <c r="H8" s="979">
        <v>17</v>
      </c>
      <c r="I8" s="979">
        <v>21</v>
      </c>
      <c r="J8" s="980">
        <v>22.636216833303145</v>
      </c>
      <c r="K8" s="980"/>
    </row>
    <row r="9" spans="1:13" ht="13">
      <c r="A9" s="978" t="s">
        <v>1278</v>
      </c>
      <c r="B9" s="978" t="s">
        <v>1314</v>
      </c>
      <c r="C9" s="979"/>
      <c r="D9" s="980" t="s">
        <v>192</v>
      </c>
      <c r="E9" s="979"/>
      <c r="F9" s="979"/>
      <c r="G9" s="979"/>
      <c r="H9" s="980" t="s">
        <v>192</v>
      </c>
      <c r="I9" s="980" t="s">
        <v>192</v>
      </c>
      <c r="J9" s="980"/>
      <c r="K9" s="980"/>
    </row>
    <row r="10" spans="1:13">
      <c r="A10" s="978" t="s">
        <v>1278</v>
      </c>
      <c r="B10" s="978" t="s">
        <v>1310</v>
      </c>
      <c r="C10" s="979">
        <v>29</v>
      </c>
      <c r="D10" s="979">
        <v>56</v>
      </c>
      <c r="E10" s="979">
        <v>22</v>
      </c>
      <c r="F10" s="979">
        <v>27</v>
      </c>
      <c r="G10" s="979">
        <v>18</v>
      </c>
      <c r="H10" s="979">
        <v>17</v>
      </c>
      <c r="I10" s="979">
        <v>21.298463869808167</v>
      </c>
      <c r="J10" s="980">
        <v>22.636216833303145</v>
      </c>
      <c r="K10" s="980"/>
    </row>
    <row r="11" spans="1:13">
      <c r="A11" s="978" t="s">
        <v>1278</v>
      </c>
      <c r="B11" s="978" t="s">
        <v>1311</v>
      </c>
      <c r="C11" s="979">
        <v>33</v>
      </c>
      <c r="D11" s="979">
        <v>62</v>
      </c>
      <c r="E11" s="979">
        <v>27</v>
      </c>
      <c r="F11" s="979">
        <v>36</v>
      </c>
      <c r="G11" s="979">
        <v>31</v>
      </c>
      <c r="H11" s="979">
        <v>32</v>
      </c>
      <c r="I11" s="979">
        <v>38.431701620266132</v>
      </c>
      <c r="J11" s="980">
        <v>36.976242673900259</v>
      </c>
      <c r="K11" s="980"/>
    </row>
    <row r="12" spans="1:13">
      <c r="A12" s="978" t="s">
        <v>1278</v>
      </c>
      <c r="B12" s="978" t="s">
        <v>1312</v>
      </c>
      <c r="C12" s="979">
        <v>35</v>
      </c>
      <c r="D12" s="979">
        <f>D10+D7</f>
        <v>97</v>
      </c>
      <c r="E12" s="979">
        <v>27</v>
      </c>
      <c r="F12" s="979">
        <v>33</v>
      </c>
      <c r="G12" s="979">
        <v>26</v>
      </c>
      <c r="H12" s="979">
        <v>27</v>
      </c>
      <c r="I12" s="979">
        <v>54.476837715143738</v>
      </c>
      <c r="J12" s="980">
        <v>54.819693594350497</v>
      </c>
      <c r="K12" s="981"/>
    </row>
    <row r="13" spans="1:13">
      <c r="A13" s="1000"/>
      <c r="B13" s="1000" t="s">
        <v>663</v>
      </c>
      <c r="C13" s="1033"/>
      <c r="D13" s="1033"/>
      <c r="E13" s="1033"/>
      <c r="F13" s="1033"/>
      <c r="G13" s="1033"/>
      <c r="H13" s="1033"/>
      <c r="I13" s="1033"/>
      <c r="J13" s="1034">
        <v>60.132104497075787</v>
      </c>
      <c r="K13" s="1034">
        <v>60.049971997103981</v>
      </c>
    </row>
    <row r="14" spans="1:13" ht="13">
      <c r="A14" s="978" t="s">
        <v>1278</v>
      </c>
      <c r="B14" s="978" t="s">
        <v>1313</v>
      </c>
      <c r="C14" s="979"/>
      <c r="D14" s="983">
        <v>1255</v>
      </c>
      <c r="E14" s="983"/>
      <c r="F14" s="983"/>
      <c r="G14" s="983"/>
      <c r="H14" s="983"/>
      <c r="I14" s="983">
        <v>1353.7890359533869</v>
      </c>
      <c r="J14" s="983">
        <v>1401</v>
      </c>
      <c r="K14" s="984"/>
    </row>
    <row r="15" spans="1:13">
      <c r="A15" s="1000"/>
      <c r="B15" s="1000" t="s">
        <v>663</v>
      </c>
      <c r="C15" s="1033"/>
      <c r="D15" s="1033"/>
      <c r="E15" s="1033"/>
      <c r="F15" s="1033"/>
      <c r="G15" s="1033"/>
      <c r="H15" s="1033"/>
      <c r="I15" s="1033"/>
      <c r="J15" s="1034">
        <v>1267.6046077868864</v>
      </c>
      <c r="K15" s="1034">
        <v>1445.5478582416606</v>
      </c>
    </row>
    <row r="16" spans="1:13" ht="13">
      <c r="A16" s="978" t="s">
        <v>1278</v>
      </c>
      <c r="B16" s="978" t="s">
        <v>1315</v>
      </c>
      <c r="C16" s="979">
        <v>128</v>
      </c>
      <c r="D16" s="983">
        <v>186</v>
      </c>
      <c r="E16" s="983">
        <v>83</v>
      </c>
      <c r="F16" s="983">
        <v>82</v>
      </c>
      <c r="G16" s="983">
        <v>91</v>
      </c>
      <c r="H16" s="983">
        <v>99</v>
      </c>
      <c r="I16" s="983">
        <v>128.21241775807454</v>
      </c>
      <c r="J16" s="985">
        <v>140.98609767291779</v>
      </c>
      <c r="K16" s="984"/>
    </row>
    <row r="17" spans="1:13">
      <c r="A17" s="1000"/>
      <c r="B17" s="1000" t="s">
        <v>663</v>
      </c>
      <c r="C17" s="1033"/>
      <c r="D17" s="1033"/>
      <c r="E17" s="1033"/>
      <c r="F17" s="1033"/>
      <c r="G17" s="1033"/>
      <c r="H17" s="1033"/>
      <c r="I17" s="1033"/>
      <c r="J17" s="1034">
        <v>140.77081076458211</v>
      </c>
      <c r="K17" s="1034">
        <v>136.56869701041549</v>
      </c>
    </row>
    <row r="18" spans="1:13">
      <c r="A18" s="978" t="s">
        <v>1278</v>
      </c>
      <c r="B18" s="978" t="s">
        <v>1316</v>
      </c>
      <c r="C18" s="986"/>
      <c r="D18" s="983">
        <v>6871</v>
      </c>
      <c r="E18" s="983">
        <v>3815</v>
      </c>
      <c r="F18" s="983">
        <v>4825</v>
      </c>
      <c r="G18" s="983">
        <v>5186</v>
      </c>
      <c r="H18" s="983">
        <v>5653</v>
      </c>
      <c r="I18" s="983">
        <v>6779.6948225111773</v>
      </c>
      <c r="J18" s="985">
        <v>6429.5326858827393</v>
      </c>
      <c r="K18" s="984"/>
    </row>
    <row r="19" spans="1:13">
      <c r="A19" s="1000"/>
      <c r="B19" s="1000" t="s">
        <v>663</v>
      </c>
      <c r="C19" s="1033"/>
      <c r="D19" s="1033"/>
      <c r="E19" s="1033"/>
      <c r="F19" s="1033"/>
      <c r="G19" s="1033"/>
      <c r="H19" s="1033">
        <v>4861</v>
      </c>
      <c r="I19" s="1033"/>
      <c r="J19" s="1034">
        <v>6593</v>
      </c>
      <c r="K19" s="1034">
        <v>7716</v>
      </c>
    </row>
    <row r="20" spans="1:13">
      <c r="A20" s="978" t="s">
        <v>669</v>
      </c>
      <c r="B20" s="978" t="s">
        <v>664</v>
      </c>
      <c r="C20" s="979"/>
      <c r="D20" s="987"/>
      <c r="E20" s="987"/>
      <c r="F20" s="983">
        <v>35</v>
      </c>
      <c r="G20" s="983">
        <v>39</v>
      </c>
      <c r="H20" s="983">
        <v>42</v>
      </c>
      <c r="I20" s="983">
        <v>42</v>
      </c>
      <c r="J20" s="985">
        <v>43.333333333333336</v>
      </c>
      <c r="K20" s="984"/>
    </row>
    <row r="21" spans="1:13">
      <c r="A21" s="1000"/>
      <c r="B21" s="1000" t="s">
        <v>663</v>
      </c>
      <c r="C21" s="1033"/>
      <c r="D21" s="1033"/>
      <c r="E21" s="1033"/>
      <c r="F21" s="1033"/>
      <c r="G21" s="1033"/>
      <c r="H21" s="1033">
        <v>45</v>
      </c>
      <c r="I21" s="1033"/>
      <c r="J21" s="1034">
        <v>47</v>
      </c>
      <c r="K21" s="1034">
        <v>46.666666666666664</v>
      </c>
    </row>
    <row r="22" spans="1:13">
      <c r="A22" s="978" t="s">
        <v>1279</v>
      </c>
      <c r="B22" s="978" t="s">
        <v>665</v>
      </c>
      <c r="C22" s="979"/>
      <c r="D22" s="988"/>
      <c r="E22" s="988"/>
      <c r="F22" s="986"/>
      <c r="G22" s="986"/>
      <c r="H22" s="989">
        <v>0.11</v>
      </c>
      <c r="I22" s="989">
        <v>0.13101858926621346</v>
      </c>
      <c r="J22" s="989">
        <v>0.12969188272495244</v>
      </c>
      <c r="K22" s="990"/>
    </row>
    <row r="23" spans="1:13">
      <c r="A23" s="978" t="s">
        <v>1279</v>
      </c>
      <c r="B23" s="978" t="s">
        <v>666</v>
      </c>
      <c r="C23" s="979"/>
      <c r="D23" s="988"/>
      <c r="E23" s="988"/>
      <c r="F23" s="986"/>
      <c r="G23" s="986"/>
      <c r="H23" s="989">
        <v>0.11</v>
      </c>
      <c r="I23" s="989">
        <v>0.13074921567728107</v>
      </c>
      <c r="J23" s="989">
        <v>0.12946058452435572</v>
      </c>
      <c r="K23" s="990"/>
    </row>
    <row r="24" spans="1:13" ht="12">
      <c r="A24" s="978"/>
      <c r="B24" s="991" t="s">
        <v>667</v>
      </c>
      <c r="C24" s="977"/>
      <c r="D24" s="977"/>
      <c r="E24" s="977"/>
      <c r="F24" s="977"/>
      <c r="G24" s="977"/>
      <c r="H24" s="977"/>
      <c r="I24" s="977"/>
      <c r="J24" s="992"/>
      <c r="K24" s="993"/>
    </row>
    <row r="25" spans="1:13" ht="13">
      <c r="A25" s="978" t="s">
        <v>1280</v>
      </c>
      <c r="B25" s="978" t="s">
        <v>1281</v>
      </c>
      <c r="C25" s="979"/>
      <c r="D25" s="979"/>
      <c r="E25" s="979"/>
      <c r="F25" s="979"/>
      <c r="G25" s="979"/>
      <c r="H25" s="979">
        <v>86</v>
      </c>
      <c r="I25" s="979">
        <v>190.64863870748874</v>
      </c>
      <c r="J25" s="980">
        <v>198.63885786264746</v>
      </c>
      <c r="K25" s="994"/>
      <c r="L25" s="972"/>
      <c r="M25" s="972"/>
    </row>
    <row r="26" spans="1:13" ht="13">
      <c r="A26" s="978" t="s">
        <v>1280</v>
      </c>
      <c r="B26" s="978" t="s">
        <v>1282</v>
      </c>
      <c r="C26" s="979"/>
      <c r="D26" s="979"/>
      <c r="E26" s="979"/>
      <c r="F26" s="979"/>
      <c r="G26" s="979"/>
      <c r="H26" s="979">
        <v>0</v>
      </c>
      <c r="I26" s="979">
        <v>1.4450396365554523</v>
      </c>
      <c r="J26" s="980">
        <v>4.4760796867593786</v>
      </c>
      <c r="K26" s="994"/>
      <c r="L26" s="972"/>
      <c r="M26" s="972"/>
    </row>
    <row r="27" spans="1:13" ht="13">
      <c r="A27" s="978" t="s">
        <v>1280</v>
      </c>
      <c r="B27" s="978" t="s">
        <v>1283</v>
      </c>
      <c r="C27" s="986"/>
      <c r="D27" s="986"/>
      <c r="E27" s="986"/>
      <c r="F27" s="986"/>
      <c r="G27" s="986"/>
      <c r="H27" s="979">
        <v>112</v>
      </c>
      <c r="I27" s="979">
        <v>121.04099244378975</v>
      </c>
      <c r="J27" s="980">
        <v>115.60810978337878</v>
      </c>
      <c r="K27" s="994"/>
      <c r="L27" s="972"/>
      <c r="M27" s="972"/>
    </row>
    <row r="28" spans="1:13" ht="13">
      <c r="A28" s="978" t="s">
        <v>1280</v>
      </c>
      <c r="B28" s="978" t="s">
        <v>1284</v>
      </c>
      <c r="C28" s="979">
        <v>172</v>
      </c>
      <c r="D28" s="979"/>
      <c r="E28" s="979">
        <v>146</v>
      </c>
      <c r="F28" s="979">
        <v>177</v>
      </c>
      <c r="G28" s="979">
        <v>175</v>
      </c>
      <c r="H28" s="979">
        <v>198</v>
      </c>
      <c r="I28" s="979">
        <v>313.13467078783395</v>
      </c>
      <c r="J28" s="980">
        <v>318.7230473327856</v>
      </c>
      <c r="K28" s="994"/>
      <c r="L28" s="972"/>
      <c r="M28" s="972"/>
    </row>
    <row r="29" spans="1:13" ht="13">
      <c r="A29" s="978" t="s">
        <v>1280</v>
      </c>
      <c r="B29" s="978" t="s">
        <v>1285</v>
      </c>
      <c r="C29" s="979">
        <v>49</v>
      </c>
      <c r="D29" s="979"/>
      <c r="E29" s="979">
        <v>57</v>
      </c>
      <c r="F29" s="979">
        <v>53</v>
      </c>
      <c r="G29" s="979">
        <v>60</v>
      </c>
      <c r="H29" s="979">
        <v>57</v>
      </c>
      <c r="I29" s="979">
        <v>57.8275562527486</v>
      </c>
      <c r="J29" s="980">
        <v>55.121292290069498</v>
      </c>
      <c r="K29" s="994"/>
      <c r="L29" s="972"/>
      <c r="M29" s="972"/>
    </row>
    <row r="30" spans="1:13">
      <c r="A30" s="1000"/>
      <c r="B30" s="1000" t="s">
        <v>663</v>
      </c>
      <c r="C30" s="1033"/>
      <c r="D30" s="1033"/>
      <c r="E30" s="1033"/>
      <c r="F30" s="1033"/>
      <c r="G30" s="1033"/>
      <c r="H30" s="1033"/>
      <c r="I30" s="1033"/>
      <c r="J30" s="1034">
        <v>58</v>
      </c>
      <c r="K30" s="1034">
        <v>57</v>
      </c>
      <c r="L30" s="972"/>
      <c r="M30" s="972"/>
    </row>
    <row r="31" spans="1:13" ht="13">
      <c r="A31" s="978" t="s">
        <v>1280</v>
      </c>
      <c r="B31" s="978" t="s">
        <v>1286</v>
      </c>
      <c r="C31" s="979"/>
      <c r="D31" s="979"/>
      <c r="E31" s="979"/>
      <c r="F31" s="979"/>
      <c r="G31" s="979"/>
      <c r="H31" s="979">
        <v>57</v>
      </c>
      <c r="I31" s="979">
        <v>38.654612131980002</v>
      </c>
      <c r="J31" s="980">
        <v>36.272278001493198</v>
      </c>
      <c r="K31" s="995"/>
      <c r="L31" s="972"/>
      <c r="M31" s="972"/>
    </row>
    <row r="32" spans="1:13" ht="13">
      <c r="A32" s="978" t="s">
        <v>1280</v>
      </c>
      <c r="B32" s="978" t="s">
        <v>1287</v>
      </c>
      <c r="C32" s="979"/>
      <c r="D32" s="979"/>
      <c r="E32" s="979"/>
      <c r="F32" s="979"/>
      <c r="G32" s="979"/>
      <c r="H32" s="979">
        <v>61</v>
      </c>
      <c r="I32" s="979">
        <v>42.4169745803257</v>
      </c>
      <c r="J32" s="980">
        <v>41.922117241462203</v>
      </c>
      <c r="K32" s="995"/>
      <c r="L32" s="972"/>
      <c r="M32" s="972"/>
    </row>
    <row r="33" spans="1:13" ht="13">
      <c r="A33" s="978" t="s">
        <v>1280</v>
      </c>
      <c r="B33" s="978" t="s">
        <v>1288</v>
      </c>
      <c r="C33" s="979"/>
      <c r="D33" s="979"/>
      <c r="E33" s="979"/>
      <c r="F33" s="979"/>
      <c r="G33" s="979"/>
      <c r="H33" s="989">
        <v>3.27</v>
      </c>
      <c r="I33" s="989">
        <v>4.92</v>
      </c>
      <c r="J33" s="989">
        <v>5.14</v>
      </c>
      <c r="K33" s="995"/>
      <c r="L33" s="972"/>
      <c r="M33" s="972"/>
    </row>
    <row r="34" spans="1:13" ht="12">
      <c r="A34" s="978"/>
      <c r="B34" s="975" t="s">
        <v>668</v>
      </c>
      <c r="C34" s="977"/>
      <c r="D34" s="977"/>
      <c r="E34" s="977"/>
      <c r="F34" s="977"/>
      <c r="G34" s="977"/>
      <c r="H34" s="977"/>
      <c r="I34" s="977"/>
      <c r="J34" s="992"/>
      <c r="K34" s="992"/>
    </row>
    <row r="35" spans="1:13">
      <c r="A35" s="978" t="s">
        <v>669</v>
      </c>
      <c r="B35" s="978" t="s">
        <v>670</v>
      </c>
      <c r="C35" s="979">
        <v>65</v>
      </c>
      <c r="D35" s="979"/>
      <c r="E35" s="979">
        <v>82</v>
      </c>
      <c r="F35" s="979">
        <v>95</v>
      </c>
      <c r="G35" s="979">
        <v>85</v>
      </c>
      <c r="H35" s="979">
        <v>116</v>
      </c>
      <c r="I35" s="979">
        <v>147</v>
      </c>
      <c r="J35" s="995"/>
      <c r="K35" s="1037"/>
    </row>
    <row r="36" spans="1:13">
      <c r="A36" s="978" t="s">
        <v>669</v>
      </c>
      <c r="B36" s="978" t="s">
        <v>671</v>
      </c>
      <c r="C36" s="996">
        <v>2.9</v>
      </c>
      <c r="D36" s="996"/>
      <c r="E36" s="996">
        <v>4</v>
      </c>
      <c r="F36" s="996">
        <v>4.2</v>
      </c>
      <c r="G36" s="996">
        <v>3</v>
      </c>
      <c r="H36" s="996">
        <v>3.3</v>
      </c>
      <c r="I36" s="996">
        <v>3.37</v>
      </c>
      <c r="J36" s="997"/>
      <c r="K36" s="1037"/>
    </row>
    <row r="37" spans="1:13">
      <c r="A37" s="982"/>
      <c r="B37" s="982"/>
      <c r="C37" s="1020"/>
      <c r="D37" s="1020"/>
      <c r="E37" s="1020"/>
      <c r="F37" s="1020"/>
      <c r="G37" s="1020"/>
      <c r="H37" s="1020">
        <v>3.2</v>
      </c>
      <c r="I37" s="1020">
        <v>3.3</v>
      </c>
      <c r="J37" s="1010"/>
      <c r="K37" s="1010"/>
    </row>
    <row r="38" spans="1:13" ht="12">
      <c r="A38" s="978"/>
      <c r="B38" s="975" t="s">
        <v>672</v>
      </c>
      <c r="C38" s="976"/>
      <c r="D38" s="976"/>
      <c r="E38" s="976"/>
      <c r="F38" s="976"/>
      <c r="G38" s="976"/>
      <c r="H38" s="976"/>
      <c r="I38" s="977"/>
      <c r="J38" s="977"/>
      <c r="K38" s="977"/>
    </row>
    <row r="39" spans="1:13">
      <c r="A39" s="978" t="s">
        <v>1289</v>
      </c>
      <c r="B39" s="978" t="s">
        <v>673</v>
      </c>
      <c r="C39" s="1028"/>
      <c r="D39" s="1028"/>
      <c r="E39" s="1028"/>
      <c r="F39" s="1084" t="s">
        <v>192</v>
      </c>
      <c r="G39" s="1075">
        <v>0.7</v>
      </c>
      <c r="H39" s="1028">
        <v>0</v>
      </c>
      <c r="I39" s="1028">
        <v>0</v>
      </c>
      <c r="J39" s="1028">
        <v>0</v>
      </c>
      <c r="K39" s="988"/>
    </row>
    <row r="40" spans="1:13">
      <c r="A40" s="978" t="s">
        <v>1289</v>
      </c>
      <c r="B40" s="978" t="s">
        <v>674</v>
      </c>
      <c r="C40" s="1018"/>
      <c r="D40" s="1018"/>
      <c r="E40" s="1018"/>
      <c r="F40" s="1023">
        <v>0.6</v>
      </c>
      <c r="G40" s="1023">
        <v>0.9</v>
      </c>
      <c r="H40" s="1023">
        <v>4.0999999999999996</v>
      </c>
      <c r="I40" s="1023">
        <v>4.7</v>
      </c>
      <c r="J40" s="1023">
        <v>4.2</v>
      </c>
      <c r="K40" s="982"/>
    </row>
    <row r="41" spans="1:13">
      <c r="A41" s="978" t="s">
        <v>1289</v>
      </c>
      <c r="B41" s="978" t="s">
        <v>675</v>
      </c>
      <c r="C41" s="1018"/>
      <c r="D41" s="1018"/>
      <c r="E41" s="1018"/>
      <c r="F41" s="1023">
        <v>7.6</v>
      </c>
      <c r="G41" s="1023">
        <v>6.7</v>
      </c>
      <c r="H41" s="1023">
        <v>9</v>
      </c>
      <c r="I41" s="1023">
        <v>9</v>
      </c>
      <c r="J41" s="1023">
        <v>6</v>
      </c>
      <c r="K41" s="982"/>
    </row>
    <row r="42" spans="1:13">
      <c r="A42" s="978" t="s">
        <v>1290</v>
      </c>
      <c r="B42" s="978" t="s">
        <v>676</v>
      </c>
      <c r="C42" s="1018"/>
      <c r="D42" s="1018"/>
      <c r="E42" s="1018"/>
      <c r="F42" s="1023">
        <v>10.1</v>
      </c>
      <c r="G42" s="1023">
        <v>13.6</v>
      </c>
      <c r="H42" s="1023">
        <v>15.7</v>
      </c>
      <c r="I42" s="1023">
        <v>12.5</v>
      </c>
      <c r="J42" s="1023">
        <v>15.5</v>
      </c>
      <c r="K42" s="982"/>
    </row>
    <row r="43" spans="1:13">
      <c r="A43" s="978" t="s">
        <v>680</v>
      </c>
      <c r="B43" s="978" t="s">
        <v>677</v>
      </c>
      <c r="C43" s="1018"/>
      <c r="D43" s="1018"/>
      <c r="E43" s="1018"/>
      <c r="F43" s="1023">
        <v>11.2</v>
      </c>
      <c r="G43" s="1023">
        <v>10.5</v>
      </c>
      <c r="H43" s="1023">
        <v>13.6</v>
      </c>
      <c r="I43" s="1023">
        <v>13.1</v>
      </c>
      <c r="J43" s="1023">
        <v>12</v>
      </c>
      <c r="K43" s="1067"/>
    </row>
    <row r="44" spans="1:13">
      <c r="A44" s="978"/>
      <c r="B44" s="978"/>
      <c r="C44" s="1018"/>
      <c r="D44" s="1018"/>
      <c r="E44" s="1018"/>
      <c r="F44" s="1023"/>
      <c r="G44" s="1023"/>
      <c r="H44" s="1023"/>
      <c r="I44" s="1003"/>
      <c r="J44" s="1003"/>
      <c r="K44" s="1067"/>
    </row>
    <row r="45" spans="1:13" ht="24">
      <c r="A45" s="978"/>
      <c r="B45" s="973" t="s">
        <v>678</v>
      </c>
      <c r="C45" s="974">
        <v>2018</v>
      </c>
      <c r="D45" s="974">
        <v>2020</v>
      </c>
      <c r="E45" s="974">
        <v>2021</v>
      </c>
      <c r="F45" s="974">
        <v>2022</v>
      </c>
      <c r="G45" s="974">
        <v>2023</v>
      </c>
      <c r="H45" s="974">
        <v>2024</v>
      </c>
      <c r="I45" s="974">
        <v>2025</v>
      </c>
      <c r="J45" s="974" t="s">
        <v>1291</v>
      </c>
      <c r="K45" s="982"/>
    </row>
    <row r="46" spans="1:13" ht="12">
      <c r="A46" s="978"/>
      <c r="B46" s="975" t="s">
        <v>679</v>
      </c>
      <c r="C46" s="976"/>
      <c r="D46" s="976"/>
      <c r="E46" s="976"/>
      <c r="F46" s="976"/>
      <c r="G46" s="976"/>
      <c r="H46" s="977"/>
      <c r="I46" s="977"/>
      <c r="J46" s="977"/>
      <c r="K46" s="982"/>
    </row>
    <row r="47" spans="1:13" s="1002" customFormat="1">
      <c r="A47" s="978" t="s">
        <v>719</v>
      </c>
      <c r="B47" s="1001" t="s">
        <v>649</v>
      </c>
      <c r="C47" s="983">
        <v>13847</v>
      </c>
      <c r="D47" s="983">
        <v>13840</v>
      </c>
      <c r="E47" s="983">
        <v>15529</v>
      </c>
      <c r="F47" s="983">
        <v>16996</v>
      </c>
      <c r="G47" s="983">
        <v>18211</v>
      </c>
      <c r="H47" s="983">
        <v>18874</v>
      </c>
      <c r="I47" s="1028">
        <v>19055</v>
      </c>
      <c r="J47" s="981"/>
      <c r="K47" s="1080"/>
    </row>
    <row r="48" spans="1:13" s="1002" customFormat="1">
      <c r="A48" s="978" t="s">
        <v>719</v>
      </c>
      <c r="B48" s="1001" t="s">
        <v>650</v>
      </c>
      <c r="C48" s="983">
        <v>1610</v>
      </c>
      <c r="D48" s="983">
        <v>1109</v>
      </c>
      <c r="E48" s="983">
        <v>1474</v>
      </c>
      <c r="F48" s="983">
        <v>1630</v>
      </c>
      <c r="G48" s="983">
        <v>1762</v>
      </c>
      <c r="H48" s="983">
        <v>1495</v>
      </c>
      <c r="I48" s="1028">
        <v>1600</v>
      </c>
      <c r="J48" s="981"/>
      <c r="K48" s="1080"/>
    </row>
    <row r="49" spans="1:11" s="1002" customFormat="1">
      <c r="A49" s="978" t="s">
        <v>1292</v>
      </c>
      <c r="B49" s="978" t="s">
        <v>681</v>
      </c>
      <c r="C49" s="979">
        <v>30</v>
      </c>
      <c r="D49" s="979">
        <v>33</v>
      </c>
      <c r="E49" s="979">
        <v>34</v>
      </c>
      <c r="F49" s="979">
        <v>32</v>
      </c>
      <c r="G49" s="979">
        <v>39</v>
      </c>
      <c r="H49" s="983">
        <v>39</v>
      </c>
      <c r="I49" s="1028">
        <v>37</v>
      </c>
      <c r="J49" s="1026"/>
      <c r="K49" s="1080"/>
    </row>
    <row r="50" spans="1:11" s="1002" customFormat="1">
      <c r="A50" s="978" t="s">
        <v>722</v>
      </c>
      <c r="B50" s="978" t="s">
        <v>682</v>
      </c>
      <c r="C50" s="1003">
        <v>7.4</v>
      </c>
      <c r="D50" s="1003">
        <v>5.5</v>
      </c>
      <c r="E50" s="1003">
        <v>6.9</v>
      </c>
      <c r="F50" s="1003">
        <v>8.8000000000000007</v>
      </c>
      <c r="G50" s="1003">
        <v>6.9</v>
      </c>
      <c r="H50" s="1004">
        <v>6.8</v>
      </c>
      <c r="I50" s="1075">
        <v>6.2</v>
      </c>
      <c r="J50" s="1037"/>
      <c r="K50" s="1080"/>
    </row>
    <row r="51" spans="1:11" s="1002" customFormat="1">
      <c r="A51" s="978" t="s">
        <v>722</v>
      </c>
      <c r="B51" s="978" t="s">
        <v>683</v>
      </c>
      <c r="C51" s="1003"/>
      <c r="D51" s="1003"/>
      <c r="E51" s="1003"/>
      <c r="F51" s="1003"/>
      <c r="G51" s="1003"/>
      <c r="H51" s="1004">
        <v>15</v>
      </c>
      <c r="I51" s="1075">
        <v>12.3</v>
      </c>
      <c r="J51" s="1037"/>
      <c r="K51" s="1080"/>
    </row>
    <row r="52" spans="1:11" s="1002" customFormat="1">
      <c r="A52" s="978" t="s">
        <v>722</v>
      </c>
      <c r="B52" s="978" t="s">
        <v>1293</v>
      </c>
      <c r="C52" s="1003"/>
      <c r="D52" s="1003"/>
      <c r="E52" s="1003"/>
      <c r="F52" s="1003"/>
      <c r="G52" s="979">
        <v>2431</v>
      </c>
      <c r="H52" s="983">
        <v>3098</v>
      </c>
      <c r="I52" s="1028">
        <v>2464</v>
      </c>
      <c r="J52" s="1037"/>
      <c r="K52" s="1080"/>
    </row>
    <row r="53" spans="1:11" s="1002" customFormat="1" ht="24">
      <c r="A53" s="978" t="s">
        <v>719</v>
      </c>
      <c r="B53" s="1085" t="s">
        <v>684</v>
      </c>
      <c r="C53" s="1003"/>
      <c r="D53" s="1003"/>
      <c r="E53" s="1003"/>
      <c r="F53" s="1003"/>
      <c r="G53" s="979"/>
      <c r="H53" s="983">
        <v>9829</v>
      </c>
      <c r="I53" s="1028">
        <v>7934</v>
      </c>
      <c r="J53" s="1037"/>
      <c r="K53" s="1080"/>
    </row>
    <row r="54" spans="1:11" s="1002" customFormat="1" ht="12">
      <c r="A54" s="978"/>
      <c r="B54" s="1086" t="s">
        <v>685</v>
      </c>
      <c r="C54" s="1003"/>
      <c r="D54" s="1003"/>
      <c r="E54" s="1003"/>
      <c r="F54" s="1003"/>
      <c r="G54" s="979"/>
      <c r="H54" s="983">
        <v>3550</v>
      </c>
      <c r="I54" s="1028">
        <v>3564</v>
      </c>
      <c r="J54" s="1037"/>
      <c r="K54" s="1080"/>
    </row>
    <row r="55" spans="1:11" s="1002" customFormat="1">
      <c r="A55" s="978"/>
      <c r="B55" s="988" t="s">
        <v>686</v>
      </c>
      <c r="C55" s="1003"/>
      <c r="D55" s="1003"/>
      <c r="E55" s="1003"/>
      <c r="F55" s="1003"/>
      <c r="G55" s="979"/>
      <c r="H55" s="983">
        <v>2253</v>
      </c>
      <c r="I55" s="1028">
        <v>2201</v>
      </c>
      <c r="J55" s="1037"/>
      <c r="K55" s="1080"/>
    </row>
    <row r="56" spans="1:11" s="1002" customFormat="1">
      <c r="A56" s="978"/>
      <c r="B56" s="988" t="s">
        <v>360</v>
      </c>
      <c r="C56" s="1003"/>
      <c r="D56" s="1003"/>
      <c r="E56" s="1003"/>
      <c r="F56" s="1003"/>
      <c r="G56" s="979"/>
      <c r="H56" s="983">
        <v>2131</v>
      </c>
      <c r="I56" s="1028">
        <v>2169</v>
      </c>
      <c r="J56" s="1037"/>
      <c r="K56" s="1080"/>
    </row>
    <row r="57" spans="1:11" s="1002" customFormat="1">
      <c r="A57" s="978"/>
      <c r="B57" s="988" t="s">
        <v>380</v>
      </c>
      <c r="C57" s="1003"/>
      <c r="D57" s="1003"/>
      <c r="E57" s="1003"/>
      <c r="F57" s="1003"/>
      <c r="G57" s="979"/>
      <c r="H57" s="983">
        <v>1895</v>
      </c>
      <c r="I57" s="1087" t="s">
        <v>192</v>
      </c>
      <c r="J57" s="1037"/>
      <c r="K57" s="1080"/>
    </row>
    <row r="58" spans="1:11" s="1002" customFormat="1">
      <c r="A58" s="978" t="s">
        <v>1294</v>
      </c>
      <c r="B58" s="978" t="s">
        <v>687</v>
      </c>
      <c r="C58" s="1005"/>
      <c r="D58" s="1005"/>
      <c r="E58" s="1005"/>
      <c r="F58" s="1005"/>
      <c r="G58" s="1005"/>
      <c r="H58" s="983">
        <v>18600</v>
      </c>
      <c r="I58" s="1028">
        <v>18876</v>
      </c>
      <c r="J58" s="981"/>
      <c r="K58" s="1080"/>
    </row>
    <row r="59" spans="1:11" s="1002" customFormat="1">
      <c r="A59" s="978" t="s">
        <v>1294</v>
      </c>
      <c r="B59" s="978" t="s">
        <v>688</v>
      </c>
      <c r="C59" s="986"/>
      <c r="D59" s="986"/>
      <c r="E59" s="986"/>
      <c r="F59" s="986"/>
      <c r="G59" s="986"/>
      <c r="H59" s="983">
        <v>273</v>
      </c>
      <c r="I59" s="1028">
        <v>178</v>
      </c>
      <c r="J59" s="981"/>
      <c r="K59" s="1080"/>
    </row>
    <row r="60" spans="1:11" s="1002" customFormat="1">
      <c r="A60" s="978" t="s">
        <v>1294</v>
      </c>
      <c r="B60" s="978" t="s">
        <v>689</v>
      </c>
      <c r="C60" s="986"/>
      <c r="D60" s="986"/>
      <c r="E60" s="986"/>
      <c r="F60" s="986"/>
      <c r="G60" s="986"/>
      <c r="H60" s="983">
        <v>534</v>
      </c>
      <c r="I60" s="1028">
        <v>162</v>
      </c>
      <c r="J60" s="981"/>
      <c r="K60" s="1080"/>
    </row>
    <row r="61" spans="1:11" s="1002" customFormat="1">
      <c r="A61" s="978" t="s">
        <v>1294</v>
      </c>
      <c r="B61" s="978" t="s">
        <v>690</v>
      </c>
      <c r="C61" s="986"/>
      <c r="D61" s="986"/>
      <c r="E61" s="986"/>
      <c r="F61" s="986"/>
      <c r="G61" s="986"/>
      <c r="H61" s="983">
        <v>18655</v>
      </c>
      <c r="I61" s="1028">
        <v>18854</v>
      </c>
      <c r="J61" s="981"/>
      <c r="K61" s="1080"/>
    </row>
    <row r="62" spans="1:11" s="1002" customFormat="1">
      <c r="A62" s="978" t="s">
        <v>1294</v>
      </c>
      <c r="B62" s="978" t="s">
        <v>691</v>
      </c>
      <c r="C62" s="986"/>
      <c r="D62" s="986"/>
      <c r="E62" s="986"/>
      <c r="F62" s="986"/>
      <c r="G62" s="986"/>
      <c r="H62" s="983">
        <v>219</v>
      </c>
      <c r="I62" s="1028">
        <v>201</v>
      </c>
      <c r="J62" s="981"/>
      <c r="K62" s="1080"/>
    </row>
    <row r="63" spans="1:11" s="1002" customFormat="1">
      <c r="A63" s="978" t="s">
        <v>722</v>
      </c>
      <c r="B63" s="978" t="s">
        <v>692</v>
      </c>
      <c r="C63" s="979">
        <v>42</v>
      </c>
      <c r="D63" s="979">
        <v>44</v>
      </c>
      <c r="E63" s="979">
        <v>40</v>
      </c>
      <c r="F63" s="979">
        <v>39</v>
      </c>
      <c r="G63" s="979">
        <v>39</v>
      </c>
      <c r="H63" s="983">
        <v>37</v>
      </c>
      <c r="I63" s="1028">
        <v>41</v>
      </c>
      <c r="J63" s="1026"/>
      <c r="K63" s="1080"/>
    </row>
    <row r="64" spans="1:11" s="1002" customFormat="1">
      <c r="A64" s="978" t="s">
        <v>1295</v>
      </c>
      <c r="B64" s="978" t="s">
        <v>693</v>
      </c>
      <c r="C64" s="1004">
        <v>16</v>
      </c>
      <c r="D64" s="1003">
        <v>15.7</v>
      </c>
      <c r="E64" s="1003">
        <v>17.100000000000001</v>
      </c>
      <c r="F64" s="1003">
        <v>18.2</v>
      </c>
      <c r="G64" s="1003">
        <v>19</v>
      </c>
      <c r="H64" s="1004">
        <v>19.78</v>
      </c>
      <c r="I64" s="1075">
        <v>20.5</v>
      </c>
      <c r="J64" s="1083"/>
    </row>
    <row r="65" spans="1:11" s="1012" customFormat="1">
      <c r="A65" s="982"/>
      <c r="B65" s="1006" t="s">
        <v>663</v>
      </c>
      <c r="C65" s="998"/>
      <c r="D65" s="1007"/>
      <c r="E65" s="1007"/>
      <c r="F65" s="1007"/>
      <c r="G65" s="1007">
        <v>19.3</v>
      </c>
      <c r="H65" s="1008">
        <v>19.600000000000001</v>
      </c>
      <c r="I65" s="1009">
        <v>20.8</v>
      </c>
      <c r="J65" s="1010" t="s">
        <v>1296</v>
      </c>
      <c r="K65" s="1011"/>
    </row>
    <row r="66" spans="1:11" s="1002" customFormat="1">
      <c r="A66" s="978" t="s">
        <v>1295</v>
      </c>
      <c r="B66" s="978" t="s">
        <v>694</v>
      </c>
      <c r="C66" s="979"/>
      <c r="D66" s="1003"/>
      <c r="E66" s="1003"/>
      <c r="F66" s="1003"/>
      <c r="G66" s="1003">
        <v>18.399999999999999</v>
      </c>
      <c r="H66" s="1004">
        <v>17.7</v>
      </c>
      <c r="I66" s="1075">
        <v>16.8</v>
      </c>
      <c r="J66" s="1009"/>
      <c r="K66" s="1080"/>
    </row>
    <row r="67" spans="1:11" s="1002" customFormat="1">
      <c r="A67" s="978" t="s">
        <v>1295</v>
      </c>
      <c r="B67" s="978" t="s">
        <v>695</v>
      </c>
      <c r="C67" s="979"/>
      <c r="D67" s="1003"/>
      <c r="E67" s="1003"/>
      <c r="F67" s="1003"/>
      <c r="G67" s="1003">
        <v>19.399999999999999</v>
      </c>
      <c r="H67" s="1004">
        <v>20.8</v>
      </c>
      <c r="I67" s="1075">
        <v>20.8</v>
      </c>
      <c r="J67" s="1009"/>
      <c r="K67" s="1080"/>
    </row>
    <row r="68" spans="1:11" s="1002" customFormat="1">
      <c r="A68" s="978" t="s">
        <v>1295</v>
      </c>
      <c r="B68" s="978" t="s">
        <v>696</v>
      </c>
      <c r="C68" s="979"/>
      <c r="D68" s="1003"/>
      <c r="E68" s="1003"/>
      <c r="F68" s="1003"/>
      <c r="G68" s="1003">
        <v>10.9</v>
      </c>
      <c r="H68" s="1004">
        <v>10.9</v>
      </c>
      <c r="I68" s="1075">
        <v>12.4</v>
      </c>
      <c r="J68" s="1009"/>
      <c r="K68" s="1080"/>
    </row>
    <row r="69" spans="1:11" s="1002" customFormat="1">
      <c r="A69" s="978" t="s">
        <v>1295</v>
      </c>
      <c r="B69" s="978" t="s">
        <v>697</v>
      </c>
      <c r="C69" s="979"/>
      <c r="D69" s="1003"/>
      <c r="E69" s="1003"/>
      <c r="F69" s="1003"/>
      <c r="G69" s="1003">
        <v>33.200000000000003</v>
      </c>
      <c r="H69" s="1004">
        <v>34.4</v>
      </c>
      <c r="I69" s="1075">
        <v>35.299999999999997</v>
      </c>
      <c r="J69" s="1009"/>
      <c r="K69" s="1080"/>
    </row>
    <row r="70" spans="1:11" s="1002" customFormat="1">
      <c r="A70" s="978" t="s">
        <v>1295</v>
      </c>
      <c r="B70" s="978" t="s">
        <v>698</v>
      </c>
      <c r="C70" s="979"/>
      <c r="D70" s="1003"/>
      <c r="E70" s="1003"/>
      <c r="F70" s="1003"/>
      <c r="G70" s="1003">
        <v>7.8</v>
      </c>
      <c r="H70" s="1004">
        <v>8.5</v>
      </c>
      <c r="I70" s="1075">
        <v>8.5</v>
      </c>
      <c r="J70" s="1009"/>
      <c r="K70" s="1080"/>
    </row>
    <row r="71" spans="1:11">
      <c r="A71" s="978" t="s">
        <v>1295</v>
      </c>
      <c r="B71" s="978" t="s">
        <v>699</v>
      </c>
      <c r="C71" s="1004">
        <v>20</v>
      </c>
      <c r="D71" s="1003">
        <v>21</v>
      </c>
      <c r="E71" s="1003">
        <v>22.5</v>
      </c>
      <c r="F71" s="1003">
        <v>22.7</v>
      </c>
      <c r="G71" s="1003">
        <v>23.4</v>
      </c>
      <c r="H71" s="1004">
        <v>24.4</v>
      </c>
      <c r="I71" s="1075">
        <v>24.4</v>
      </c>
      <c r="J71" s="1013"/>
      <c r="K71" s="982"/>
    </row>
    <row r="72" spans="1:11" s="1000" customFormat="1">
      <c r="B72" s="1000" t="s">
        <v>663</v>
      </c>
      <c r="C72" s="1027"/>
      <c r="D72" s="1081"/>
      <c r="E72" s="1081"/>
      <c r="F72" s="1081"/>
      <c r="G72" s="1081">
        <v>24</v>
      </c>
      <c r="H72" s="1014">
        <v>24.4</v>
      </c>
      <c r="I72" s="1014">
        <v>25.5</v>
      </c>
      <c r="J72" s="1034" t="s">
        <v>1297</v>
      </c>
      <c r="K72" s="1082"/>
    </row>
    <row r="73" spans="1:11" ht="24">
      <c r="A73" s="1015" t="s">
        <v>1298</v>
      </c>
      <c r="B73" s="1043" t="s">
        <v>700</v>
      </c>
      <c r="C73" s="979"/>
      <c r="D73" s="1007"/>
      <c r="E73" s="1007"/>
      <c r="F73" s="1007"/>
      <c r="G73" s="1003">
        <v>40.9</v>
      </c>
      <c r="H73" s="1004">
        <v>30.7</v>
      </c>
      <c r="I73" s="1075">
        <v>35.4</v>
      </c>
      <c r="J73" s="1009"/>
    </row>
    <row r="74" spans="1:11" ht="12">
      <c r="A74" s="978"/>
      <c r="B74" s="975" t="s">
        <v>701</v>
      </c>
      <c r="C74" s="977"/>
      <c r="D74" s="977"/>
      <c r="E74" s="977"/>
      <c r="F74" s="977"/>
      <c r="G74" s="977"/>
      <c r="H74" s="977"/>
      <c r="I74" s="1018"/>
      <c r="J74" s="1016"/>
    </row>
    <row r="75" spans="1:11">
      <c r="A75" s="978" t="s">
        <v>705</v>
      </c>
      <c r="B75" s="978" t="s">
        <v>702</v>
      </c>
      <c r="C75" s="979">
        <v>88</v>
      </c>
      <c r="D75" s="979">
        <v>87</v>
      </c>
      <c r="E75" s="979">
        <v>87</v>
      </c>
      <c r="F75" s="979">
        <v>86</v>
      </c>
      <c r="G75" s="979">
        <v>79</v>
      </c>
      <c r="H75" s="979">
        <v>84</v>
      </c>
      <c r="I75" s="1076">
        <v>79</v>
      </c>
      <c r="J75" s="1013"/>
    </row>
    <row r="76" spans="1:11">
      <c r="A76" s="978" t="s">
        <v>705</v>
      </c>
      <c r="B76" s="978" t="s">
        <v>703</v>
      </c>
      <c r="C76" s="1077" t="s">
        <v>192</v>
      </c>
      <c r="D76" s="979">
        <v>71</v>
      </c>
      <c r="E76" s="979">
        <v>72</v>
      </c>
      <c r="F76" s="979">
        <v>72</v>
      </c>
      <c r="G76" s="979">
        <v>72</v>
      </c>
      <c r="H76" s="979">
        <v>72</v>
      </c>
      <c r="I76" s="1018">
        <v>75</v>
      </c>
      <c r="J76" s="1013"/>
    </row>
    <row r="77" spans="1:11" ht="12">
      <c r="A77" s="978"/>
      <c r="B77" s="975" t="s">
        <v>704</v>
      </c>
      <c r="C77" s="977"/>
      <c r="D77" s="977"/>
      <c r="E77" s="977"/>
      <c r="F77" s="977"/>
      <c r="G77" s="977"/>
      <c r="H77" s="1078"/>
      <c r="I77" s="1079"/>
      <c r="J77" s="1017"/>
    </row>
    <row r="78" spans="1:11">
      <c r="A78" s="978" t="s">
        <v>1292</v>
      </c>
      <c r="B78" s="978" t="s">
        <v>706</v>
      </c>
      <c r="C78" s="979">
        <v>0</v>
      </c>
      <c r="D78" s="979">
        <v>0</v>
      </c>
      <c r="E78" s="979">
        <v>0</v>
      </c>
      <c r="F78" s="979">
        <v>0</v>
      </c>
      <c r="G78" s="979">
        <v>1</v>
      </c>
      <c r="H78" s="979">
        <v>0</v>
      </c>
      <c r="I78" s="1018">
        <v>0</v>
      </c>
      <c r="J78" s="1013"/>
    </row>
    <row r="79" spans="1:11">
      <c r="A79" s="978"/>
      <c r="B79" s="1000" t="s">
        <v>663</v>
      </c>
      <c r="C79" s="1019"/>
      <c r="D79" s="1019"/>
      <c r="E79" s="1019"/>
      <c r="F79" s="1019"/>
      <c r="G79" s="998">
        <v>0</v>
      </c>
      <c r="H79" s="998">
        <v>0</v>
      </c>
      <c r="I79" s="1020">
        <v>0</v>
      </c>
      <c r="J79" s="1021">
        <v>0</v>
      </c>
      <c r="K79" s="1022"/>
    </row>
    <row r="80" spans="1:11">
      <c r="A80" s="978" t="s">
        <v>1292</v>
      </c>
      <c r="B80" s="978" t="s">
        <v>707</v>
      </c>
      <c r="C80" s="979">
        <v>257</v>
      </c>
      <c r="D80" s="979">
        <v>141</v>
      </c>
      <c r="E80" s="979">
        <v>155</v>
      </c>
      <c r="F80" s="979">
        <v>192</v>
      </c>
      <c r="G80" s="979">
        <v>193</v>
      </c>
      <c r="H80" s="979">
        <v>170</v>
      </c>
      <c r="I80" s="1018">
        <v>154</v>
      </c>
      <c r="J80" s="1013"/>
      <c r="K80" s="982"/>
    </row>
    <row r="81" spans="1:11">
      <c r="A81" s="978" t="s">
        <v>1292</v>
      </c>
      <c r="B81" s="978" t="s">
        <v>708</v>
      </c>
      <c r="C81" s="1003">
        <v>8.9</v>
      </c>
      <c r="D81" s="1003">
        <v>4.8</v>
      </c>
      <c r="E81" s="1003">
        <v>5.0999999999999996</v>
      </c>
      <c r="F81" s="1003">
        <v>5.7</v>
      </c>
      <c r="G81" s="1003">
        <v>5.0999999999999996</v>
      </c>
      <c r="H81" s="1003">
        <v>4.3</v>
      </c>
      <c r="I81" s="1023">
        <v>3.9</v>
      </c>
      <c r="J81" s="1013"/>
      <c r="K81" s="982"/>
    </row>
    <row r="82" spans="1:11">
      <c r="A82" s="978"/>
      <c r="B82" s="1000" t="s">
        <v>663</v>
      </c>
      <c r="C82" s="1024"/>
      <c r="D82" s="1025"/>
      <c r="E82" s="1025"/>
      <c r="F82" s="1025"/>
      <c r="G82" s="1026" t="s">
        <v>709</v>
      </c>
      <c r="H82" s="1009" t="s">
        <v>710</v>
      </c>
      <c r="I82" s="1010" t="s">
        <v>711</v>
      </c>
      <c r="J82" s="1010" t="s">
        <v>1299</v>
      </c>
      <c r="K82" s="1011"/>
    </row>
    <row r="83" spans="1:11">
      <c r="A83" s="978" t="s">
        <v>1292</v>
      </c>
      <c r="B83" s="978" t="s">
        <v>712</v>
      </c>
      <c r="C83" s="998"/>
      <c r="D83" s="998"/>
      <c r="E83" s="998">
        <v>6</v>
      </c>
      <c r="F83" s="998">
        <v>4</v>
      </c>
      <c r="G83" s="998">
        <v>5</v>
      </c>
      <c r="H83" s="998">
        <v>2</v>
      </c>
      <c r="I83" s="1018">
        <v>5</v>
      </c>
      <c r="J83" s="1013"/>
      <c r="K83" s="982"/>
    </row>
    <row r="84" spans="1:11">
      <c r="A84" s="978" t="s">
        <v>1292</v>
      </c>
      <c r="B84" s="978" t="s">
        <v>713</v>
      </c>
      <c r="C84" s="998"/>
      <c r="D84" s="998"/>
      <c r="E84" s="979">
        <v>1731</v>
      </c>
      <c r="F84" s="979">
        <v>1857</v>
      </c>
      <c r="G84" s="979">
        <v>1743</v>
      </c>
      <c r="H84" s="983">
        <v>1978</v>
      </c>
      <c r="I84" s="1028">
        <v>1060</v>
      </c>
      <c r="J84" s="1013"/>
      <c r="K84" s="982"/>
    </row>
    <row r="85" spans="1:11">
      <c r="A85" s="978" t="s">
        <v>1292</v>
      </c>
      <c r="B85" s="978" t="s">
        <v>714</v>
      </c>
      <c r="C85" s="1029">
        <v>2.2000000000000002</v>
      </c>
      <c r="D85" s="1029">
        <v>2.1</v>
      </c>
      <c r="E85" s="1029">
        <v>2.4</v>
      </c>
      <c r="F85" s="1029">
        <v>2.4</v>
      </c>
      <c r="G85" s="1029">
        <v>2.1</v>
      </c>
      <c r="H85" s="1029">
        <v>2.2000000000000002</v>
      </c>
      <c r="I85" s="1023">
        <v>2.1</v>
      </c>
      <c r="J85" s="1013"/>
      <c r="K85" s="982"/>
    </row>
    <row r="86" spans="1:11" s="978" customFormat="1">
      <c r="B86" s="1000" t="s">
        <v>663</v>
      </c>
      <c r="C86" s="1019"/>
      <c r="D86" s="1030"/>
      <c r="E86" s="1031"/>
      <c r="F86" s="1031"/>
      <c r="G86" s="995" t="s">
        <v>715</v>
      </c>
      <c r="H86" s="995" t="s">
        <v>1300</v>
      </c>
      <c r="I86" s="1032" t="s">
        <v>1300</v>
      </c>
      <c r="J86" s="1010" t="s">
        <v>1300</v>
      </c>
      <c r="K86" s="1011"/>
    </row>
    <row r="87" spans="1:11">
      <c r="A87" s="978"/>
      <c r="B87" s="982"/>
      <c r="C87" s="1020"/>
      <c r="D87" s="1010"/>
      <c r="E87" s="1010"/>
      <c r="F87" s="1010"/>
      <c r="G87" s="1010"/>
      <c r="H87" s="1010"/>
      <c r="I87" s="1013"/>
      <c r="J87" s="1037"/>
    </row>
    <row r="88" spans="1:11" s="1036" customFormat="1" ht="24">
      <c r="A88" s="1072"/>
      <c r="B88" s="1073" t="s">
        <v>716</v>
      </c>
      <c r="C88" s="974">
        <v>2018</v>
      </c>
      <c r="D88" s="974">
        <v>2020</v>
      </c>
      <c r="E88" s="974">
        <v>2021</v>
      </c>
      <c r="F88" s="974">
        <v>2022</v>
      </c>
      <c r="G88" s="974">
        <v>2023</v>
      </c>
      <c r="H88" s="974">
        <v>2024</v>
      </c>
      <c r="I88" s="974">
        <v>2025</v>
      </c>
      <c r="J88" s="1074" t="s">
        <v>1291</v>
      </c>
      <c r="K88" s="1035"/>
    </row>
    <row r="89" spans="1:11" ht="12">
      <c r="A89" s="978"/>
      <c r="B89" s="975" t="s">
        <v>717</v>
      </c>
      <c r="C89" s="976"/>
      <c r="D89" s="976"/>
      <c r="E89" s="976"/>
      <c r="F89" s="976"/>
      <c r="G89" s="976"/>
      <c r="H89" s="976"/>
      <c r="I89" s="976"/>
      <c r="J89" s="976"/>
    </row>
    <row r="90" spans="1:11">
      <c r="A90" s="978" t="s">
        <v>724</v>
      </c>
      <c r="B90" s="978" t="s">
        <v>718</v>
      </c>
      <c r="C90" s="1018"/>
      <c r="D90" s="998"/>
      <c r="E90" s="998"/>
      <c r="F90" s="998"/>
      <c r="G90" s="979">
        <v>87</v>
      </c>
      <c r="H90" s="979">
        <v>100</v>
      </c>
      <c r="I90" s="1018">
        <v>100</v>
      </c>
      <c r="J90" s="1037"/>
      <c r="K90" s="982"/>
    </row>
    <row r="91" spans="1:11">
      <c r="A91" s="1000"/>
      <c r="B91" s="1000" t="s">
        <v>663</v>
      </c>
      <c r="C91" s="1033"/>
      <c r="D91" s="1033"/>
      <c r="E91" s="1033"/>
      <c r="F91" s="1033"/>
      <c r="G91" s="1033"/>
      <c r="H91" s="1033">
        <v>95</v>
      </c>
      <c r="I91" s="1033">
        <v>100</v>
      </c>
      <c r="J91" s="1034">
        <v>100</v>
      </c>
      <c r="K91" s="1034"/>
    </row>
    <row r="92" spans="1:11">
      <c r="A92" s="978" t="s">
        <v>1301</v>
      </c>
      <c r="B92" s="978" t="s">
        <v>720</v>
      </c>
      <c r="C92" s="1018"/>
      <c r="D92" s="1018"/>
      <c r="E92" s="1018"/>
      <c r="F92" s="979">
        <v>99</v>
      </c>
      <c r="G92" s="979">
        <v>100</v>
      </c>
      <c r="H92" s="979">
        <v>99</v>
      </c>
      <c r="I92" s="1018">
        <v>99</v>
      </c>
      <c r="J92" s="1037"/>
      <c r="K92" s="1038"/>
    </row>
    <row r="93" spans="1:11">
      <c r="A93" s="1000"/>
      <c r="B93" s="1000" t="s">
        <v>663</v>
      </c>
      <c r="C93" s="1033"/>
      <c r="D93" s="1033"/>
      <c r="E93" s="1033"/>
      <c r="F93" s="1033"/>
      <c r="G93" s="1033">
        <v>100</v>
      </c>
      <c r="H93" s="1033">
        <v>100</v>
      </c>
      <c r="I93" s="1033">
        <v>100</v>
      </c>
      <c r="J93" s="1034">
        <v>100</v>
      </c>
      <c r="K93" s="1034"/>
    </row>
    <row r="94" spans="1:11">
      <c r="A94" s="978" t="s">
        <v>1301</v>
      </c>
      <c r="B94" s="978" t="s">
        <v>721</v>
      </c>
      <c r="C94" s="1018">
        <v>98</v>
      </c>
      <c r="D94" s="1071">
        <v>99</v>
      </c>
      <c r="E94" s="1071">
        <v>100</v>
      </c>
      <c r="F94" s="1040">
        <v>99</v>
      </c>
      <c r="G94" s="1040">
        <v>100</v>
      </c>
      <c r="H94" s="1040">
        <v>100</v>
      </c>
      <c r="I94" s="1018">
        <v>98</v>
      </c>
      <c r="J94" s="1037"/>
      <c r="K94" s="1039"/>
    </row>
    <row r="95" spans="1:11">
      <c r="A95" s="1000"/>
      <c r="B95" s="1000" t="s">
        <v>663</v>
      </c>
      <c r="C95" s="1033"/>
      <c r="D95" s="1033"/>
      <c r="E95" s="1033"/>
      <c r="F95" s="1033"/>
      <c r="G95" s="1033">
        <v>100</v>
      </c>
      <c r="H95" s="1033">
        <v>100</v>
      </c>
      <c r="I95" s="1033">
        <v>100</v>
      </c>
      <c r="J95" s="1034">
        <v>100</v>
      </c>
      <c r="K95" s="1034"/>
    </row>
    <row r="96" spans="1:11">
      <c r="A96" s="978" t="s">
        <v>1302</v>
      </c>
      <c r="B96" s="978" t="s">
        <v>723</v>
      </c>
      <c r="C96" s="1018">
        <v>11</v>
      </c>
      <c r="D96" s="1018">
        <v>3</v>
      </c>
      <c r="E96" s="1018">
        <v>4</v>
      </c>
      <c r="F96" s="979">
        <v>5</v>
      </c>
      <c r="G96" s="979">
        <v>6</v>
      </c>
      <c r="H96" s="979">
        <v>11</v>
      </c>
      <c r="I96" s="1018">
        <v>12</v>
      </c>
      <c r="J96" s="1037"/>
      <c r="K96" s="1039"/>
    </row>
    <row r="97" spans="1:11">
      <c r="A97" s="978" t="s">
        <v>1303</v>
      </c>
      <c r="B97" s="978" t="s">
        <v>725</v>
      </c>
      <c r="C97" s="1018">
        <v>91</v>
      </c>
      <c r="D97" s="1018">
        <v>99</v>
      </c>
      <c r="E97" s="1018">
        <v>100</v>
      </c>
      <c r="F97" s="979">
        <v>98</v>
      </c>
      <c r="G97" s="979">
        <v>100</v>
      </c>
      <c r="H97" s="979">
        <v>100</v>
      </c>
      <c r="I97" s="1018">
        <v>100</v>
      </c>
      <c r="J97" s="1037"/>
      <c r="K97" s="1039"/>
    </row>
    <row r="98" spans="1:11">
      <c r="A98" s="1000"/>
      <c r="B98" s="1000" t="s">
        <v>663</v>
      </c>
      <c r="C98" s="1033"/>
      <c r="D98" s="1033"/>
      <c r="E98" s="1033"/>
      <c r="F98" s="1033"/>
      <c r="G98" s="1033">
        <v>100</v>
      </c>
      <c r="H98" s="1033">
        <v>100</v>
      </c>
      <c r="I98" s="1033">
        <v>100</v>
      </c>
      <c r="J98" s="1034">
        <v>100</v>
      </c>
      <c r="K98" s="1034"/>
    </row>
    <row r="99" spans="1:11">
      <c r="A99" s="978" t="s">
        <v>1303</v>
      </c>
      <c r="B99" s="978" t="s">
        <v>726</v>
      </c>
      <c r="C99" s="1018"/>
      <c r="D99" s="979"/>
      <c r="E99" s="979"/>
      <c r="F99" s="979">
        <v>94</v>
      </c>
      <c r="G99" s="979">
        <v>98</v>
      </c>
      <c r="H99" s="979">
        <v>99</v>
      </c>
      <c r="I99" s="1018">
        <v>99</v>
      </c>
      <c r="J99" s="1037"/>
      <c r="K99" s="1039"/>
    </row>
    <row r="100" spans="1:11" s="972" customFormat="1">
      <c r="A100" s="1000"/>
      <c r="B100" s="1000" t="s">
        <v>663</v>
      </c>
      <c r="C100" s="1033"/>
      <c r="D100" s="1033"/>
      <c r="E100" s="1033"/>
      <c r="F100" s="1033"/>
      <c r="G100" s="1033">
        <v>96</v>
      </c>
      <c r="H100" s="1033">
        <v>97</v>
      </c>
      <c r="I100" s="1033">
        <v>98</v>
      </c>
      <c r="J100" s="1034">
        <v>99</v>
      </c>
      <c r="K100" s="1034"/>
    </row>
    <row r="101" spans="1:11" s="972" customFormat="1" ht="12">
      <c r="A101" s="978" t="s">
        <v>724</v>
      </c>
      <c r="B101" s="1043" t="s">
        <v>727</v>
      </c>
      <c r="C101" s="1056">
        <v>26</v>
      </c>
      <c r="D101" s="1056">
        <v>64</v>
      </c>
      <c r="E101" s="1056">
        <v>100</v>
      </c>
      <c r="F101" s="1041">
        <v>121</v>
      </c>
      <c r="G101" s="1041">
        <v>194</v>
      </c>
      <c r="H101" s="1041">
        <v>195</v>
      </c>
      <c r="I101" s="986">
        <v>214</v>
      </c>
      <c r="J101" s="1042"/>
      <c r="K101" s="978"/>
    </row>
    <row r="102" spans="1:11" s="972" customFormat="1">
      <c r="A102" s="986"/>
      <c r="B102" s="988"/>
      <c r="C102" s="998"/>
      <c r="D102" s="998"/>
      <c r="E102" s="998"/>
      <c r="F102" s="998"/>
      <c r="G102" s="998"/>
      <c r="H102" s="998"/>
      <c r="I102" s="986"/>
      <c r="J102" s="1037"/>
      <c r="K102" s="978"/>
    </row>
    <row r="103" spans="1:11" ht="20.75" customHeight="1">
      <c r="A103" s="1043" t="s">
        <v>1304</v>
      </c>
      <c r="B103" s="973" t="s">
        <v>728</v>
      </c>
      <c r="C103" s="974">
        <v>2018</v>
      </c>
      <c r="D103" s="974">
        <v>2020</v>
      </c>
      <c r="E103" s="974">
        <v>2021</v>
      </c>
      <c r="F103" s="974">
        <v>2022</v>
      </c>
      <c r="G103" s="974">
        <v>2023</v>
      </c>
      <c r="H103" s="974">
        <v>2024</v>
      </c>
      <c r="I103" s="974">
        <v>2025</v>
      </c>
      <c r="J103" s="1013"/>
      <c r="K103" s="982"/>
    </row>
    <row r="104" spans="1:11" ht="12">
      <c r="A104" s="978"/>
      <c r="B104" s="1043" t="s">
        <v>729</v>
      </c>
      <c r="C104" s="1057" t="s">
        <v>730</v>
      </c>
      <c r="D104" s="1057" t="s">
        <v>730</v>
      </c>
      <c r="E104" s="1057" t="s">
        <v>730</v>
      </c>
      <c r="F104" s="1057" t="s">
        <v>730</v>
      </c>
      <c r="G104" s="1057" t="s">
        <v>730</v>
      </c>
      <c r="H104" s="1057" t="s">
        <v>730</v>
      </c>
      <c r="I104" s="1057" t="s">
        <v>730</v>
      </c>
      <c r="J104" s="1042"/>
      <c r="K104" s="982"/>
    </row>
    <row r="105" spans="1:11" ht="12">
      <c r="A105" s="978"/>
      <c r="B105" s="1043" t="s">
        <v>731</v>
      </c>
      <c r="C105" s="1056">
        <v>8</v>
      </c>
      <c r="D105" s="1056">
        <v>9</v>
      </c>
      <c r="E105" s="1056">
        <v>9</v>
      </c>
      <c r="F105" s="1056">
        <v>10</v>
      </c>
      <c r="G105" s="1056">
        <v>9</v>
      </c>
      <c r="H105" s="1056">
        <v>9</v>
      </c>
      <c r="I105" s="1018">
        <v>9</v>
      </c>
      <c r="J105" s="1042"/>
      <c r="K105" s="982"/>
    </row>
    <row r="106" spans="1:11" ht="12">
      <c r="A106" s="978"/>
      <c r="B106" s="1043" t="s">
        <v>732</v>
      </c>
      <c r="C106" s="1056">
        <v>5</v>
      </c>
      <c r="D106" s="1056">
        <v>6</v>
      </c>
      <c r="E106" s="1056">
        <v>6</v>
      </c>
      <c r="F106" s="1056">
        <v>7</v>
      </c>
      <c r="G106" s="1056">
        <v>7</v>
      </c>
      <c r="H106" s="1056">
        <v>7</v>
      </c>
      <c r="I106" s="1058">
        <v>6</v>
      </c>
      <c r="J106" s="1042"/>
      <c r="K106" s="982"/>
    </row>
    <row r="107" spans="1:11" ht="12">
      <c r="A107" s="978"/>
      <c r="B107" s="1043" t="s">
        <v>733</v>
      </c>
      <c r="C107" s="1059">
        <f t="shared" ref="C107:H107" si="0">SUM(C106/C105)</f>
        <v>0.625</v>
      </c>
      <c r="D107" s="1059">
        <f t="shared" si="0"/>
        <v>0.66666666666666663</v>
      </c>
      <c r="E107" s="1059">
        <f t="shared" si="0"/>
        <v>0.66666666666666663</v>
      </c>
      <c r="F107" s="1059">
        <f t="shared" si="0"/>
        <v>0.7</v>
      </c>
      <c r="G107" s="1059">
        <f t="shared" si="0"/>
        <v>0.77777777777777779</v>
      </c>
      <c r="H107" s="1059">
        <f t="shared" si="0"/>
        <v>0.77777777777777779</v>
      </c>
      <c r="I107" s="1060">
        <f>I106/I105</f>
        <v>0.66666666666666663</v>
      </c>
      <c r="J107" s="1042"/>
      <c r="K107" s="982"/>
    </row>
    <row r="108" spans="1:11" ht="12">
      <c r="A108" s="978"/>
      <c r="B108" s="1043" t="s">
        <v>734</v>
      </c>
      <c r="C108" s="1056">
        <v>3</v>
      </c>
      <c r="D108" s="1056">
        <v>4</v>
      </c>
      <c r="E108" s="1056">
        <v>4</v>
      </c>
      <c r="F108" s="1056">
        <v>5</v>
      </c>
      <c r="G108" s="1056">
        <v>5</v>
      </c>
      <c r="H108" s="1056">
        <v>5</v>
      </c>
      <c r="I108" s="1058">
        <v>5</v>
      </c>
      <c r="J108" s="1042"/>
      <c r="K108" s="982"/>
    </row>
    <row r="109" spans="1:11" ht="12">
      <c r="A109" s="978"/>
      <c r="B109" s="1043" t="s">
        <v>735</v>
      </c>
      <c r="C109" s="1060">
        <f>C108/C105</f>
        <v>0.375</v>
      </c>
      <c r="D109" s="1060">
        <f t="shared" ref="D109:I109" si="1">D108/D105</f>
        <v>0.44444444444444442</v>
      </c>
      <c r="E109" s="1060">
        <f t="shared" si="1"/>
        <v>0.44444444444444442</v>
      </c>
      <c r="F109" s="1060">
        <f t="shared" si="1"/>
        <v>0.5</v>
      </c>
      <c r="G109" s="1060">
        <f t="shared" si="1"/>
        <v>0.55555555555555558</v>
      </c>
      <c r="H109" s="1060">
        <f t="shared" si="1"/>
        <v>0.55555555555555558</v>
      </c>
      <c r="I109" s="1061">
        <f t="shared" si="1"/>
        <v>0.55555555555555558</v>
      </c>
      <c r="J109" s="1042"/>
      <c r="K109" s="982"/>
    </row>
    <row r="110" spans="1:11" ht="12">
      <c r="A110" s="978"/>
      <c r="B110" s="1043" t="s">
        <v>736</v>
      </c>
      <c r="C110" s="1056">
        <v>3</v>
      </c>
      <c r="D110" s="1056">
        <v>4</v>
      </c>
      <c r="E110" s="1056">
        <v>4</v>
      </c>
      <c r="F110" s="1056">
        <v>5</v>
      </c>
      <c r="G110" s="1056">
        <v>5</v>
      </c>
      <c r="H110" s="1056">
        <v>5</v>
      </c>
      <c r="I110" s="1058">
        <v>5</v>
      </c>
      <c r="J110" s="1042"/>
      <c r="K110" s="982"/>
    </row>
    <row r="111" spans="1:11" ht="12">
      <c r="A111" s="978"/>
      <c r="B111" s="1043" t="s">
        <v>737</v>
      </c>
      <c r="C111" s="1060">
        <f>C110/C105</f>
        <v>0.375</v>
      </c>
      <c r="D111" s="1060">
        <f t="shared" ref="D111:I111" si="2">D110/D105</f>
        <v>0.44444444444444442</v>
      </c>
      <c r="E111" s="1060">
        <f t="shared" si="2"/>
        <v>0.44444444444444442</v>
      </c>
      <c r="F111" s="1060">
        <f t="shared" si="2"/>
        <v>0.5</v>
      </c>
      <c r="G111" s="1060">
        <f t="shared" si="2"/>
        <v>0.55555555555555558</v>
      </c>
      <c r="H111" s="1060">
        <f t="shared" si="2"/>
        <v>0.55555555555555558</v>
      </c>
      <c r="I111" s="1060">
        <f t="shared" si="2"/>
        <v>0.55555555555555558</v>
      </c>
      <c r="J111" s="1042"/>
      <c r="K111" s="982"/>
    </row>
    <row r="112" spans="1:11" ht="12">
      <c r="A112" s="978"/>
      <c r="B112" s="1043" t="s">
        <v>738</v>
      </c>
      <c r="C112" s="1056">
        <v>6</v>
      </c>
      <c r="D112" s="1056">
        <v>8</v>
      </c>
      <c r="E112" s="1056">
        <v>10</v>
      </c>
      <c r="F112" s="1056">
        <v>10</v>
      </c>
      <c r="G112" s="1056">
        <v>8</v>
      </c>
      <c r="H112" s="1056">
        <v>8</v>
      </c>
      <c r="I112" s="1058">
        <v>9</v>
      </c>
      <c r="J112" s="1042"/>
      <c r="K112" s="982"/>
    </row>
    <row r="113" spans="1:16" ht="12">
      <c r="A113" s="978"/>
      <c r="B113" s="1043" t="s">
        <v>739</v>
      </c>
      <c r="C113" s="1059">
        <f>SUM(5.625/C112)</f>
        <v>0.9375</v>
      </c>
      <c r="D113" s="1059">
        <f>SUM(7.67/D112)</f>
        <v>0.95874999999999999</v>
      </c>
      <c r="E113" s="1059">
        <f>SUM(9.89/E112)</f>
        <v>0.9890000000000001</v>
      </c>
      <c r="F113" s="1059">
        <f>SUM(9.9/F112)</f>
        <v>0.99</v>
      </c>
      <c r="G113" s="1059">
        <f>SUM(8/G112)</f>
        <v>1</v>
      </c>
      <c r="H113" s="1059">
        <f>SUM(7.75/H112)</f>
        <v>0.96875</v>
      </c>
      <c r="I113" s="1061">
        <v>0.9</v>
      </c>
      <c r="J113" s="1042"/>
      <c r="K113" s="982"/>
    </row>
    <row r="114" spans="1:16" ht="12">
      <c r="A114" s="978"/>
      <c r="B114" s="1043" t="s">
        <v>740</v>
      </c>
      <c r="C114" s="1056">
        <v>60</v>
      </c>
      <c r="D114" s="1056">
        <v>61.375</v>
      </c>
      <c r="E114" s="1056">
        <v>62.375</v>
      </c>
      <c r="F114" s="1056">
        <v>61.44</v>
      </c>
      <c r="G114" s="1056">
        <v>60.625</v>
      </c>
      <c r="H114" s="1056">
        <v>61.625</v>
      </c>
      <c r="I114" s="1058">
        <v>59</v>
      </c>
      <c r="J114" s="1042"/>
      <c r="K114" s="982"/>
    </row>
    <row r="115" spans="1:16" ht="12">
      <c r="A115" s="978"/>
      <c r="B115" s="1043" t="s">
        <v>741</v>
      </c>
      <c r="C115" s="1056">
        <v>62</v>
      </c>
      <c r="D115" s="1056">
        <v>64</v>
      </c>
      <c r="E115" s="1056">
        <v>65</v>
      </c>
      <c r="F115" s="1056">
        <v>66</v>
      </c>
      <c r="G115" s="1056">
        <v>67</v>
      </c>
      <c r="H115" s="1056">
        <v>68</v>
      </c>
      <c r="I115" s="1058">
        <v>69</v>
      </c>
      <c r="J115" s="1042"/>
      <c r="K115" s="982"/>
    </row>
    <row r="116" spans="1:16" ht="12">
      <c r="A116" s="978"/>
      <c r="B116" s="1043" t="s">
        <v>742</v>
      </c>
      <c r="C116" s="1056">
        <v>0.71</v>
      </c>
      <c r="D116" s="1056">
        <v>2.375</v>
      </c>
      <c r="E116" s="1056">
        <v>3.375</v>
      </c>
      <c r="F116" s="1056">
        <v>3.89</v>
      </c>
      <c r="G116" s="1056">
        <v>4.75</v>
      </c>
      <c r="H116" s="1056">
        <v>5.75</v>
      </c>
      <c r="I116" s="1058">
        <v>5</v>
      </c>
      <c r="J116" s="1042"/>
      <c r="K116" s="982"/>
    </row>
    <row r="117" spans="1:16" ht="12">
      <c r="A117" s="978"/>
      <c r="B117" s="1043" t="s">
        <v>743</v>
      </c>
      <c r="C117" s="1062">
        <v>3791</v>
      </c>
      <c r="D117" s="1062">
        <v>5133</v>
      </c>
      <c r="E117" s="1062">
        <v>5387</v>
      </c>
      <c r="F117" s="1062">
        <v>6328</v>
      </c>
      <c r="G117" s="1062">
        <v>6684</v>
      </c>
      <c r="H117" s="1062">
        <v>6583</v>
      </c>
      <c r="I117" s="1063">
        <v>6940</v>
      </c>
      <c r="J117" s="1064"/>
      <c r="K117" s="982"/>
      <c r="L117" s="1044"/>
      <c r="M117" s="1044"/>
      <c r="N117" s="1044"/>
      <c r="O117" s="1044"/>
      <c r="P117" s="1044"/>
    </row>
    <row r="118" spans="1:16" ht="12">
      <c r="A118" s="978"/>
      <c r="B118" s="1043" t="s">
        <v>744</v>
      </c>
      <c r="C118" s="1062">
        <v>1648</v>
      </c>
      <c r="D118" s="1062">
        <v>2050</v>
      </c>
      <c r="E118" s="1062">
        <v>2104</v>
      </c>
      <c r="F118" s="1062">
        <v>2365</v>
      </c>
      <c r="G118" s="1062">
        <v>2542</v>
      </c>
      <c r="H118" s="1062">
        <v>2668</v>
      </c>
      <c r="I118" s="1063">
        <v>2876</v>
      </c>
      <c r="J118" s="1064"/>
      <c r="K118" s="982"/>
      <c r="L118" s="1044"/>
      <c r="M118" s="1044"/>
      <c r="N118" s="1044"/>
      <c r="O118" s="1044"/>
      <c r="P118" s="1044"/>
    </row>
    <row r="119" spans="1:16" ht="12">
      <c r="A119" s="978"/>
      <c r="B119" s="1043" t="s">
        <v>745</v>
      </c>
      <c r="C119" s="1062">
        <v>541.57142857142856</v>
      </c>
      <c r="D119" s="1062">
        <v>641.625</v>
      </c>
      <c r="E119" s="1062">
        <v>673.375</v>
      </c>
      <c r="F119" s="1062">
        <v>703.11111111111109</v>
      </c>
      <c r="G119" s="1062">
        <v>835.5</v>
      </c>
      <c r="H119" s="1062">
        <v>822.875</v>
      </c>
      <c r="I119" s="1063">
        <v>694</v>
      </c>
      <c r="J119" s="1064"/>
      <c r="K119" s="982"/>
      <c r="L119" s="1044"/>
      <c r="M119" s="1044"/>
      <c r="N119" s="1044"/>
      <c r="O119" s="1044"/>
      <c r="P119" s="1044"/>
    </row>
    <row r="120" spans="1:16" ht="12">
      <c r="A120" s="978"/>
      <c r="B120" s="1043" t="s">
        <v>746</v>
      </c>
      <c r="C120" s="1062">
        <v>5204</v>
      </c>
      <c r="D120" s="1062">
        <v>8658</v>
      </c>
      <c r="E120" s="1062">
        <v>11131</v>
      </c>
      <c r="F120" s="1062">
        <v>8035</v>
      </c>
      <c r="G120" s="1062">
        <v>10890</v>
      </c>
      <c r="H120" s="1062">
        <v>9844</v>
      </c>
      <c r="I120" s="1063">
        <v>11664</v>
      </c>
      <c r="J120" s="1064"/>
      <c r="K120" s="982"/>
      <c r="L120" s="1044"/>
      <c r="M120" s="1044"/>
      <c r="N120" s="1044"/>
      <c r="O120" s="1044"/>
      <c r="P120" s="1044"/>
    </row>
    <row r="121" spans="1:16">
      <c r="A121" s="978"/>
      <c r="B121" s="1065"/>
      <c r="C121" s="1066"/>
      <c r="D121" s="1066"/>
      <c r="E121" s="1066"/>
      <c r="F121" s="1066"/>
      <c r="G121" s="1066"/>
      <c r="H121" s="1066"/>
      <c r="I121" s="1067"/>
      <c r="J121" s="1042"/>
      <c r="K121" s="982"/>
    </row>
    <row r="122" spans="1:16" ht="17" customHeight="1">
      <c r="A122" s="978"/>
      <c r="B122" s="973" t="s">
        <v>747</v>
      </c>
      <c r="C122" s="974">
        <v>2018</v>
      </c>
      <c r="D122" s="974">
        <v>2020</v>
      </c>
      <c r="E122" s="974">
        <v>2021</v>
      </c>
      <c r="F122" s="974">
        <v>2022</v>
      </c>
      <c r="G122" s="974">
        <v>2023</v>
      </c>
      <c r="H122" s="974">
        <v>2024</v>
      </c>
      <c r="I122" s="974">
        <v>2025</v>
      </c>
      <c r="J122" s="1042"/>
      <c r="K122" s="982"/>
    </row>
    <row r="123" spans="1:16" ht="12">
      <c r="A123" s="978"/>
      <c r="B123" s="978" t="s">
        <v>748</v>
      </c>
      <c r="C123" s="978"/>
      <c r="D123" s="1066"/>
      <c r="E123" s="1066"/>
      <c r="F123" s="1066"/>
      <c r="G123" s="1045" t="s">
        <v>749</v>
      </c>
      <c r="H123" s="1045" t="s">
        <v>749</v>
      </c>
      <c r="I123" s="1045" t="s">
        <v>749</v>
      </c>
      <c r="J123" s="1042"/>
      <c r="K123" s="982"/>
    </row>
    <row r="124" spans="1:16" ht="12">
      <c r="A124" s="978"/>
      <c r="B124" s="978" t="s">
        <v>750</v>
      </c>
      <c r="C124" s="978"/>
      <c r="D124" s="1066"/>
      <c r="E124" s="1066"/>
      <c r="F124" s="1066"/>
      <c r="G124" s="1045" t="s">
        <v>751</v>
      </c>
      <c r="H124" s="1045" t="s">
        <v>751</v>
      </c>
      <c r="I124" s="1045" t="s">
        <v>751</v>
      </c>
      <c r="J124" s="1042"/>
      <c r="K124" s="982"/>
    </row>
    <row r="125" spans="1:16" ht="12">
      <c r="A125" s="978"/>
      <c r="B125" s="1043" t="s">
        <v>752</v>
      </c>
      <c r="C125" s="978"/>
      <c r="D125" s="1066"/>
      <c r="E125" s="1066"/>
      <c r="F125" s="1066"/>
      <c r="G125" s="1046" t="s">
        <v>753</v>
      </c>
      <c r="H125" s="1046" t="s">
        <v>754</v>
      </c>
      <c r="I125" s="1068" t="s">
        <v>1305</v>
      </c>
      <c r="J125" s="1042"/>
      <c r="K125" s="982"/>
    </row>
    <row r="126" spans="1:16" ht="12">
      <c r="A126" s="978"/>
      <c r="B126" s="978" t="s">
        <v>755</v>
      </c>
      <c r="C126" s="978"/>
      <c r="D126" s="1066"/>
      <c r="E126" s="1066"/>
      <c r="F126" s="1066"/>
      <c r="G126" s="1045" t="s">
        <v>756</v>
      </c>
      <c r="H126" s="1045" t="s">
        <v>603</v>
      </c>
      <c r="I126" s="1045" t="s">
        <v>609</v>
      </c>
      <c r="J126" s="1042"/>
      <c r="K126" s="982"/>
    </row>
    <row r="127" spans="1:16" ht="12">
      <c r="A127" s="978"/>
      <c r="B127" s="978" t="s">
        <v>757</v>
      </c>
      <c r="C127" s="978"/>
      <c r="D127" s="1066"/>
      <c r="E127" s="1066"/>
      <c r="F127" s="1066"/>
      <c r="G127" s="1045" t="s">
        <v>758</v>
      </c>
      <c r="H127" s="1047" t="s">
        <v>759</v>
      </c>
      <c r="I127" s="1045" t="s">
        <v>758</v>
      </c>
      <c r="J127" s="1042"/>
      <c r="K127" s="982"/>
    </row>
    <row r="128" spans="1:16">
      <c r="A128" s="978"/>
      <c r="B128" s="1018"/>
      <c r="C128" s="1018"/>
      <c r="D128" s="1018"/>
      <c r="E128" s="1018"/>
      <c r="F128" s="978"/>
      <c r="G128" s="1018"/>
      <c r="H128" s="1018"/>
      <c r="I128" s="982"/>
      <c r="J128" s="1013"/>
      <c r="K128" s="982"/>
    </row>
    <row r="129" spans="1:12" ht="36">
      <c r="A129" s="978"/>
      <c r="B129" s="1043" t="s">
        <v>1317</v>
      </c>
      <c r="C129" s="1018"/>
      <c r="D129" s="1069"/>
      <c r="E129" s="1069"/>
      <c r="F129" s="1069"/>
      <c r="G129" s="1069"/>
      <c r="H129" s="1069"/>
      <c r="I129" s="1069"/>
      <c r="J129" s="1069"/>
      <c r="K129" s="1070"/>
      <c r="L129" s="1048"/>
    </row>
    <row r="130" spans="1:12" ht="13.25" customHeight="1">
      <c r="A130" s="978"/>
      <c r="B130" s="982"/>
      <c r="C130" s="1018"/>
      <c r="D130" s="1018"/>
      <c r="E130" s="1018"/>
      <c r="F130" s="1018"/>
      <c r="G130" s="1018"/>
      <c r="H130" s="1018"/>
      <c r="I130" s="1018"/>
      <c r="J130" s="1018"/>
      <c r="K130" s="982"/>
    </row>
    <row r="131" spans="1:12">
      <c r="A131" s="978"/>
      <c r="B131" s="1154"/>
      <c r="C131" s="1154"/>
      <c r="D131" s="1154"/>
      <c r="E131" s="1154"/>
      <c r="F131" s="1069"/>
      <c r="G131" s="1018"/>
      <c r="H131" s="1018"/>
      <c r="I131" s="1018"/>
      <c r="J131" s="1018"/>
      <c r="K131" s="982"/>
    </row>
    <row r="132" spans="1:12" s="999" customFormat="1" ht="26.25" customHeight="1"/>
    <row r="133" spans="1:12" s="999" customFormat="1" ht="44" customHeight="1"/>
    <row r="134" spans="1:12" s="999" customFormat="1" ht="124.25" customHeight="1">
      <c r="K134" s="1049"/>
    </row>
    <row r="135" spans="1:12" s="999" customFormat="1" ht="22.25" customHeight="1">
      <c r="B135" s="1153"/>
      <c r="C135" s="1153"/>
      <c r="D135" s="1153"/>
      <c r="E135" s="1153"/>
      <c r="K135" s="1000"/>
    </row>
    <row r="136" spans="1:12" s="999" customFormat="1" ht="64.25" customHeight="1">
      <c r="B136" s="1153"/>
      <c r="C136" s="1153"/>
      <c r="D136" s="1153"/>
      <c r="E136" s="1153"/>
      <c r="K136" s="1000"/>
    </row>
    <row r="137" spans="1:12" s="999" customFormat="1" ht="25.25" customHeight="1">
      <c r="B137" s="1153"/>
      <c r="C137" s="1153"/>
      <c r="D137" s="1153"/>
      <c r="E137" s="1153"/>
      <c r="K137" s="1000"/>
    </row>
    <row r="138" spans="1:12" s="999" customFormat="1" ht="10.25" customHeight="1">
      <c r="B138" s="1153"/>
      <c r="C138" s="1153"/>
      <c r="D138" s="1153"/>
      <c r="E138" s="1153"/>
      <c r="K138" s="1000"/>
    </row>
    <row r="139" spans="1:12" s="999" customFormat="1" ht="65" customHeight="1">
      <c r="B139" s="1153"/>
      <c r="C139" s="1153"/>
      <c r="D139" s="1153"/>
      <c r="E139" s="1153"/>
      <c r="K139" s="1000"/>
    </row>
    <row r="140" spans="1:12" s="999" customFormat="1" ht="10.25" customHeight="1">
      <c r="A140" s="1050"/>
      <c r="B140" s="969"/>
      <c r="K140" s="1000"/>
    </row>
    <row r="141" spans="1:12" s="999" customFormat="1" ht="10.25" customHeight="1">
      <c r="A141" s="1050"/>
      <c r="B141" s="969"/>
      <c r="K141" s="1000"/>
    </row>
  </sheetData>
  <mergeCells count="6">
    <mergeCell ref="B139:E139"/>
    <mergeCell ref="B131:E131"/>
    <mergeCell ref="B135:E135"/>
    <mergeCell ref="B136:E136"/>
    <mergeCell ref="B137:E137"/>
    <mergeCell ref="B138:E138"/>
  </mergeCells>
  <hyperlinks>
    <hyperlink ref="B2" location="'START PAGE'!A1" display="Back to start page" xr:uid="{B397AF64-1567-436D-B8CD-5AEBDB8248B5}"/>
  </hyperlinks>
  <pageMargins left="0.7" right="0.7" top="0.75" bottom="0.75" header="0.3" footer="0.3"/>
  <pageSetup paperSize="9" scale="5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1DD6-2385-46B8-96A0-619AA0CD566D}">
  <sheetPr>
    <tabColor rgb="FFFFCD00"/>
    <pageSetUpPr fitToPage="1"/>
  </sheetPr>
  <dimension ref="A1:R76"/>
  <sheetViews>
    <sheetView showGridLines="0" zoomScale="80" zoomScaleNormal="80" workbookViewId="0"/>
  </sheetViews>
  <sheetFormatPr baseColWidth="10" defaultColWidth="8.5" defaultRowHeight="13.5" customHeight="1"/>
  <cols>
    <col min="1" max="1" width="15.33203125" bestFit="1" customWidth="1"/>
    <col min="2" max="2" width="68" customWidth="1"/>
    <col min="3" max="3" width="5.6640625" customWidth="1"/>
    <col min="4" max="4" width="5" bestFit="1" customWidth="1"/>
    <col min="5" max="5" width="23.6640625" customWidth="1"/>
    <col min="6" max="6" width="14.5" customWidth="1"/>
    <col min="7" max="7" width="5.5" bestFit="1" customWidth="1"/>
    <col min="8" max="8" width="7.6640625" customWidth="1"/>
    <col min="9" max="9" width="17.6640625" bestFit="1" customWidth="1"/>
    <col min="10" max="10" width="49.5" bestFit="1" customWidth="1"/>
    <col min="11" max="11" width="19.5" customWidth="1"/>
    <col min="12" max="12" width="26.6640625" customWidth="1"/>
    <col min="13" max="13" width="11.6640625" bestFit="1" customWidth="1"/>
    <col min="14" max="14" width="13.5" customWidth="1"/>
    <col min="15" max="15" width="5.6640625" customWidth="1"/>
    <col min="16" max="16" width="10.33203125" customWidth="1"/>
    <col min="17" max="17" width="109.5" bestFit="1" customWidth="1"/>
    <col min="18" max="18" width="142.33203125" bestFit="1" customWidth="1"/>
  </cols>
  <sheetData>
    <row r="1" spans="1:18" ht="17" thickBot="1">
      <c r="A1" s="652" t="s">
        <v>74</v>
      </c>
      <c r="B1" s="653"/>
      <c r="C1" s="653"/>
      <c r="D1" s="653"/>
      <c r="E1" s="653"/>
      <c r="F1" s="653"/>
      <c r="G1" s="653"/>
      <c r="H1" s="653"/>
      <c r="I1" s="653"/>
      <c r="J1" s="653"/>
      <c r="K1" s="653"/>
      <c r="L1" s="653"/>
      <c r="M1" s="653"/>
      <c r="N1" s="653"/>
      <c r="O1" s="653"/>
      <c r="P1" s="653"/>
      <c r="Q1" s="653"/>
      <c r="R1" s="653"/>
    </row>
    <row r="2" spans="1:18" ht="18" thickTop="1" thickBot="1">
      <c r="A2" s="654" t="s">
        <v>30</v>
      </c>
      <c r="B2" s="655"/>
      <c r="C2" s="655"/>
      <c r="D2" s="655"/>
      <c r="E2" s="655"/>
      <c r="F2" s="655"/>
      <c r="G2" s="655"/>
      <c r="H2" s="655"/>
      <c r="I2" s="655"/>
      <c r="J2" s="655"/>
      <c r="K2" s="655"/>
      <c r="L2" s="655"/>
      <c r="M2" s="655"/>
      <c r="N2" s="655"/>
      <c r="O2" s="655"/>
      <c r="P2" s="655"/>
      <c r="Q2" s="655"/>
      <c r="R2" s="655"/>
    </row>
    <row r="3" spans="1:18" ht="14" thickTop="1">
      <c r="A3" s="656" t="s">
        <v>760</v>
      </c>
      <c r="B3" s="657" t="s">
        <v>761</v>
      </c>
      <c r="C3" s="657"/>
      <c r="D3" s="658" t="s">
        <v>762</v>
      </c>
      <c r="E3" s="658" t="s">
        <v>763</v>
      </c>
      <c r="F3" s="658" t="s">
        <v>764</v>
      </c>
      <c r="G3" s="658" t="s">
        <v>400</v>
      </c>
      <c r="H3" s="658" t="s">
        <v>765</v>
      </c>
      <c r="I3" s="658" t="s">
        <v>766</v>
      </c>
      <c r="J3" s="658" t="s">
        <v>767</v>
      </c>
      <c r="K3" s="658" t="s">
        <v>768</v>
      </c>
      <c r="L3" s="658" t="s">
        <v>769</v>
      </c>
      <c r="M3" s="658" t="s">
        <v>770</v>
      </c>
      <c r="N3" s="658" t="s">
        <v>771</v>
      </c>
      <c r="O3" s="658" t="s">
        <v>772</v>
      </c>
      <c r="P3" s="658" t="s">
        <v>773</v>
      </c>
      <c r="Q3" s="658" t="s">
        <v>774</v>
      </c>
      <c r="R3" s="1139" t="s">
        <v>775</v>
      </c>
    </row>
    <row r="4" spans="1:18" ht="13">
      <c r="A4" s="693"/>
      <c r="B4" s="694">
        <v>720</v>
      </c>
      <c r="C4" s="694">
        <v>720</v>
      </c>
      <c r="D4" s="668" t="s">
        <v>1344</v>
      </c>
      <c r="E4" s="668">
        <v>210</v>
      </c>
      <c r="F4" s="669">
        <v>46218</v>
      </c>
      <c r="G4" s="668">
        <v>210</v>
      </c>
      <c r="H4" s="668" t="s">
        <v>498</v>
      </c>
      <c r="I4" s="668" t="s">
        <v>1346</v>
      </c>
      <c r="J4" s="668" t="s">
        <v>1347</v>
      </c>
      <c r="K4" s="668" t="s">
        <v>364</v>
      </c>
      <c r="L4" s="668" t="s">
        <v>816</v>
      </c>
      <c r="M4" s="668" t="s">
        <v>796</v>
      </c>
      <c r="N4" s="668" t="s">
        <v>1125</v>
      </c>
      <c r="O4" s="668" t="s">
        <v>782</v>
      </c>
      <c r="P4" s="668" t="s">
        <v>1348</v>
      </c>
      <c r="Q4" s="668" t="s">
        <v>1350</v>
      </c>
      <c r="R4" s="686" t="s">
        <v>1349</v>
      </c>
    </row>
    <row r="5" spans="1:18" ht="13">
      <c r="A5" s="1111"/>
      <c r="B5" s="1157" t="s">
        <v>1342</v>
      </c>
      <c r="C5" s="1114">
        <v>1280</v>
      </c>
      <c r="D5" s="684" t="s">
        <v>1275</v>
      </c>
      <c r="E5" s="684">
        <f>G5+G6</f>
        <v>560</v>
      </c>
      <c r="F5" s="685">
        <v>46122</v>
      </c>
      <c r="G5" s="684">
        <v>180</v>
      </c>
      <c r="H5" s="684" t="s">
        <v>497</v>
      </c>
      <c r="I5" s="684" t="s">
        <v>1327</v>
      </c>
      <c r="J5" s="684" t="s">
        <v>1328</v>
      </c>
      <c r="K5" s="684" t="s">
        <v>382</v>
      </c>
      <c r="L5" s="684" t="s">
        <v>1329</v>
      </c>
      <c r="M5" s="684" t="s">
        <v>851</v>
      </c>
      <c r="N5" s="684" t="s">
        <v>789</v>
      </c>
      <c r="O5" s="684" t="s">
        <v>782</v>
      </c>
      <c r="P5" s="684" t="s">
        <v>791</v>
      </c>
      <c r="Q5" s="684" t="s">
        <v>1331</v>
      </c>
      <c r="R5" s="686" t="s">
        <v>1330</v>
      </c>
    </row>
    <row r="6" spans="1:18" ht="13">
      <c r="A6" s="687"/>
      <c r="B6" s="1158"/>
      <c r="C6" s="1112"/>
      <c r="D6" s="1113"/>
      <c r="E6" s="1113"/>
      <c r="F6" s="691">
        <v>46101</v>
      </c>
      <c r="G6" s="690">
        <v>380</v>
      </c>
      <c r="H6" s="690" t="s">
        <v>497</v>
      </c>
      <c r="I6" s="690" t="s">
        <v>1332</v>
      </c>
      <c r="J6" s="690" t="s">
        <v>1333</v>
      </c>
      <c r="K6" s="690" t="s">
        <v>1334</v>
      </c>
      <c r="L6" s="690" t="s">
        <v>816</v>
      </c>
      <c r="M6" s="690" t="s">
        <v>796</v>
      </c>
      <c r="N6" s="690" t="s">
        <v>1125</v>
      </c>
      <c r="O6" s="690" t="s">
        <v>791</v>
      </c>
      <c r="P6" s="690" t="s">
        <v>791</v>
      </c>
      <c r="Q6" s="690" t="s">
        <v>1335</v>
      </c>
      <c r="R6" s="692" t="s">
        <v>1336</v>
      </c>
    </row>
    <row r="7" spans="1:18" s="1110" customFormat="1" ht="13">
      <c r="A7" s="1089"/>
      <c r="B7" s="1090" t="s">
        <v>1337</v>
      </c>
      <c r="C7" s="1090"/>
      <c r="D7" s="1091"/>
      <c r="E7" s="1092"/>
      <c r="F7" s="1091"/>
      <c r="G7" s="1091"/>
      <c r="H7" s="1091"/>
      <c r="I7" s="1091"/>
      <c r="J7" s="1091"/>
      <c r="K7" s="1091"/>
      <c r="L7" s="1091"/>
      <c r="M7" s="1091"/>
      <c r="N7" s="1091"/>
      <c r="O7" s="1091"/>
      <c r="P7" s="1091"/>
      <c r="Q7" s="1091"/>
      <c r="R7" s="1091"/>
    </row>
    <row r="8" spans="1:18" ht="24">
      <c r="A8" s="959"/>
      <c r="B8" s="968" t="s">
        <v>1271</v>
      </c>
      <c r="C8" s="960">
        <v>670</v>
      </c>
      <c r="D8" s="961" t="s">
        <v>820</v>
      </c>
      <c r="E8" s="962">
        <v>0</v>
      </c>
      <c r="F8" s="961"/>
      <c r="G8" s="961"/>
      <c r="H8" s="961"/>
      <c r="I8" s="961"/>
      <c r="J8" s="961"/>
      <c r="K8" s="961"/>
      <c r="L8" s="961"/>
      <c r="M8" s="961"/>
      <c r="N8" s="961"/>
      <c r="O8" s="961"/>
      <c r="P8" s="961"/>
      <c r="Q8" s="962" t="s">
        <v>1272</v>
      </c>
      <c r="R8" s="963"/>
    </row>
    <row r="9" spans="1:18" ht="13">
      <c r="A9" s="659" t="s">
        <v>776</v>
      </c>
      <c r="B9" s="660">
        <v>600</v>
      </c>
      <c r="C9" s="660">
        <v>600</v>
      </c>
      <c r="D9" s="661" t="s">
        <v>158</v>
      </c>
      <c r="E9" s="662">
        <v>115</v>
      </c>
      <c r="F9" s="663">
        <v>45938</v>
      </c>
      <c r="G9" s="662">
        <v>115</v>
      </c>
      <c r="H9" s="662" t="s">
        <v>499</v>
      </c>
      <c r="I9" s="661"/>
      <c r="J9" s="662" t="s">
        <v>777</v>
      </c>
      <c r="K9" s="662" t="s">
        <v>778</v>
      </c>
      <c r="L9" s="662" t="s">
        <v>779</v>
      </c>
      <c r="M9" s="662" t="s">
        <v>780</v>
      </c>
      <c r="N9" s="662" t="s">
        <v>781</v>
      </c>
      <c r="O9" s="662" t="s">
        <v>782</v>
      </c>
      <c r="P9" s="662" t="s">
        <v>782</v>
      </c>
      <c r="Q9" s="662" t="s">
        <v>783</v>
      </c>
      <c r="R9" s="664" t="s">
        <v>784</v>
      </c>
    </row>
    <row r="10" spans="1:18" ht="23.25" customHeight="1">
      <c r="A10" s="665"/>
      <c r="B10" s="666" t="s">
        <v>785</v>
      </c>
      <c r="C10" s="666">
        <v>500</v>
      </c>
      <c r="D10" s="667" t="s">
        <v>157</v>
      </c>
      <c r="E10" s="668">
        <f>G10+G11</f>
        <v>335</v>
      </c>
      <c r="F10" s="669">
        <v>45846</v>
      </c>
      <c r="G10" s="668">
        <v>235</v>
      </c>
      <c r="H10" s="668" t="s">
        <v>498</v>
      </c>
      <c r="I10" s="668"/>
      <c r="J10" s="668" t="s">
        <v>786</v>
      </c>
      <c r="K10" s="668" t="s">
        <v>363</v>
      </c>
      <c r="L10" s="668" t="s">
        <v>787</v>
      </c>
      <c r="M10" s="668" t="s">
        <v>788</v>
      </c>
      <c r="N10" s="668" t="s">
        <v>789</v>
      </c>
      <c r="O10" s="668" t="s">
        <v>790</v>
      </c>
      <c r="P10" s="668" t="s">
        <v>791</v>
      </c>
      <c r="Q10" s="668" t="s">
        <v>792</v>
      </c>
      <c r="R10" s="670" t="s">
        <v>793</v>
      </c>
    </row>
    <row r="11" spans="1:18" ht="13">
      <c r="A11" s="671"/>
      <c r="B11" s="672"/>
      <c r="C11" s="672"/>
      <c r="D11" s="673"/>
      <c r="E11" s="674"/>
      <c r="F11" s="675">
        <v>45763</v>
      </c>
      <c r="G11" s="674">
        <v>100</v>
      </c>
      <c r="H11" s="674" t="s">
        <v>498</v>
      </c>
      <c r="I11" s="674"/>
      <c r="J11" s="673" t="s">
        <v>794</v>
      </c>
      <c r="K11" s="674" t="s">
        <v>385</v>
      </c>
      <c r="L11" s="674" t="s">
        <v>795</v>
      </c>
      <c r="M11" s="674" t="s">
        <v>796</v>
      </c>
      <c r="N11" s="674" t="s">
        <v>797</v>
      </c>
      <c r="O11" s="674" t="s">
        <v>798</v>
      </c>
      <c r="P11" s="674" t="s">
        <v>798</v>
      </c>
      <c r="Q11" s="674" t="s">
        <v>799</v>
      </c>
      <c r="R11" s="674" t="s">
        <v>800</v>
      </c>
    </row>
    <row r="12" spans="1:18" ht="13">
      <c r="A12" s="665"/>
      <c r="B12" s="666">
        <v>600</v>
      </c>
      <c r="C12" s="666">
        <f>B12</f>
        <v>600</v>
      </c>
      <c r="D12" s="667" t="s">
        <v>156</v>
      </c>
      <c r="E12" s="668">
        <f>SUM(G12:G13)</f>
        <v>380</v>
      </c>
      <c r="F12" s="669">
        <v>45761</v>
      </c>
      <c r="G12" s="668">
        <v>280</v>
      </c>
      <c r="H12" s="668" t="s">
        <v>497</v>
      </c>
      <c r="I12" s="668" t="s">
        <v>801</v>
      </c>
      <c r="J12" s="668" t="s">
        <v>802</v>
      </c>
      <c r="K12" s="668" t="s">
        <v>387</v>
      </c>
      <c r="L12" s="668" t="s">
        <v>803</v>
      </c>
      <c r="M12" s="668" t="s">
        <v>804</v>
      </c>
      <c r="N12" s="668" t="s">
        <v>805</v>
      </c>
      <c r="O12" s="668" t="s">
        <v>790</v>
      </c>
      <c r="P12" s="668" t="s">
        <v>791</v>
      </c>
      <c r="Q12" s="668" t="s">
        <v>806</v>
      </c>
      <c r="R12" s="670" t="s">
        <v>807</v>
      </c>
    </row>
    <row r="13" spans="1:18" ht="13">
      <c r="A13" s="676"/>
      <c r="B13" s="677"/>
      <c r="C13" s="678"/>
      <c r="D13" s="679"/>
      <c r="E13" s="679"/>
      <c r="F13" s="680">
        <v>45729</v>
      </c>
      <c r="G13" s="679">
        <v>100</v>
      </c>
      <c r="H13" s="679" t="s">
        <v>497</v>
      </c>
      <c r="I13" s="679" t="s">
        <v>808</v>
      </c>
      <c r="J13" s="679" t="s">
        <v>809</v>
      </c>
      <c r="K13" s="679" t="s">
        <v>361</v>
      </c>
      <c r="L13" s="679" t="s">
        <v>810</v>
      </c>
      <c r="M13" s="679" t="s">
        <v>804</v>
      </c>
      <c r="N13" s="679" t="s">
        <v>789</v>
      </c>
      <c r="O13" s="679" t="s">
        <v>811</v>
      </c>
      <c r="P13" s="679" t="s">
        <v>791</v>
      </c>
      <c r="Q13" s="679" t="s">
        <v>812</v>
      </c>
      <c r="R13" s="679" t="s">
        <v>813</v>
      </c>
    </row>
    <row r="14" spans="1:18" ht="13">
      <c r="A14" s="681"/>
      <c r="B14" s="682">
        <v>820</v>
      </c>
      <c r="C14" s="682">
        <v>820</v>
      </c>
      <c r="D14" s="683" t="s">
        <v>155</v>
      </c>
      <c r="E14" s="684">
        <f>SUM(G14:G15)</f>
        <v>450</v>
      </c>
      <c r="F14" s="685">
        <v>45673</v>
      </c>
      <c r="G14" s="684">
        <v>250</v>
      </c>
      <c r="H14" s="684" t="s">
        <v>500</v>
      </c>
      <c r="I14" s="684" t="s">
        <v>814</v>
      </c>
      <c r="J14" s="684" t="s">
        <v>815</v>
      </c>
      <c r="K14" s="684" t="s">
        <v>385</v>
      </c>
      <c r="L14" s="684" t="s">
        <v>816</v>
      </c>
      <c r="M14" s="684" t="s">
        <v>816</v>
      </c>
      <c r="N14" s="684" t="s">
        <v>816</v>
      </c>
      <c r="O14" s="684" t="s">
        <v>782</v>
      </c>
      <c r="P14" s="684" t="s">
        <v>817</v>
      </c>
      <c r="Q14" s="684" t="s">
        <v>818</v>
      </c>
      <c r="R14" s="686" t="s">
        <v>819</v>
      </c>
    </row>
    <row r="15" spans="1:18" ht="13">
      <c r="A15" s="687"/>
      <c r="B15" s="688"/>
      <c r="C15" s="689"/>
      <c r="D15" s="690"/>
      <c r="E15" s="690"/>
      <c r="F15" s="691">
        <v>45664</v>
      </c>
      <c r="G15" s="690">
        <v>200</v>
      </c>
      <c r="H15" s="690" t="s">
        <v>500</v>
      </c>
      <c r="I15" s="690" t="s">
        <v>820</v>
      </c>
      <c r="J15" s="690" t="s">
        <v>821</v>
      </c>
      <c r="K15" s="690" t="s">
        <v>385</v>
      </c>
      <c r="L15" s="690" t="s">
        <v>822</v>
      </c>
      <c r="M15" s="690" t="s">
        <v>796</v>
      </c>
      <c r="N15" s="690" t="s">
        <v>797</v>
      </c>
      <c r="O15" s="690" t="s">
        <v>782</v>
      </c>
      <c r="P15" s="690" t="s">
        <v>791</v>
      </c>
      <c r="Q15" s="690" t="s">
        <v>823</v>
      </c>
      <c r="R15" s="692" t="s">
        <v>824</v>
      </c>
    </row>
    <row r="16" spans="1:18" ht="24">
      <c r="A16" s="693" t="s">
        <v>825</v>
      </c>
      <c r="B16" s="694"/>
      <c r="C16" s="678"/>
      <c r="D16" s="668"/>
      <c r="E16" s="668"/>
      <c r="F16" s="669">
        <v>45664</v>
      </c>
      <c r="G16" s="668">
        <v>305</v>
      </c>
      <c r="H16" s="668" t="s">
        <v>499</v>
      </c>
      <c r="I16" s="668" t="s">
        <v>826</v>
      </c>
      <c r="J16" s="668" t="s">
        <v>827</v>
      </c>
      <c r="K16" s="668" t="s">
        <v>363</v>
      </c>
      <c r="L16" s="668" t="s">
        <v>822</v>
      </c>
      <c r="M16" s="668" t="s">
        <v>796</v>
      </c>
      <c r="N16" s="668" t="s">
        <v>789</v>
      </c>
      <c r="O16" s="668" t="s">
        <v>782</v>
      </c>
      <c r="P16" s="668" t="s">
        <v>791</v>
      </c>
      <c r="Q16" s="668" t="s">
        <v>828</v>
      </c>
      <c r="R16" s="692" t="s">
        <v>824</v>
      </c>
    </row>
    <row r="17" spans="1:18" ht="13">
      <c r="A17" s="695" t="s">
        <v>829</v>
      </c>
      <c r="B17" s="696">
        <v>1400</v>
      </c>
      <c r="C17" s="678">
        <v>1400</v>
      </c>
      <c r="D17" s="679" t="s">
        <v>154</v>
      </c>
      <c r="E17" s="668">
        <v>885</v>
      </c>
      <c r="F17" s="680">
        <v>45573</v>
      </c>
      <c r="G17" s="679">
        <v>350</v>
      </c>
      <c r="H17" s="679" t="s">
        <v>499</v>
      </c>
      <c r="I17" s="679" t="s">
        <v>830</v>
      </c>
      <c r="J17" s="679" t="s">
        <v>831</v>
      </c>
      <c r="K17" s="679" t="s">
        <v>832</v>
      </c>
      <c r="L17" s="679" t="s">
        <v>833</v>
      </c>
      <c r="M17" s="679" t="s">
        <v>788</v>
      </c>
      <c r="N17" s="679" t="s">
        <v>834</v>
      </c>
      <c r="O17" s="679" t="s">
        <v>811</v>
      </c>
      <c r="P17" s="679" t="s">
        <v>791</v>
      </c>
      <c r="Q17" s="679" t="s">
        <v>835</v>
      </c>
      <c r="R17" s="679" t="s">
        <v>836</v>
      </c>
    </row>
    <row r="18" spans="1:18" ht="13">
      <c r="A18" s="693"/>
      <c r="B18" s="694"/>
      <c r="C18" s="694"/>
      <c r="D18" s="668"/>
      <c r="E18" s="668"/>
      <c r="F18" s="669">
        <v>45573</v>
      </c>
      <c r="G18" s="668">
        <v>335</v>
      </c>
      <c r="H18" s="668" t="s">
        <v>499</v>
      </c>
      <c r="I18" s="668" t="s">
        <v>837</v>
      </c>
      <c r="J18" s="668" t="s">
        <v>838</v>
      </c>
      <c r="K18" s="668" t="s">
        <v>385</v>
      </c>
      <c r="L18" s="668" t="s">
        <v>839</v>
      </c>
      <c r="M18" s="668" t="s">
        <v>796</v>
      </c>
      <c r="N18" s="668" t="s">
        <v>781</v>
      </c>
      <c r="O18" s="668" t="s">
        <v>790</v>
      </c>
      <c r="P18" s="668" t="s">
        <v>811</v>
      </c>
      <c r="Q18" s="668" t="s">
        <v>840</v>
      </c>
      <c r="R18" s="670" t="s">
        <v>841</v>
      </c>
    </row>
    <row r="19" spans="1:18" ht="13">
      <c r="A19" s="687"/>
      <c r="B19" s="688"/>
      <c r="C19" s="688"/>
      <c r="D19" s="690"/>
      <c r="E19" s="690"/>
      <c r="F19" s="691">
        <v>45544</v>
      </c>
      <c r="G19" s="690">
        <v>200</v>
      </c>
      <c r="H19" s="690" t="s">
        <v>499</v>
      </c>
      <c r="I19" s="690" t="s">
        <v>842</v>
      </c>
      <c r="J19" s="690" t="s">
        <v>843</v>
      </c>
      <c r="K19" s="690" t="s">
        <v>385</v>
      </c>
      <c r="L19" s="690" t="s">
        <v>844</v>
      </c>
      <c r="M19" s="690" t="s">
        <v>796</v>
      </c>
      <c r="N19" s="690" t="s">
        <v>845</v>
      </c>
      <c r="O19" s="690" t="s">
        <v>790</v>
      </c>
      <c r="P19" s="690"/>
      <c r="Q19" s="690"/>
      <c r="R19" s="692" t="s">
        <v>846</v>
      </c>
    </row>
    <row r="20" spans="1:18" ht="13">
      <c r="A20" s="656"/>
      <c r="B20" s="697" t="s">
        <v>847</v>
      </c>
      <c r="C20" s="697">
        <v>950</v>
      </c>
      <c r="D20" s="658" t="s">
        <v>153</v>
      </c>
      <c r="E20" s="690">
        <v>215</v>
      </c>
      <c r="F20" s="691">
        <v>45447</v>
      </c>
      <c r="G20" s="690">
        <v>215</v>
      </c>
      <c r="H20" s="690" t="s">
        <v>498</v>
      </c>
      <c r="I20" s="690" t="s">
        <v>848</v>
      </c>
      <c r="J20" s="690" t="s">
        <v>849</v>
      </c>
      <c r="K20" s="690" t="s">
        <v>850</v>
      </c>
      <c r="L20" s="690" t="s">
        <v>803</v>
      </c>
      <c r="M20" s="690" t="s">
        <v>851</v>
      </c>
      <c r="N20" s="690" t="s">
        <v>852</v>
      </c>
      <c r="O20" s="690" t="s">
        <v>782</v>
      </c>
      <c r="P20" s="690" t="s">
        <v>853</v>
      </c>
      <c r="Q20" s="690" t="s">
        <v>854</v>
      </c>
      <c r="R20" s="692" t="s">
        <v>855</v>
      </c>
    </row>
    <row r="21" spans="1:18" ht="13">
      <c r="A21" s="698"/>
      <c r="B21" s="660" t="s">
        <v>856</v>
      </c>
      <c r="C21" s="660">
        <v>400</v>
      </c>
      <c r="D21" s="661" t="s">
        <v>152</v>
      </c>
      <c r="E21" s="662">
        <v>200</v>
      </c>
      <c r="F21" s="663">
        <v>45362</v>
      </c>
      <c r="G21" s="662">
        <v>200</v>
      </c>
      <c r="H21" s="662" t="s">
        <v>497</v>
      </c>
      <c r="I21" s="662"/>
      <c r="J21" s="662" t="s">
        <v>849</v>
      </c>
      <c r="K21" s="662" t="s">
        <v>857</v>
      </c>
      <c r="L21" s="662" t="s">
        <v>858</v>
      </c>
      <c r="M21" s="662" t="s">
        <v>851</v>
      </c>
      <c r="N21" s="662" t="s">
        <v>859</v>
      </c>
      <c r="O21" s="662" t="s">
        <v>782</v>
      </c>
      <c r="P21" s="662"/>
      <c r="Q21" s="662" t="s">
        <v>860</v>
      </c>
      <c r="R21" s="664" t="s">
        <v>861</v>
      </c>
    </row>
    <row r="22" spans="1:18" ht="13">
      <c r="A22" s="699" t="s">
        <v>862</v>
      </c>
      <c r="B22" s="666" t="s">
        <v>863</v>
      </c>
      <c r="C22" s="666">
        <v>1200</v>
      </c>
      <c r="D22" s="667" t="s">
        <v>151</v>
      </c>
      <c r="E22" s="668">
        <f>SUM(G22:G24)</f>
        <v>680</v>
      </c>
      <c r="F22" s="669">
        <v>45307</v>
      </c>
      <c r="G22" s="668">
        <v>50</v>
      </c>
      <c r="H22" s="668" t="s">
        <v>500</v>
      </c>
      <c r="I22" s="668" t="s">
        <v>864</v>
      </c>
      <c r="J22" s="668" t="s">
        <v>865</v>
      </c>
      <c r="K22" s="668" t="s">
        <v>363</v>
      </c>
      <c r="L22" s="668" t="s">
        <v>866</v>
      </c>
      <c r="M22" s="668" t="s">
        <v>851</v>
      </c>
      <c r="N22" s="668" t="s">
        <v>789</v>
      </c>
      <c r="O22" s="668" t="s">
        <v>782</v>
      </c>
      <c r="P22" s="668" t="s">
        <v>817</v>
      </c>
      <c r="Q22" s="694" t="s">
        <v>867</v>
      </c>
      <c r="R22" s="670" t="s">
        <v>868</v>
      </c>
    </row>
    <row r="23" spans="1:18" ht="13">
      <c r="A23" s="665"/>
      <c r="B23" s="700"/>
      <c r="C23" s="700"/>
      <c r="D23" s="667"/>
      <c r="E23" s="668"/>
      <c r="F23" s="669">
        <v>45301</v>
      </c>
      <c r="G23" s="668">
        <v>350</v>
      </c>
      <c r="H23" s="668" t="s">
        <v>500</v>
      </c>
      <c r="I23" s="668"/>
      <c r="J23" s="668" t="s">
        <v>849</v>
      </c>
      <c r="K23" s="668" t="s">
        <v>386</v>
      </c>
      <c r="L23" s="668" t="s">
        <v>869</v>
      </c>
      <c r="M23" s="668" t="s">
        <v>851</v>
      </c>
      <c r="N23" s="668" t="s">
        <v>781</v>
      </c>
      <c r="O23" s="668" t="s">
        <v>790</v>
      </c>
      <c r="P23" s="668" t="s">
        <v>870</v>
      </c>
      <c r="Q23" s="668" t="s">
        <v>871</v>
      </c>
      <c r="R23" s="670"/>
    </row>
    <row r="24" spans="1:18" ht="13">
      <c r="A24" s="687"/>
      <c r="B24" s="688"/>
      <c r="C24" s="688"/>
      <c r="D24" s="690"/>
      <c r="E24" s="690"/>
      <c r="F24" s="691">
        <v>45279</v>
      </c>
      <c r="G24" s="690">
        <v>280</v>
      </c>
      <c r="H24" s="690" t="s">
        <v>500</v>
      </c>
      <c r="I24" s="690"/>
      <c r="J24" s="690" t="s">
        <v>849</v>
      </c>
      <c r="K24" s="690" t="s">
        <v>371</v>
      </c>
      <c r="L24" s="690" t="s">
        <v>872</v>
      </c>
      <c r="M24" s="690" t="s">
        <v>788</v>
      </c>
      <c r="N24" s="690" t="s">
        <v>789</v>
      </c>
      <c r="O24" s="690" t="s">
        <v>873</v>
      </c>
      <c r="P24" s="690" t="s">
        <v>874</v>
      </c>
      <c r="Q24" s="690" t="s">
        <v>875</v>
      </c>
      <c r="R24" s="692" t="s">
        <v>876</v>
      </c>
    </row>
    <row r="25" spans="1:18" ht="24">
      <c r="A25" s="699"/>
      <c r="B25" s="666" t="s">
        <v>877</v>
      </c>
      <c r="C25" s="666">
        <v>1000</v>
      </c>
      <c r="D25" s="667" t="s">
        <v>150</v>
      </c>
      <c r="E25" s="668">
        <f>G25+G26</f>
        <v>830</v>
      </c>
      <c r="F25" s="669">
        <v>45209</v>
      </c>
      <c r="G25" s="668">
        <v>130</v>
      </c>
      <c r="H25" s="668" t="s">
        <v>499</v>
      </c>
      <c r="I25" s="668" t="s">
        <v>848</v>
      </c>
      <c r="J25" s="668" t="s">
        <v>878</v>
      </c>
      <c r="K25" s="668" t="s">
        <v>385</v>
      </c>
      <c r="L25" s="668" t="s">
        <v>879</v>
      </c>
      <c r="M25" s="668" t="s">
        <v>851</v>
      </c>
      <c r="N25" s="668" t="s">
        <v>880</v>
      </c>
      <c r="O25" s="668" t="s">
        <v>881</v>
      </c>
      <c r="P25" s="668" t="s">
        <v>882</v>
      </c>
      <c r="Q25" s="668" t="s">
        <v>883</v>
      </c>
      <c r="R25" s="670" t="s">
        <v>884</v>
      </c>
    </row>
    <row r="26" spans="1:18" ht="13">
      <c r="A26" s="701"/>
      <c r="B26" s="697"/>
      <c r="C26" s="697"/>
      <c r="D26" s="658"/>
      <c r="E26" s="690"/>
      <c r="F26" s="691">
        <v>45174</v>
      </c>
      <c r="G26" s="690">
        <v>700</v>
      </c>
      <c r="H26" s="690" t="s">
        <v>499</v>
      </c>
      <c r="I26" s="690" t="s">
        <v>885</v>
      </c>
      <c r="J26" s="690" t="s">
        <v>878</v>
      </c>
      <c r="K26" s="690" t="s">
        <v>886</v>
      </c>
      <c r="L26" s="690" t="s">
        <v>887</v>
      </c>
      <c r="M26" s="690" t="s">
        <v>851</v>
      </c>
      <c r="N26" s="690" t="s">
        <v>888</v>
      </c>
      <c r="O26" s="690" t="s">
        <v>881</v>
      </c>
      <c r="P26" s="690" t="s">
        <v>889</v>
      </c>
      <c r="Q26" s="690" t="s">
        <v>890</v>
      </c>
      <c r="R26" s="692" t="s">
        <v>891</v>
      </c>
    </row>
    <row r="27" spans="1:18" ht="32.25" customHeight="1">
      <c r="A27" s="701"/>
      <c r="B27" s="697" t="s">
        <v>892</v>
      </c>
      <c r="C27" s="697">
        <v>550</v>
      </c>
      <c r="D27" s="658" t="s">
        <v>149</v>
      </c>
      <c r="E27" s="690">
        <v>130</v>
      </c>
      <c r="F27" s="675">
        <v>45077</v>
      </c>
      <c r="G27" s="674">
        <v>130</v>
      </c>
      <c r="H27" s="674" t="s">
        <v>498</v>
      </c>
      <c r="I27" s="674" t="s">
        <v>814</v>
      </c>
      <c r="J27" s="674" t="s">
        <v>814</v>
      </c>
      <c r="K27" s="674" t="s">
        <v>685</v>
      </c>
      <c r="L27" s="674" t="s">
        <v>893</v>
      </c>
      <c r="M27" s="674" t="s">
        <v>788</v>
      </c>
      <c r="N27" s="674" t="s">
        <v>894</v>
      </c>
      <c r="O27" s="690" t="s">
        <v>791</v>
      </c>
      <c r="P27" s="690" t="s">
        <v>895</v>
      </c>
      <c r="Q27" s="690" t="s">
        <v>896</v>
      </c>
      <c r="R27" s="674" t="s">
        <v>897</v>
      </c>
    </row>
    <row r="28" spans="1:18" ht="14.25" customHeight="1">
      <c r="A28" s="699" t="s">
        <v>898</v>
      </c>
      <c r="B28" s="1155" t="s">
        <v>899</v>
      </c>
      <c r="C28" s="666">
        <v>900</v>
      </c>
      <c r="D28" s="667" t="s">
        <v>148</v>
      </c>
      <c r="E28" s="668">
        <f>SUM(G28:G30)</f>
        <v>800</v>
      </c>
      <c r="F28" s="669">
        <v>45008</v>
      </c>
      <c r="G28" s="668">
        <v>175</v>
      </c>
      <c r="H28" s="668" t="s">
        <v>497</v>
      </c>
      <c r="I28" s="668" t="s">
        <v>900</v>
      </c>
      <c r="J28" s="668" t="s">
        <v>814</v>
      </c>
      <c r="K28" s="668" t="s">
        <v>886</v>
      </c>
      <c r="L28" s="668" t="s">
        <v>901</v>
      </c>
      <c r="M28" s="668" t="s">
        <v>788</v>
      </c>
      <c r="N28" s="668" t="s">
        <v>902</v>
      </c>
      <c r="O28" s="668" t="s">
        <v>881</v>
      </c>
      <c r="P28" s="668" t="s">
        <v>895</v>
      </c>
      <c r="Q28" s="668" t="s">
        <v>903</v>
      </c>
      <c r="R28" s="670" t="s">
        <v>904</v>
      </c>
    </row>
    <row r="29" spans="1:18" ht="14.25" customHeight="1">
      <c r="A29" s="699"/>
      <c r="B29" s="1156"/>
      <c r="C29" s="666"/>
      <c r="D29" s="667"/>
      <c r="E29" s="668"/>
      <c r="F29" s="669">
        <v>44999</v>
      </c>
      <c r="G29" s="668">
        <v>500</v>
      </c>
      <c r="H29" s="668" t="s">
        <v>497</v>
      </c>
      <c r="I29" s="668" t="s">
        <v>905</v>
      </c>
      <c r="J29" s="668">
        <v>96</v>
      </c>
      <c r="K29" s="668" t="s">
        <v>385</v>
      </c>
      <c r="L29" s="668" t="s">
        <v>906</v>
      </c>
      <c r="M29" s="668" t="s">
        <v>796</v>
      </c>
      <c r="N29" s="668" t="s">
        <v>907</v>
      </c>
      <c r="O29" s="668" t="s">
        <v>881</v>
      </c>
      <c r="P29" s="668" t="s">
        <v>908</v>
      </c>
      <c r="Q29" s="668" t="s">
        <v>909</v>
      </c>
      <c r="R29" s="670" t="s">
        <v>910</v>
      </c>
    </row>
    <row r="30" spans="1:18" ht="14.25" customHeight="1">
      <c r="A30" s="701"/>
      <c r="B30" s="697"/>
      <c r="C30" s="697"/>
      <c r="D30" s="658"/>
      <c r="E30" s="690"/>
      <c r="F30" s="691">
        <v>44950</v>
      </c>
      <c r="G30" s="690">
        <v>125</v>
      </c>
      <c r="H30" s="690" t="s">
        <v>497</v>
      </c>
      <c r="I30" s="690" t="s">
        <v>911</v>
      </c>
      <c r="J30" s="690" t="s">
        <v>878</v>
      </c>
      <c r="K30" s="690" t="s">
        <v>912</v>
      </c>
      <c r="L30" s="690" t="s">
        <v>913</v>
      </c>
      <c r="M30" s="690" t="s">
        <v>788</v>
      </c>
      <c r="N30" s="690" t="s">
        <v>914</v>
      </c>
      <c r="O30" s="690"/>
      <c r="P30" s="690"/>
      <c r="Q30" s="690" t="s">
        <v>915</v>
      </c>
      <c r="R30" s="692" t="s">
        <v>916</v>
      </c>
    </row>
    <row r="31" spans="1:18" ht="14.25" customHeight="1">
      <c r="A31" s="699" t="s">
        <v>917</v>
      </c>
      <c r="B31" s="660" t="s">
        <v>918</v>
      </c>
      <c r="C31" s="660">
        <v>400</v>
      </c>
      <c r="D31" s="661" t="s">
        <v>147</v>
      </c>
      <c r="E31" s="662">
        <v>0</v>
      </c>
      <c r="F31" s="663" t="s">
        <v>192</v>
      </c>
      <c r="G31" s="662"/>
      <c r="H31" s="662"/>
      <c r="I31" s="662"/>
      <c r="J31" s="662"/>
      <c r="K31" s="662"/>
      <c r="L31" s="662"/>
      <c r="M31" s="662"/>
      <c r="N31" s="662"/>
      <c r="O31" s="662"/>
      <c r="P31" s="662"/>
      <c r="Q31" s="662"/>
      <c r="R31" s="664"/>
    </row>
    <row r="32" spans="1:18" ht="14.25" customHeight="1">
      <c r="A32" s="702" t="s">
        <v>862</v>
      </c>
      <c r="B32" s="682" t="s">
        <v>919</v>
      </c>
      <c r="C32" s="682">
        <v>1000</v>
      </c>
      <c r="D32" s="683" t="s">
        <v>146</v>
      </c>
      <c r="E32" s="684">
        <f>SUM(G32:G34)</f>
        <v>730</v>
      </c>
      <c r="F32" s="685">
        <v>44847</v>
      </c>
      <c r="G32" s="684">
        <v>300</v>
      </c>
      <c r="H32" s="684" t="s">
        <v>499</v>
      </c>
      <c r="I32" s="684" t="s">
        <v>920</v>
      </c>
      <c r="J32" s="684" t="s">
        <v>921</v>
      </c>
      <c r="K32" s="684" t="s">
        <v>385</v>
      </c>
      <c r="L32" s="684" t="s">
        <v>922</v>
      </c>
      <c r="M32" s="684" t="s">
        <v>796</v>
      </c>
      <c r="N32" s="684" t="s">
        <v>797</v>
      </c>
      <c r="O32" s="684" t="s">
        <v>881</v>
      </c>
      <c r="P32" s="684" t="s">
        <v>923</v>
      </c>
      <c r="Q32" s="684" t="s">
        <v>924</v>
      </c>
      <c r="R32" s="686" t="s">
        <v>925</v>
      </c>
    </row>
    <row r="33" spans="1:18" ht="14.25" customHeight="1">
      <c r="A33" s="699"/>
      <c r="B33" s="666"/>
      <c r="C33" s="666"/>
      <c r="D33" s="667"/>
      <c r="E33" s="668"/>
      <c r="F33" s="669">
        <v>44845</v>
      </c>
      <c r="G33" s="668">
        <v>300</v>
      </c>
      <c r="H33" s="668" t="s">
        <v>499</v>
      </c>
      <c r="I33" s="668" t="s">
        <v>878</v>
      </c>
      <c r="J33" s="668" t="s">
        <v>878</v>
      </c>
      <c r="K33" s="668" t="s">
        <v>926</v>
      </c>
      <c r="L33" s="668" t="s">
        <v>927</v>
      </c>
      <c r="M33" s="668" t="s">
        <v>788</v>
      </c>
      <c r="N33" s="668" t="s">
        <v>907</v>
      </c>
      <c r="O33" s="668" t="s">
        <v>881</v>
      </c>
      <c r="P33" s="668" t="s">
        <v>895</v>
      </c>
      <c r="Q33" s="668" t="s">
        <v>928</v>
      </c>
      <c r="R33" s="670" t="s">
        <v>929</v>
      </c>
    </row>
    <row r="34" spans="1:18" ht="14.25" customHeight="1">
      <c r="A34" s="701"/>
      <c r="B34" s="697"/>
      <c r="C34" s="697"/>
      <c r="D34" s="658"/>
      <c r="E34" s="690"/>
      <c r="F34" s="691">
        <v>44839</v>
      </c>
      <c r="G34" s="690">
        <v>130</v>
      </c>
      <c r="H34" s="690" t="s">
        <v>499</v>
      </c>
      <c r="I34" s="690" t="s">
        <v>930</v>
      </c>
      <c r="J34" s="690" t="s">
        <v>814</v>
      </c>
      <c r="K34" s="690" t="s">
        <v>385</v>
      </c>
      <c r="L34" s="690" t="s">
        <v>931</v>
      </c>
      <c r="M34" s="690" t="s">
        <v>788</v>
      </c>
      <c r="N34" s="690" t="s">
        <v>781</v>
      </c>
      <c r="O34" s="690"/>
      <c r="P34" s="690" t="s">
        <v>874</v>
      </c>
      <c r="Q34" s="690" t="s">
        <v>932</v>
      </c>
      <c r="R34" s="692" t="s">
        <v>933</v>
      </c>
    </row>
    <row r="35" spans="1:18" ht="14.25" customHeight="1">
      <c r="A35" s="702"/>
      <c r="B35" s="1155" t="s">
        <v>934</v>
      </c>
      <c r="C35" s="682">
        <v>800</v>
      </c>
      <c r="D35" s="683" t="s">
        <v>145</v>
      </c>
      <c r="E35" s="684">
        <f>SUM(G35:G39)</f>
        <v>640</v>
      </c>
      <c r="F35" s="685">
        <v>44762</v>
      </c>
      <c r="G35" s="684">
        <v>150</v>
      </c>
      <c r="H35" s="684" t="s">
        <v>498</v>
      </c>
      <c r="I35" s="684"/>
      <c r="J35" s="684" t="s">
        <v>878</v>
      </c>
      <c r="K35" s="684" t="s">
        <v>935</v>
      </c>
      <c r="L35" s="684" t="s">
        <v>936</v>
      </c>
      <c r="M35" s="684" t="s">
        <v>796</v>
      </c>
      <c r="N35" s="684" t="s">
        <v>797</v>
      </c>
      <c r="O35" s="684" t="s">
        <v>881</v>
      </c>
      <c r="P35" s="684" t="s">
        <v>874</v>
      </c>
      <c r="Q35" s="684" t="s">
        <v>937</v>
      </c>
      <c r="R35" s="686" t="s">
        <v>938</v>
      </c>
    </row>
    <row r="36" spans="1:18" ht="14.25" customHeight="1">
      <c r="A36" s="699"/>
      <c r="B36" s="1156"/>
      <c r="C36" s="666"/>
      <c r="D36" s="668"/>
      <c r="E36" s="668"/>
      <c r="F36" s="669">
        <v>44750</v>
      </c>
      <c r="G36" s="668">
        <v>140</v>
      </c>
      <c r="H36" s="668" t="s">
        <v>498</v>
      </c>
      <c r="I36" s="668" t="s">
        <v>878</v>
      </c>
      <c r="J36" s="668" t="s">
        <v>814</v>
      </c>
      <c r="K36" s="668" t="s">
        <v>857</v>
      </c>
      <c r="L36" s="668" t="s">
        <v>939</v>
      </c>
      <c r="M36" s="668" t="s">
        <v>851</v>
      </c>
      <c r="N36" s="668" t="s">
        <v>781</v>
      </c>
      <c r="O36" s="668" t="s">
        <v>881</v>
      </c>
      <c r="P36" s="668" t="s">
        <v>874</v>
      </c>
      <c r="Q36" s="668" t="s">
        <v>940</v>
      </c>
      <c r="R36" s="670" t="s">
        <v>941</v>
      </c>
    </row>
    <row r="37" spans="1:18" ht="14.25" customHeight="1">
      <c r="A37" s="699"/>
      <c r="B37" s="666"/>
      <c r="C37" s="666"/>
      <c r="D37" s="667"/>
      <c r="E37" s="668"/>
      <c r="F37" s="669">
        <v>44746</v>
      </c>
      <c r="G37" s="668">
        <v>100</v>
      </c>
      <c r="H37" s="668" t="s">
        <v>498</v>
      </c>
      <c r="I37" s="668" t="s">
        <v>878</v>
      </c>
      <c r="J37" s="668">
        <v>23</v>
      </c>
      <c r="K37" s="668" t="s">
        <v>361</v>
      </c>
      <c r="L37" s="668" t="s">
        <v>942</v>
      </c>
      <c r="M37" s="668" t="s">
        <v>851</v>
      </c>
      <c r="N37" s="668" t="s">
        <v>943</v>
      </c>
      <c r="O37" s="668" t="s">
        <v>881</v>
      </c>
      <c r="P37" s="668" t="s">
        <v>895</v>
      </c>
      <c r="Q37" s="668" t="s">
        <v>944</v>
      </c>
      <c r="R37" s="670" t="s">
        <v>945</v>
      </c>
    </row>
    <row r="38" spans="1:18" ht="14.25" customHeight="1">
      <c r="A38" s="699"/>
      <c r="B38" s="666"/>
      <c r="C38" s="666"/>
      <c r="D38" s="667"/>
      <c r="E38" s="668"/>
      <c r="F38" s="669">
        <v>44742</v>
      </c>
      <c r="G38" s="668">
        <v>150</v>
      </c>
      <c r="H38" s="668" t="s">
        <v>498</v>
      </c>
      <c r="I38" s="668"/>
      <c r="J38" s="668" t="s">
        <v>878</v>
      </c>
      <c r="K38" s="668" t="s">
        <v>385</v>
      </c>
      <c r="L38" s="668" t="s">
        <v>946</v>
      </c>
      <c r="M38" s="668" t="s">
        <v>796</v>
      </c>
      <c r="N38" s="668" t="s">
        <v>797</v>
      </c>
      <c r="O38" s="668" t="s">
        <v>881</v>
      </c>
      <c r="P38" s="668" t="s">
        <v>895</v>
      </c>
      <c r="Q38" s="668" t="s">
        <v>947</v>
      </c>
      <c r="R38" s="703" t="s">
        <v>948</v>
      </c>
    </row>
    <row r="39" spans="1:18" ht="14.25" customHeight="1">
      <c r="A39" s="704"/>
      <c r="B39" s="705"/>
      <c r="C39" s="705"/>
      <c r="D39" s="673"/>
      <c r="E39" s="674"/>
      <c r="F39" s="675">
        <v>44732</v>
      </c>
      <c r="G39" s="674">
        <v>100</v>
      </c>
      <c r="H39" s="674" t="s">
        <v>498</v>
      </c>
      <c r="I39" s="674" t="s">
        <v>814</v>
      </c>
      <c r="J39" s="674" t="s">
        <v>814</v>
      </c>
      <c r="K39" s="674" t="s">
        <v>370</v>
      </c>
      <c r="L39" s="674" t="s">
        <v>893</v>
      </c>
      <c r="M39" s="674" t="s">
        <v>851</v>
      </c>
      <c r="N39" s="674" t="s">
        <v>949</v>
      </c>
      <c r="O39" s="674" t="s">
        <v>811</v>
      </c>
      <c r="P39" s="674"/>
      <c r="Q39" s="674" t="s">
        <v>950</v>
      </c>
      <c r="R39" s="674" t="s">
        <v>951</v>
      </c>
    </row>
    <row r="40" spans="1:18" ht="14.25" customHeight="1">
      <c r="A40" s="702"/>
      <c r="B40" s="682" t="s">
        <v>952</v>
      </c>
      <c r="C40" s="682">
        <v>800</v>
      </c>
      <c r="D40" s="683" t="s">
        <v>144</v>
      </c>
      <c r="E40" s="684">
        <f>SUM(G40:G44)</f>
        <v>410</v>
      </c>
      <c r="F40" s="685">
        <v>44750</v>
      </c>
      <c r="G40" s="684">
        <v>30</v>
      </c>
      <c r="H40" s="684" t="s">
        <v>497</v>
      </c>
      <c r="I40" s="684" t="s">
        <v>878</v>
      </c>
      <c r="J40" s="684"/>
      <c r="K40" s="684" t="s">
        <v>857</v>
      </c>
      <c r="L40" s="684" t="s">
        <v>939</v>
      </c>
      <c r="M40" s="684" t="s">
        <v>851</v>
      </c>
      <c r="N40" s="684" t="s">
        <v>781</v>
      </c>
      <c r="O40" s="684" t="s">
        <v>790</v>
      </c>
      <c r="P40" s="684" t="s">
        <v>811</v>
      </c>
      <c r="Q40" s="684" t="s">
        <v>940</v>
      </c>
      <c r="R40" s="686" t="s">
        <v>941</v>
      </c>
    </row>
    <row r="41" spans="1:18" ht="14.25" customHeight="1">
      <c r="A41" s="699"/>
      <c r="B41" s="706"/>
      <c r="C41" s="706"/>
      <c r="D41" s="667"/>
      <c r="E41" s="668"/>
      <c r="F41" s="669">
        <v>44671</v>
      </c>
      <c r="G41" s="668">
        <v>160</v>
      </c>
      <c r="H41" s="668" t="s">
        <v>497</v>
      </c>
      <c r="I41" s="668" t="s">
        <v>878</v>
      </c>
      <c r="J41" s="668"/>
      <c r="K41" s="668" t="s">
        <v>953</v>
      </c>
      <c r="L41" s="668" t="s">
        <v>954</v>
      </c>
      <c r="M41" s="668" t="s">
        <v>851</v>
      </c>
      <c r="N41" s="668" t="s">
        <v>888</v>
      </c>
      <c r="O41" s="668" t="s">
        <v>790</v>
      </c>
      <c r="P41" s="668" t="s">
        <v>895</v>
      </c>
      <c r="Q41" s="668" t="s">
        <v>955</v>
      </c>
      <c r="R41" s="703" t="s">
        <v>956</v>
      </c>
    </row>
    <row r="42" spans="1:18" ht="14.25" customHeight="1">
      <c r="A42" s="707"/>
      <c r="B42" s="708"/>
      <c r="C42" s="708"/>
      <c r="D42" s="679"/>
      <c r="E42" s="679"/>
      <c r="F42" s="680">
        <v>44670</v>
      </c>
      <c r="G42" s="679">
        <v>120</v>
      </c>
      <c r="H42" s="679" t="s">
        <v>497</v>
      </c>
      <c r="I42" s="679" t="s">
        <v>878</v>
      </c>
      <c r="J42" s="679"/>
      <c r="K42" s="679" t="s">
        <v>912</v>
      </c>
      <c r="L42" s="679" t="s">
        <v>957</v>
      </c>
      <c r="M42" s="679" t="s">
        <v>851</v>
      </c>
      <c r="N42" s="679" t="s">
        <v>958</v>
      </c>
      <c r="O42" s="679" t="s">
        <v>874</v>
      </c>
      <c r="P42" s="679"/>
      <c r="Q42" s="679" t="s">
        <v>959</v>
      </c>
      <c r="R42" s="679" t="s">
        <v>960</v>
      </c>
    </row>
    <row r="43" spans="1:18" ht="14.25" customHeight="1">
      <c r="A43" s="701"/>
      <c r="B43" s="697"/>
      <c r="C43" s="697"/>
      <c r="D43" s="690"/>
      <c r="E43" s="690"/>
      <c r="F43" s="691">
        <v>44665</v>
      </c>
      <c r="G43" s="690">
        <v>100</v>
      </c>
      <c r="H43" s="690" t="s">
        <v>961</v>
      </c>
      <c r="I43" s="690" t="s">
        <v>878</v>
      </c>
      <c r="J43" s="690"/>
      <c r="K43" s="690" t="s">
        <v>361</v>
      </c>
      <c r="L43" s="690" t="s">
        <v>962</v>
      </c>
      <c r="M43" s="690" t="s">
        <v>851</v>
      </c>
      <c r="N43" s="690" t="s">
        <v>781</v>
      </c>
      <c r="O43" s="690"/>
      <c r="P43" s="690"/>
      <c r="Q43" s="690" t="s">
        <v>963</v>
      </c>
      <c r="R43" s="692" t="s">
        <v>964</v>
      </c>
    </row>
    <row r="44" spans="1:18" ht="14.25" customHeight="1">
      <c r="A44" s="709"/>
      <c r="B44" s="660" t="s">
        <v>965</v>
      </c>
      <c r="C44" s="660">
        <v>300</v>
      </c>
      <c r="D44" s="661" t="s">
        <v>143</v>
      </c>
      <c r="E44" s="662">
        <v>0</v>
      </c>
      <c r="F44" s="663"/>
      <c r="G44" s="662"/>
      <c r="H44" s="662"/>
      <c r="I44" s="662"/>
      <c r="J44" s="662"/>
      <c r="K44" s="662"/>
      <c r="L44" s="662"/>
      <c r="M44" s="662"/>
      <c r="N44" s="662"/>
      <c r="O44" s="662"/>
      <c r="P44" s="662"/>
      <c r="Q44" s="662"/>
      <c r="R44" s="664"/>
    </row>
    <row r="45" spans="1:18" ht="14.25" customHeight="1">
      <c r="A45" s="702"/>
      <c r="B45" s="682" t="s">
        <v>966</v>
      </c>
      <c r="C45" s="682">
        <v>600</v>
      </c>
      <c r="D45" s="683" t="s">
        <v>142</v>
      </c>
      <c r="E45" s="684">
        <f>SUM(G45:G48)</f>
        <v>575</v>
      </c>
      <c r="F45" s="685">
        <v>44488</v>
      </c>
      <c r="G45" s="684">
        <v>105</v>
      </c>
      <c r="H45" s="684" t="s">
        <v>499</v>
      </c>
      <c r="I45" s="684">
        <v>2022</v>
      </c>
      <c r="J45" s="684"/>
      <c r="K45" s="684" t="s">
        <v>370</v>
      </c>
      <c r="L45" s="684" t="s">
        <v>967</v>
      </c>
      <c r="M45" s="684" t="s">
        <v>851</v>
      </c>
      <c r="N45" s="684" t="s">
        <v>797</v>
      </c>
      <c r="O45" s="684"/>
      <c r="P45" s="684"/>
      <c r="Q45" s="684" t="s">
        <v>968</v>
      </c>
      <c r="R45" s="686" t="s">
        <v>969</v>
      </c>
    </row>
    <row r="46" spans="1:18" ht="14.25" customHeight="1">
      <c r="A46" s="699"/>
      <c r="B46" s="666"/>
      <c r="C46" s="666"/>
      <c r="D46" s="667"/>
      <c r="E46" s="668"/>
      <c r="F46" s="669">
        <v>44484</v>
      </c>
      <c r="G46" s="668">
        <v>130</v>
      </c>
      <c r="H46" s="668" t="s">
        <v>499</v>
      </c>
      <c r="I46" s="668" t="s">
        <v>970</v>
      </c>
      <c r="J46" s="668"/>
      <c r="K46" s="668" t="s">
        <v>361</v>
      </c>
      <c r="L46" s="668" t="s">
        <v>971</v>
      </c>
      <c r="M46" s="668" t="s">
        <v>796</v>
      </c>
      <c r="N46" s="668" t="s">
        <v>781</v>
      </c>
      <c r="O46" s="668"/>
      <c r="P46" s="668"/>
      <c r="Q46" s="668" t="s">
        <v>972</v>
      </c>
      <c r="R46" s="670" t="s">
        <v>973</v>
      </c>
    </row>
    <row r="47" spans="1:18" ht="14.25" customHeight="1">
      <c r="A47" s="699"/>
      <c r="B47" s="666"/>
      <c r="C47" s="666"/>
      <c r="D47" s="667"/>
      <c r="E47" s="668"/>
      <c r="F47" s="669">
        <v>44483</v>
      </c>
      <c r="G47" s="668">
        <v>140</v>
      </c>
      <c r="H47" s="668" t="s">
        <v>499</v>
      </c>
      <c r="I47" s="668" t="s">
        <v>974</v>
      </c>
      <c r="J47" s="668"/>
      <c r="K47" s="668" t="s">
        <v>371</v>
      </c>
      <c r="L47" s="668" t="s">
        <v>872</v>
      </c>
      <c r="M47" s="668" t="s">
        <v>851</v>
      </c>
      <c r="N47" s="668" t="s">
        <v>789</v>
      </c>
      <c r="O47" s="668"/>
      <c r="P47" s="668"/>
      <c r="Q47" s="668"/>
      <c r="R47" s="670" t="s">
        <v>975</v>
      </c>
    </row>
    <row r="48" spans="1:18" ht="14.25" customHeight="1">
      <c r="A48" s="701"/>
      <c r="B48" s="697"/>
      <c r="C48" s="697"/>
      <c r="D48" s="658"/>
      <c r="E48" s="690"/>
      <c r="F48" s="691">
        <v>44448</v>
      </c>
      <c r="G48" s="690">
        <v>200</v>
      </c>
      <c r="H48" s="690" t="s">
        <v>499</v>
      </c>
      <c r="I48" s="690" t="s">
        <v>976</v>
      </c>
      <c r="J48" s="690"/>
      <c r="K48" s="690" t="s">
        <v>926</v>
      </c>
      <c r="L48" s="690" t="s">
        <v>977</v>
      </c>
      <c r="M48" s="690" t="s">
        <v>851</v>
      </c>
      <c r="N48" s="690" t="s">
        <v>797</v>
      </c>
      <c r="O48" s="690"/>
      <c r="P48" s="690"/>
      <c r="Q48" s="690" t="s">
        <v>978</v>
      </c>
      <c r="R48" s="692" t="s">
        <v>979</v>
      </c>
    </row>
    <row r="49" spans="1:18" ht="14.25" customHeight="1">
      <c r="A49" s="710"/>
      <c r="B49" s="682" t="s">
        <v>980</v>
      </c>
      <c r="C49" s="682">
        <v>500</v>
      </c>
      <c r="D49" s="711" t="s">
        <v>141</v>
      </c>
      <c r="E49" s="712">
        <f>SUM(G49:G50)</f>
        <v>465</v>
      </c>
      <c r="F49" s="713">
        <v>44391</v>
      </c>
      <c r="G49" s="714">
        <v>90</v>
      </c>
      <c r="H49" s="714" t="s">
        <v>498</v>
      </c>
      <c r="I49" s="714" t="s">
        <v>981</v>
      </c>
      <c r="J49" s="714"/>
      <c r="K49" s="714" t="s">
        <v>912</v>
      </c>
      <c r="L49" s="714" t="s">
        <v>982</v>
      </c>
      <c r="M49" s="714" t="s">
        <v>851</v>
      </c>
      <c r="N49" s="714"/>
      <c r="O49" s="714" t="s">
        <v>874</v>
      </c>
      <c r="P49" s="714"/>
      <c r="Q49" s="714" t="s">
        <v>983</v>
      </c>
      <c r="R49" s="714" t="s">
        <v>984</v>
      </c>
    </row>
    <row r="50" spans="1:18" ht="14.25" customHeight="1">
      <c r="A50" s="701"/>
      <c r="B50" s="697"/>
      <c r="C50" s="697"/>
      <c r="D50" s="658"/>
      <c r="E50" s="690"/>
      <c r="F50" s="691">
        <v>44376</v>
      </c>
      <c r="G50" s="690">
        <v>375</v>
      </c>
      <c r="H50" s="690" t="s">
        <v>985</v>
      </c>
      <c r="I50" s="690" t="s">
        <v>976</v>
      </c>
      <c r="J50" s="690"/>
      <c r="K50" s="690" t="s">
        <v>857</v>
      </c>
      <c r="L50" s="690" t="s">
        <v>986</v>
      </c>
      <c r="M50" s="690"/>
      <c r="N50" s="690"/>
      <c r="O50" s="690"/>
      <c r="P50" s="690"/>
      <c r="Q50" s="690" t="s">
        <v>987</v>
      </c>
      <c r="R50" s="692" t="s">
        <v>988</v>
      </c>
    </row>
    <row r="51" spans="1:18" ht="14.25" customHeight="1">
      <c r="A51" s="709"/>
      <c r="B51" s="660" t="s">
        <v>989</v>
      </c>
      <c r="C51" s="660">
        <v>500</v>
      </c>
      <c r="D51" s="661" t="s">
        <v>140</v>
      </c>
      <c r="E51" s="662">
        <f>G51</f>
        <v>130</v>
      </c>
      <c r="F51" s="663">
        <v>44313</v>
      </c>
      <c r="G51" s="662">
        <v>130</v>
      </c>
      <c r="H51" s="662" t="s">
        <v>497</v>
      </c>
      <c r="I51" s="662" t="s">
        <v>990</v>
      </c>
      <c r="J51" s="662"/>
      <c r="K51" s="662" t="s">
        <v>385</v>
      </c>
      <c r="L51" s="662" t="s">
        <v>991</v>
      </c>
      <c r="M51" s="662" t="s">
        <v>796</v>
      </c>
      <c r="N51" s="662" t="s">
        <v>797</v>
      </c>
      <c r="O51" s="662"/>
      <c r="P51" s="662"/>
      <c r="Q51" s="662" t="s">
        <v>992</v>
      </c>
      <c r="R51" s="664" t="s">
        <v>993</v>
      </c>
    </row>
    <row r="52" spans="1:18" ht="14.25" customHeight="1">
      <c r="A52" s="709"/>
      <c r="B52" s="660"/>
      <c r="C52" s="660"/>
      <c r="D52" s="661" t="s">
        <v>139</v>
      </c>
      <c r="E52" s="662">
        <v>0</v>
      </c>
      <c r="F52" s="663"/>
      <c r="G52" s="662"/>
      <c r="H52" s="662" t="s">
        <v>500</v>
      </c>
      <c r="I52" s="662"/>
      <c r="J52" s="662"/>
      <c r="K52" s="662"/>
      <c r="L52" s="662"/>
      <c r="M52" s="662"/>
      <c r="N52" s="662"/>
      <c r="O52" s="662"/>
      <c r="P52" s="662"/>
      <c r="Q52" s="662"/>
      <c r="R52" s="664"/>
    </row>
    <row r="53" spans="1:18" ht="14.25" customHeight="1">
      <c r="A53" s="709"/>
      <c r="B53" s="660"/>
      <c r="C53" s="660"/>
      <c r="D53" s="661" t="s">
        <v>138</v>
      </c>
      <c r="E53" s="662">
        <f>G53</f>
        <v>100</v>
      </c>
      <c r="F53" s="663">
        <v>44125</v>
      </c>
      <c r="G53" s="662">
        <v>100</v>
      </c>
      <c r="H53" s="662" t="s">
        <v>499</v>
      </c>
      <c r="I53" s="662" t="s">
        <v>994</v>
      </c>
      <c r="J53" s="662"/>
      <c r="K53" s="662" t="s">
        <v>378</v>
      </c>
      <c r="L53" s="662" t="s">
        <v>995</v>
      </c>
      <c r="M53" s="662" t="s">
        <v>851</v>
      </c>
      <c r="N53" s="662" t="s">
        <v>996</v>
      </c>
      <c r="O53" s="662"/>
      <c r="P53" s="662"/>
      <c r="Q53" s="662" t="s">
        <v>997</v>
      </c>
      <c r="R53" s="664" t="s">
        <v>998</v>
      </c>
    </row>
    <row r="54" spans="1:18" ht="14.25" customHeight="1">
      <c r="A54" s="709"/>
      <c r="B54" s="660"/>
      <c r="C54" s="660"/>
      <c r="D54" s="661" t="s">
        <v>137</v>
      </c>
      <c r="E54" s="662">
        <f>G54</f>
        <v>190</v>
      </c>
      <c r="F54" s="663">
        <v>43979</v>
      </c>
      <c r="G54" s="662">
        <v>190</v>
      </c>
      <c r="H54" s="662" t="s">
        <v>498</v>
      </c>
      <c r="I54" s="662" t="s">
        <v>999</v>
      </c>
      <c r="J54" s="662"/>
      <c r="K54" s="662" t="s">
        <v>363</v>
      </c>
      <c r="L54" s="662" t="s">
        <v>866</v>
      </c>
      <c r="M54" s="662" t="s">
        <v>1000</v>
      </c>
      <c r="N54" s="662" t="s">
        <v>1001</v>
      </c>
      <c r="O54" s="662"/>
      <c r="P54" s="662"/>
      <c r="Q54" s="662" t="s">
        <v>1002</v>
      </c>
      <c r="R54" s="664" t="s">
        <v>1003</v>
      </c>
    </row>
    <row r="55" spans="1:18" ht="14.25" customHeight="1">
      <c r="A55" s="647"/>
      <c r="B55" s="715"/>
      <c r="C55" s="715"/>
      <c r="D55" s="716"/>
      <c r="E55" s="717"/>
      <c r="F55" s="716"/>
      <c r="G55" s="716"/>
      <c r="H55" s="716"/>
      <c r="I55" s="716"/>
      <c r="J55" s="716"/>
      <c r="K55" s="716"/>
      <c r="L55" s="716"/>
      <c r="M55" s="716"/>
      <c r="N55" s="716"/>
      <c r="O55" s="716"/>
      <c r="P55" s="716"/>
      <c r="Q55" s="716"/>
      <c r="R55" s="718"/>
    </row>
    <row r="56" spans="1:18" ht="14.25" customHeight="1">
      <c r="A56" s="651"/>
      <c r="B56" s="719"/>
      <c r="C56" s="719"/>
      <c r="D56" s="720"/>
      <c r="E56" s="721"/>
      <c r="F56" s="720"/>
      <c r="G56" s="720"/>
      <c r="H56" s="720"/>
      <c r="I56" s="720"/>
      <c r="J56" s="720"/>
      <c r="K56" s="720"/>
      <c r="L56" s="720"/>
      <c r="M56" s="720"/>
      <c r="N56" s="720"/>
      <c r="O56" s="720"/>
      <c r="P56" s="720"/>
      <c r="Q56" s="720"/>
      <c r="R56" s="722"/>
    </row>
    <row r="57" spans="1:18" ht="13">
      <c r="A57" s="651"/>
      <c r="B57" s="719"/>
      <c r="C57" s="719"/>
      <c r="D57" s="720"/>
      <c r="E57" s="721"/>
      <c r="F57" s="720"/>
      <c r="G57" s="720"/>
      <c r="H57" s="720"/>
      <c r="I57" s="720"/>
      <c r="J57" s="720"/>
      <c r="K57" s="720"/>
      <c r="L57" s="720"/>
      <c r="M57" s="720"/>
      <c r="N57" s="720"/>
      <c r="O57" s="720"/>
      <c r="P57" s="720"/>
      <c r="Q57" s="720"/>
      <c r="R57" s="722"/>
    </row>
    <row r="58" spans="1:18" ht="13">
      <c r="A58" s="651"/>
      <c r="B58" s="719"/>
      <c r="C58" s="719"/>
      <c r="D58" s="720"/>
      <c r="E58" s="721"/>
      <c r="F58" s="720"/>
      <c r="G58" s="720"/>
      <c r="H58" s="720"/>
      <c r="I58" s="720"/>
      <c r="J58" s="720"/>
      <c r="K58" s="720"/>
      <c r="L58" s="720"/>
      <c r="M58" s="720"/>
      <c r="N58" s="720"/>
      <c r="O58" s="720"/>
      <c r="P58" s="720"/>
      <c r="Q58" s="720"/>
      <c r="R58" s="722"/>
    </row>
    <row r="59" spans="1:18" ht="13">
      <c r="A59" s="651"/>
      <c r="B59" s="719"/>
      <c r="C59" s="719"/>
      <c r="D59" s="720"/>
      <c r="E59" s="721"/>
      <c r="F59" s="720"/>
      <c r="G59" s="720"/>
      <c r="H59" s="720"/>
      <c r="I59" s="720"/>
      <c r="J59" s="720"/>
      <c r="K59" s="720"/>
      <c r="L59" s="720"/>
      <c r="M59" s="720"/>
      <c r="N59" s="720"/>
      <c r="O59" s="720"/>
      <c r="P59" s="720"/>
      <c r="Q59" s="720"/>
      <c r="R59" s="722"/>
    </row>
    <row r="60" spans="1:18" ht="13">
      <c r="A60" s="651"/>
      <c r="B60" s="719"/>
      <c r="C60" s="719"/>
      <c r="D60" s="720"/>
      <c r="E60" s="721"/>
      <c r="F60" s="720"/>
      <c r="G60" s="720"/>
      <c r="H60" s="720"/>
      <c r="I60" s="720"/>
      <c r="J60" s="720"/>
      <c r="K60" s="720"/>
      <c r="L60" s="720"/>
      <c r="M60" s="720"/>
      <c r="N60" s="720"/>
      <c r="O60" s="720"/>
      <c r="P60" s="720"/>
      <c r="Q60" s="720"/>
      <c r="R60" s="722"/>
    </row>
    <row r="61" spans="1:18" ht="13">
      <c r="A61" s="651"/>
      <c r="B61" s="719"/>
      <c r="C61" s="719"/>
      <c r="D61" s="720"/>
      <c r="E61" s="721"/>
      <c r="F61" s="720"/>
      <c r="G61" s="720"/>
      <c r="H61" s="720"/>
      <c r="I61" s="720"/>
      <c r="J61" s="720"/>
      <c r="K61" s="720"/>
      <c r="L61" s="720"/>
      <c r="M61" s="720"/>
      <c r="N61" s="720"/>
      <c r="O61" s="720"/>
      <c r="P61" s="720"/>
      <c r="Q61" s="720"/>
      <c r="R61" s="722"/>
    </row>
    <row r="62" spans="1:18" ht="13">
      <c r="A62" s="651"/>
      <c r="B62" s="719"/>
      <c r="C62" s="719"/>
      <c r="D62" s="720"/>
      <c r="E62" s="721"/>
      <c r="F62" s="720"/>
      <c r="G62" s="720"/>
      <c r="H62" s="720"/>
      <c r="I62" s="720"/>
      <c r="J62" s="720"/>
      <c r="K62" s="720"/>
      <c r="L62" s="720"/>
      <c r="M62" s="720"/>
      <c r="N62" s="720"/>
      <c r="O62" s="720"/>
      <c r="P62" s="720"/>
      <c r="Q62" s="720"/>
      <c r="R62" s="722"/>
    </row>
    <row r="63" spans="1:18" ht="13">
      <c r="A63" s="651"/>
      <c r="B63" s="719"/>
      <c r="C63" s="719"/>
      <c r="D63" s="720"/>
      <c r="E63" s="721"/>
      <c r="F63" s="720"/>
      <c r="G63" s="720"/>
      <c r="H63" s="720"/>
      <c r="I63" s="720"/>
      <c r="J63" s="720"/>
      <c r="K63" s="720"/>
      <c r="L63" s="720"/>
      <c r="M63" s="720"/>
      <c r="N63" s="720"/>
      <c r="O63" s="720"/>
      <c r="P63" s="720"/>
      <c r="Q63" s="720"/>
      <c r="R63" s="722"/>
    </row>
    <row r="64" spans="1:18" ht="13">
      <c r="A64" s="651"/>
      <c r="B64" s="719"/>
      <c r="C64" s="719"/>
      <c r="D64" s="720"/>
      <c r="E64" s="721"/>
      <c r="F64" s="720"/>
      <c r="G64" s="720"/>
      <c r="H64" s="720"/>
      <c r="I64" s="720"/>
      <c r="J64" s="720"/>
      <c r="K64" s="720"/>
      <c r="L64" s="720"/>
      <c r="M64" s="720"/>
      <c r="N64" s="720"/>
      <c r="O64" s="720"/>
      <c r="P64" s="720"/>
      <c r="Q64" s="720"/>
      <c r="R64" s="722"/>
    </row>
    <row r="65" spans="1:18" ht="13">
      <c r="A65" s="651"/>
      <c r="B65" s="719"/>
      <c r="C65" s="719"/>
      <c r="D65" s="720"/>
      <c r="E65" s="721"/>
      <c r="F65" s="720"/>
      <c r="G65" s="720"/>
      <c r="H65" s="720"/>
      <c r="I65" s="720"/>
      <c r="J65" s="720"/>
      <c r="K65" s="720"/>
      <c r="L65" s="720"/>
      <c r="M65" s="720"/>
      <c r="N65" s="720"/>
      <c r="O65" s="720"/>
      <c r="P65" s="720"/>
      <c r="Q65" s="720"/>
      <c r="R65" s="722"/>
    </row>
    <row r="66" spans="1:18" ht="13">
      <c r="A66" s="651"/>
      <c r="B66" s="719"/>
      <c r="C66" s="719"/>
      <c r="D66" s="720"/>
      <c r="E66" s="721"/>
      <c r="F66" s="720"/>
      <c r="G66" s="720"/>
      <c r="H66" s="720"/>
      <c r="I66" s="720"/>
      <c r="J66" s="720"/>
      <c r="K66" s="720"/>
      <c r="L66" s="720"/>
      <c r="M66" s="720"/>
      <c r="N66" s="720"/>
      <c r="O66" s="720"/>
      <c r="P66" s="720"/>
      <c r="Q66" s="720"/>
      <c r="R66" s="722"/>
    </row>
    <row r="67" spans="1:18" ht="13">
      <c r="A67" s="651"/>
      <c r="B67" s="719"/>
      <c r="C67" s="719"/>
      <c r="D67" s="720"/>
      <c r="E67" s="721"/>
      <c r="F67" s="720"/>
      <c r="G67" s="720"/>
      <c r="H67" s="720"/>
      <c r="I67" s="720"/>
      <c r="J67" s="720"/>
      <c r="K67" s="720"/>
      <c r="L67" s="720"/>
      <c r="M67" s="720"/>
      <c r="N67" s="720"/>
      <c r="O67" s="720"/>
      <c r="P67" s="720"/>
      <c r="Q67" s="720"/>
      <c r="R67" s="722"/>
    </row>
    <row r="68" spans="1:18" ht="13">
      <c r="A68" s="651"/>
      <c r="B68" s="719"/>
      <c r="C68" s="719"/>
      <c r="D68" s="720"/>
      <c r="E68" s="721"/>
      <c r="F68" s="720"/>
      <c r="G68" s="720"/>
      <c r="H68" s="720"/>
      <c r="I68" s="720"/>
      <c r="J68" s="720"/>
      <c r="K68" s="720"/>
      <c r="L68" s="720"/>
      <c r="M68" s="720"/>
      <c r="N68" s="720"/>
      <c r="O68" s="720"/>
      <c r="P68" s="720"/>
      <c r="Q68" s="720"/>
      <c r="R68" s="722"/>
    </row>
    <row r="69" spans="1:18" ht="13">
      <c r="A69" s="651"/>
      <c r="B69" s="719"/>
      <c r="C69" s="719"/>
      <c r="D69" s="720"/>
      <c r="E69" s="721"/>
      <c r="F69" s="720"/>
      <c r="G69" s="720"/>
      <c r="H69" s="720"/>
      <c r="I69" s="720"/>
      <c r="J69" s="720"/>
      <c r="K69" s="720"/>
      <c r="L69" s="720"/>
      <c r="M69" s="720"/>
      <c r="N69" s="720"/>
      <c r="O69" s="720"/>
      <c r="P69" s="720"/>
      <c r="Q69" s="720"/>
      <c r="R69" s="722"/>
    </row>
    <row r="70" spans="1:18" ht="13">
      <c r="A70" s="651"/>
      <c r="B70" s="719"/>
      <c r="C70" s="719"/>
      <c r="D70" s="720"/>
      <c r="E70" s="721"/>
      <c r="F70" s="720"/>
      <c r="G70" s="720"/>
      <c r="H70" s="720"/>
      <c r="I70" s="720"/>
      <c r="J70" s="720"/>
      <c r="K70" s="720"/>
      <c r="L70" s="720"/>
      <c r="M70" s="720"/>
      <c r="N70" s="720"/>
      <c r="O70" s="720"/>
      <c r="P70" s="720"/>
      <c r="Q70" s="720"/>
      <c r="R70" s="722"/>
    </row>
    <row r="71" spans="1:18" ht="13">
      <c r="A71" s="651"/>
      <c r="B71" s="719"/>
      <c r="C71" s="719"/>
      <c r="D71" s="720"/>
      <c r="E71" s="721"/>
      <c r="F71" s="720"/>
      <c r="G71" s="720"/>
      <c r="H71" s="720"/>
      <c r="I71" s="720"/>
      <c r="J71" s="720"/>
      <c r="K71" s="720"/>
      <c r="L71" s="720"/>
      <c r="M71" s="720"/>
      <c r="N71" s="720"/>
      <c r="O71" s="720"/>
      <c r="P71" s="720"/>
      <c r="Q71" s="720"/>
      <c r="R71" s="722"/>
    </row>
    <row r="72" spans="1:18" ht="13">
      <c r="A72" s="651"/>
      <c r="B72" s="719"/>
      <c r="C72" s="719"/>
      <c r="D72" s="720"/>
      <c r="E72" s="721"/>
      <c r="F72" s="720"/>
      <c r="G72" s="720"/>
      <c r="H72" s="720"/>
      <c r="I72" s="720"/>
      <c r="J72" s="720"/>
      <c r="K72" s="720"/>
      <c r="L72" s="720"/>
      <c r="M72" s="720"/>
      <c r="N72" s="720"/>
      <c r="O72" s="720"/>
      <c r="P72" s="720"/>
      <c r="Q72" s="720"/>
      <c r="R72" s="722"/>
    </row>
    <row r="73" spans="1:18" ht="13">
      <c r="A73" s="651"/>
      <c r="B73" s="719"/>
      <c r="C73" s="719"/>
      <c r="D73" s="720"/>
      <c r="E73" s="721"/>
      <c r="F73" s="720"/>
      <c r="G73" s="720"/>
      <c r="H73" s="720"/>
      <c r="I73" s="720"/>
      <c r="J73" s="720"/>
      <c r="K73" s="720"/>
      <c r="L73" s="720"/>
      <c r="M73" s="720"/>
      <c r="N73" s="720"/>
      <c r="O73" s="720"/>
      <c r="P73" s="720"/>
      <c r="Q73" s="720"/>
      <c r="R73" s="722"/>
    </row>
    <row r="74" spans="1:18" ht="13">
      <c r="A74" s="651"/>
      <c r="B74" s="719"/>
      <c r="C74" s="719"/>
      <c r="D74" s="720"/>
      <c r="E74" s="721"/>
      <c r="F74" s="720"/>
      <c r="G74" s="720"/>
      <c r="H74" s="720"/>
      <c r="I74" s="720"/>
      <c r="J74" s="720"/>
      <c r="K74" s="720"/>
      <c r="L74" s="720"/>
      <c r="M74" s="720"/>
      <c r="N74" s="720"/>
      <c r="O74" s="720"/>
      <c r="P74" s="720"/>
      <c r="Q74" s="720"/>
      <c r="R74" s="722"/>
    </row>
    <row r="75" spans="1:18" ht="13">
      <c r="A75" s="651"/>
      <c r="B75" s="719"/>
      <c r="C75" s="719"/>
      <c r="D75" s="720"/>
      <c r="E75" s="721"/>
      <c r="F75" s="720"/>
      <c r="G75" s="720"/>
      <c r="H75" s="720"/>
      <c r="I75" s="720"/>
      <c r="J75" s="720"/>
      <c r="K75" s="720"/>
      <c r="L75" s="720"/>
      <c r="M75" s="720"/>
      <c r="N75" s="720"/>
      <c r="O75" s="720"/>
      <c r="P75" s="720"/>
      <c r="Q75" s="720"/>
      <c r="R75" s="722"/>
    </row>
    <row r="76" spans="1:18" ht="13">
      <c r="A76" s="651"/>
      <c r="B76" s="719"/>
      <c r="C76" s="719"/>
      <c r="D76" s="720"/>
      <c r="E76" s="721"/>
      <c r="F76" s="720"/>
      <c r="G76" s="720"/>
      <c r="H76" s="720"/>
      <c r="I76" s="720"/>
      <c r="J76" s="720"/>
      <c r="K76" s="720"/>
      <c r="L76" s="720"/>
      <c r="M76" s="720"/>
      <c r="N76" s="720"/>
      <c r="O76" s="720"/>
      <c r="P76" s="720"/>
      <c r="Q76" s="720"/>
      <c r="R76" s="722"/>
    </row>
  </sheetData>
  <mergeCells count="3">
    <mergeCell ref="B28:B29"/>
    <mergeCell ref="B35:B36"/>
    <mergeCell ref="B5:B6"/>
  </mergeCells>
  <hyperlinks>
    <hyperlink ref="R38" r:id="rId1" xr:uid="{C3886EB7-3065-4945-87DD-C491846486A2}"/>
    <hyperlink ref="R41" r:id="rId2" xr:uid="{D969B9B9-E2AD-4606-9670-23ABF0C6D7B6}"/>
    <hyperlink ref="R21" r:id="rId3" xr:uid="{6504A6C9-1AF4-4975-BD82-9C22FFEF5033}"/>
    <hyperlink ref="R22" r:id="rId4" display="https://www.epirocgroup.com/en/media/corporate-press-releases/2024/20240116-epiroc-wins-its-largest-order-ever-for-digital-solutions-to-strengthen-mining-safety-and-productivity-in-chile" xr:uid="{F7742428-F170-44D5-B5FE-068823BE29ED}"/>
    <hyperlink ref="A2" location="'START PAGE'!A1" display="Back to start page" xr:uid="{A301DA68-FBAE-4A1F-8DCC-FEE544CB5BE3}"/>
    <hyperlink ref="R9" r:id="rId5" xr:uid="{B2A1AACA-D9FE-423C-BBC5-09C8012FB67D}"/>
    <hyperlink ref="R4" r:id="rId6" xr:uid="{BF8BCFA8-A5C1-4BA0-9E67-F866B8468C79}"/>
  </hyperlinks>
  <pageMargins left="0.7" right="0.7" top="0.75" bottom="0.75" header="0.3" footer="0.3"/>
  <pageSetup paperSize="9" scale="31" fitToHeight="0" orientation="landscape" r:id="rId7"/>
  <drawing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453-E71D-41A8-9DBA-8CCB626A231D}">
  <sheetPr>
    <tabColor rgb="FFFFCD00"/>
    <pageSetUpPr fitToPage="1"/>
  </sheetPr>
  <dimension ref="A1:O87"/>
  <sheetViews>
    <sheetView showGridLines="0" workbookViewId="0"/>
  </sheetViews>
  <sheetFormatPr baseColWidth="10" defaultColWidth="8.83203125" defaultRowHeight="13.5" customHeight="1"/>
  <cols>
    <col min="1" max="1" width="55.5" customWidth="1"/>
    <col min="2" max="2" width="5.6640625" bestFit="1" customWidth="1"/>
    <col min="3" max="4" width="8.5" bestFit="1" customWidth="1"/>
    <col min="5" max="5" width="11.33203125" customWidth="1"/>
    <col min="6" max="6" width="11.6640625" customWidth="1"/>
    <col min="7" max="7" width="7.33203125" bestFit="1" customWidth="1"/>
    <col min="8" max="8" width="12.33203125" customWidth="1"/>
    <col min="9" max="9" width="9.5" customWidth="1"/>
    <col min="10" max="11" width="12.33203125" customWidth="1"/>
    <col min="13" max="13" width="8.6640625" customWidth="1"/>
    <col min="17" max="18" width="8.6640625" customWidth="1"/>
    <col min="20" max="20" width="8.6640625" customWidth="1"/>
  </cols>
  <sheetData>
    <row r="1" spans="1:15" ht="17" thickBot="1">
      <c r="A1" s="1" t="s">
        <v>1004</v>
      </c>
      <c r="B1" s="88"/>
      <c r="C1" s="88"/>
      <c r="D1" s="88"/>
      <c r="E1" s="88"/>
      <c r="F1" s="88"/>
      <c r="G1" s="88"/>
      <c r="H1" s="88"/>
      <c r="I1" s="723"/>
      <c r="J1" s="724"/>
      <c r="K1" s="958"/>
      <c r="L1" s="958"/>
    </row>
    <row r="2" spans="1:15" ht="13.5" customHeight="1" thickTop="1" thickBot="1">
      <c r="A2" s="18" t="s">
        <v>30</v>
      </c>
      <c r="B2" s="35"/>
      <c r="C2" s="35"/>
      <c r="D2" s="35"/>
      <c r="E2" s="725"/>
      <c r="F2" s="725"/>
      <c r="G2" s="725"/>
      <c r="H2" s="725"/>
      <c r="I2" s="726"/>
      <c r="J2" s="725"/>
      <c r="K2" s="725"/>
    </row>
    <row r="3" spans="1:15" ht="13.5" customHeight="1" thickTop="1">
      <c r="A3" s="727" t="s">
        <v>1005</v>
      </c>
      <c r="B3" s="728">
        <v>2018</v>
      </c>
      <c r="C3" s="728">
        <v>2019</v>
      </c>
      <c r="D3" s="728">
        <v>2020</v>
      </c>
      <c r="E3" s="728">
        <v>2021</v>
      </c>
      <c r="F3" s="728">
        <v>2022</v>
      </c>
      <c r="G3" s="728"/>
      <c r="H3" s="728">
        <v>2023</v>
      </c>
      <c r="I3" s="729" t="s">
        <v>1006</v>
      </c>
      <c r="J3" s="728">
        <v>2024</v>
      </c>
      <c r="K3" s="728">
        <v>2025</v>
      </c>
      <c r="L3" s="728"/>
    </row>
    <row r="4" spans="1:15" ht="13.5" customHeight="1">
      <c r="A4" s="59" t="s">
        <v>1007</v>
      </c>
      <c r="B4" s="730">
        <v>27</v>
      </c>
      <c r="C4" s="730">
        <v>24</v>
      </c>
      <c r="D4" s="730">
        <v>24</v>
      </c>
      <c r="E4" s="730">
        <v>23</v>
      </c>
      <c r="F4" s="730">
        <v>23</v>
      </c>
      <c r="G4" s="730"/>
      <c r="H4" s="730">
        <v>17</v>
      </c>
      <c r="I4" s="731">
        <v>19</v>
      </c>
      <c r="J4" s="730">
        <v>22</v>
      </c>
      <c r="K4" s="730">
        <v>21</v>
      </c>
      <c r="L4" s="730"/>
    </row>
    <row r="5" spans="1:15" ht="13.5" customHeight="1">
      <c r="A5" s="732" t="s">
        <v>342</v>
      </c>
      <c r="B5" s="733">
        <f>100-B4</f>
        <v>73</v>
      </c>
      <c r="C5" s="733">
        <f>100-C4</f>
        <v>76</v>
      </c>
      <c r="D5" s="733">
        <f>100-D4</f>
        <v>76</v>
      </c>
      <c r="E5" s="733">
        <f>100-E4</f>
        <v>77</v>
      </c>
      <c r="F5" s="733">
        <f>100-F4</f>
        <v>77</v>
      </c>
      <c r="G5" s="733"/>
      <c r="H5" s="733">
        <f>100-H4</f>
        <v>83</v>
      </c>
      <c r="I5" s="734">
        <f>100-I4</f>
        <v>81</v>
      </c>
      <c r="J5" s="733">
        <f>100-J4</f>
        <v>78</v>
      </c>
      <c r="K5" s="733">
        <v>79</v>
      </c>
      <c r="L5" s="733"/>
    </row>
    <row r="6" spans="1:15" ht="13.5" customHeight="1">
      <c r="A6" s="59" t="s">
        <v>789</v>
      </c>
      <c r="B6" s="730">
        <v>17</v>
      </c>
      <c r="C6" s="730">
        <v>16</v>
      </c>
      <c r="D6" s="730">
        <v>21</v>
      </c>
      <c r="E6" s="730">
        <v>24.1</v>
      </c>
      <c r="F6" s="730">
        <v>27</v>
      </c>
      <c r="G6" s="730"/>
      <c r="H6" s="730">
        <v>29.5</v>
      </c>
      <c r="I6" s="731">
        <v>29</v>
      </c>
      <c r="J6" s="730">
        <v>25.74</v>
      </c>
      <c r="K6" s="730">
        <v>28.371415206942164</v>
      </c>
      <c r="L6" s="730"/>
      <c r="M6" s="730"/>
      <c r="O6" s="1140"/>
    </row>
    <row r="7" spans="1:15" ht="13.5" customHeight="1">
      <c r="A7" s="59" t="s">
        <v>1008</v>
      </c>
      <c r="B7" s="730">
        <v>21</v>
      </c>
      <c r="C7" s="730">
        <v>19</v>
      </c>
      <c r="D7" s="730">
        <v>23</v>
      </c>
      <c r="E7" s="730">
        <v>21.2</v>
      </c>
      <c r="F7" s="730">
        <v>19</v>
      </c>
      <c r="G7" s="730"/>
      <c r="H7" s="730">
        <v>19.2</v>
      </c>
      <c r="I7" s="731">
        <v>20</v>
      </c>
      <c r="J7" s="730">
        <v>21.06</v>
      </c>
      <c r="K7" s="730">
        <v>22.946853124294332</v>
      </c>
      <c r="L7" s="730"/>
      <c r="M7" s="730"/>
      <c r="O7" s="1140"/>
    </row>
    <row r="8" spans="1:15" ht="13.5" customHeight="1">
      <c r="A8" s="59" t="s">
        <v>1009</v>
      </c>
      <c r="B8" s="730">
        <v>5</v>
      </c>
      <c r="C8" s="730">
        <v>7</v>
      </c>
      <c r="D8" s="730">
        <v>11</v>
      </c>
      <c r="E8" s="730">
        <v>12.2</v>
      </c>
      <c r="F8" s="730">
        <v>11</v>
      </c>
      <c r="G8" s="730"/>
      <c r="H8" s="730">
        <v>13.1</v>
      </c>
      <c r="I8" s="731">
        <v>12</v>
      </c>
      <c r="J8" s="730">
        <v>14.04</v>
      </c>
      <c r="K8" s="730">
        <v>11.356801832317172</v>
      </c>
      <c r="L8" s="730"/>
      <c r="M8" s="730"/>
      <c r="O8" s="1140"/>
    </row>
    <row r="9" spans="1:15" ht="13.5" customHeight="1">
      <c r="A9" s="59" t="s">
        <v>852</v>
      </c>
      <c r="B9" s="730">
        <v>2</v>
      </c>
      <c r="C9" s="730">
        <v>2</v>
      </c>
      <c r="D9" s="730">
        <v>3</v>
      </c>
      <c r="E9" s="730">
        <v>2.8</v>
      </c>
      <c r="F9" s="730">
        <v>4</v>
      </c>
      <c r="G9" s="730"/>
      <c r="H9" s="730">
        <v>4.9000000000000004</v>
      </c>
      <c r="I9" s="731">
        <v>4</v>
      </c>
      <c r="J9" s="730">
        <v>4.68</v>
      </c>
      <c r="K9" s="730">
        <v>5.8857866382786534</v>
      </c>
      <c r="L9" s="730"/>
      <c r="M9" s="730"/>
      <c r="O9" s="1140"/>
    </row>
    <row r="10" spans="1:15" ht="13.5" customHeight="1">
      <c r="A10" s="59" t="s">
        <v>1010</v>
      </c>
      <c r="B10" s="730">
        <v>4</v>
      </c>
      <c r="C10" s="730">
        <v>6</v>
      </c>
      <c r="D10" s="730">
        <v>2</v>
      </c>
      <c r="E10" s="730">
        <v>4.8</v>
      </c>
      <c r="F10" s="730">
        <v>4</v>
      </c>
      <c r="G10" s="730"/>
      <c r="H10" s="730">
        <v>4</v>
      </c>
      <c r="I10" s="731">
        <v>1</v>
      </c>
      <c r="J10" s="730">
        <v>3.9</v>
      </c>
      <c r="K10" s="730">
        <v>3.532468789315784</v>
      </c>
      <c r="L10" s="730"/>
      <c r="M10" s="730"/>
      <c r="O10" s="1140"/>
    </row>
    <row r="11" spans="1:15" ht="13.5" customHeight="1">
      <c r="A11" s="59" t="s">
        <v>1011</v>
      </c>
      <c r="B11" s="735" t="s">
        <v>192</v>
      </c>
      <c r="C11" s="735" t="s">
        <v>192</v>
      </c>
      <c r="D11" s="730">
        <v>4</v>
      </c>
      <c r="E11" s="730">
        <v>2.9</v>
      </c>
      <c r="F11" s="730">
        <v>3</v>
      </c>
      <c r="G11" s="730"/>
      <c r="H11" s="730">
        <v>1.3</v>
      </c>
      <c r="I11" s="731">
        <v>3</v>
      </c>
      <c r="J11" s="730">
        <v>2.34</v>
      </c>
      <c r="K11" s="730">
        <v>1.2344914352075873</v>
      </c>
      <c r="L11" s="730"/>
      <c r="M11" s="730"/>
      <c r="O11" s="1140"/>
    </row>
    <row r="12" spans="1:15" ht="13.5" customHeight="1">
      <c r="A12" s="59" t="s">
        <v>1012</v>
      </c>
      <c r="B12" s="730">
        <v>3</v>
      </c>
      <c r="C12" s="730">
        <v>3</v>
      </c>
      <c r="D12" s="730">
        <v>3</v>
      </c>
      <c r="E12" s="730">
        <v>4.5999999999999996</v>
      </c>
      <c r="F12" s="730">
        <v>3</v>
      </c>
      <c r="G12" s="730"/>
      <c r="H12" s="730">
        <v>2</v>
      </c>
      <c r="I12" s="731">
        <v>2</v>
      </c>
      <c r="J12" s="730">
        <v>1.56</v>
      </c>
      <c r="K12" s="730">
        <v>1.2444111100358077</v>
      </c>
      <c r="L12" s="730"/>
      <c r="M12" s="730"/>
      <c r="O12" s="1140"/>
    </row>
    <row r="13" spans="1:15" ht="13.5" customHeight="1">
      <c r="A13" s="59" t="s">
        <v>368</v>
      </c>
      <c r="B13" s="730">
        <v>12</v>
      </c>
      <c r="C13" s="730">
        <v>14</v>
      </c>
      <c r="D13" s="730">
        <v>9</v>
      </c>
      <c r="E13" s="730">
        <v>4.4000000000000004</v>
      </c>
      <c r="F13" s="730">
        <v>6</v>
      </c>
      <c r="G13" s="730"/>
      <c r="H13" s="730">
        <f>H5-SUM(H6:H12)</f>
        <v>9</v>
      </c>
      <c r="I13" s="731">
        <v>10</v>
      </c>
      <c r="J13" s="730">
        <v>4.68</v>
      </c>
      <c r="K13" s="730">
        <v>4.4000000000000004</v>
      </c>
      <c r="L13" s="730"/>
      <c r="M13" s="730"/>
      <c r="O13" s="1140"/>
    </row>
    <row r="14" spans="1:15" ht="13.5" customHeight="1">
      <c r="A14" s="59" t="s">
        <v>1013</v>
      </c>
      <c r="B14" s="730">
        <v>9</v>
      </c>
      <c r="C14" s="730">
        <v>9</v>
      </c>
      <c r="D14" s="735" t="s">
        <v>192</v>
      </c>
      <c r="E14" s="735" t="s">
        <v>192</v>
      </c>
      <c r="F14" s="735" t="s">
        <v>192</v>
      </c>
      <c r="G14" s="735"/>
      <c r="H14" s="730"/>
      <c r="I14" s="736"/>
      <c r="J14" s="737"/>
      <c r="K14" s="737"/>
      <c r="L14" s="737"/>
      <c r="M14" s="1120"/>
    </row>
    <row r="15" spans="1:15" ht="13.5" customHeight="1">
      <c r="A15" s="738" t="s">
        <v>393</v>
      </c>
      <c r="B15" s="739">
        <v>100</v>
      </c>
      <c r="C15" s="739">
        <v>100</v>
      </c>
      <c r="D15" s="739">
        <v>100</v>
      </c>
      <c r="E15" s="739">
        <v>100</v>
      </c>
      <c r="F15" s="739">
        <v>100</v>
      </c>
      <c r="G15" s="739"/>
      <c r="H15" s="739">
        <v>100</v>
      </c>
      <c r="I15" s="740">
        <f>SUM(I6:I14)+I4</f>
        <v>100</v>
      </c>
      <c r="J15" s="739">
        <f>SUM(J6:J13)+J4</f>
        <v>100</v>
      </c>
      <c r="K15" s="739">
        <f>SUM(K6:K13)+K4</f>
        <v>99.972228136391522</v>
      </c>
      <c r="L15" s="739"/>
    </row>
    <row r="16" spans="1:15" ht="13.5" customHeight="1">
      <c r="A16" s="59"/>
      <c r="B16" s="730"/>
      <c r="C16" s="730"/>
      <c r="D16" s="730"/>
      <c r="E16" s="730"/>
      <c r="F16" s="730"/>
      <c r="G16" s="730"/>
      <c r="H16" s="730"/>
      <c r="I16" s="731"/>
      <c r="J16" s="730"/>
      <c r="K16" s="730"/>
    </row>
    <row r="17" spans="1:12" ht="13.5" customHeight="1">
      <c r="A17" s="741"/>
      <c r="B17" s="730"/>
      <c r="C17" s="730"/>
      <c r="D17" s="730"/>
      <c r="E17" s="730"/>
      <c r="F17" s="730"/>
      <c r="G17" s="730"/>
      <c r="H17" s="730"/>
      <c r="I17" s="731"/>
      <c r="J17" s="730"/>
      <c r="K17" s="730"/>
    </row>
    <row r="18" spans="1:12" ht="13.5" customHeight="1">
      <c r="A18" s="727" t="s">
        <v>1014</v>
      </c>
      <c r="B18" s="728">
        <v>2018</v>
      </c>
      <c r="C18" s="728">
        <v>2019</v>
      </c>
      <c r="D18" s="728">
        <v>2020</v>
      </c>
      <c r="E18" s="728">
        <v>2021</v>
      </c>
      <c r="F18" s="728">
        <v>2022</v>
      </c>
      <c r="G18" s="728"/>
      <c r="H18" s="728">
        <v>2023</v>
      </c>
      <c r="I18" s="729" t="str">
        <f>I3</f>
        <v>Q2 2024</v>
      </c>
      <c r="J18" s="728">
        <v>2024</v>
      </c>
      <c r="K18" s="728">
        <f>K3</f>
        <v>2025</v>
      </c>
      <c r="L18" s="728" t="s">
        <v>1353</v>
      </c>
    </row>
    <row r="19" spans="1:12" ht="13.5" customHeight="1">
      <c r="A19" s="742" t="s">
        <v>1015</v>
      </c>
      <c r="B19" s="730"/>
      <c r="C19" s="737">
        <v>7</v>
      </c>
      <c r="D19" s="737">
        <v>7.2</v>
      </c>
      <c r="E19" s="737">
        <v>7.7</v>
      </c>
      <c r="F19" s="737">
        <v>8</v>
      </c>
      <c r="G19" s="737"/>
      <c r="H19" s="737">
        <v>8.1999999999999993</v>
      </c>
      <c r="I19" s="736">
        <v>8.4</v>
      </c>
      <c r="J19" s="737">
        <v>8.4</v>
      </c>
      <c r="K19" s="737">
        <v>8.6</v>
      </c>
      <c r="L19" s="737">
        <v>8.6999999999999993</v>
      </c>
    </row>
    <row r="20" spans="1:12" ht="13.5" customHeight="1">
      <c r="A20" s="742" t="s">
        <v>1016</v>
      </c>
      <c r="B20" s="730"/>
      <c r="C20" s="737">
        <v>24</v>
      </c>
      <c r="D20" s="737">
        <v>27</v>
      </c>
      <c r="E20" s="737">
        <v>31</v>
      </c>
      <c r="F20" s="737">
        <v>35</v>
      </c>
      <c r="G20" s="737"/>
      <c r="H20" s="737">
        <v>37</v>
      </c>
      <c r="I20" s="736">
        <v>38</v>
      </c>
      <c r="J20" s="737">
        <v>38</v>
      </c>
      <c r="K20" s="737">
        <v>38</v>
      </c>
      <c r="L20" s="737">
        <v>37</v>
      </c>
    </row>
    <row r="21" spans="1:12" ht="13.5" customHeight="1">
      <c r="A21" s="743"/>
      <c r="B21" s="743"/>
      <c r="C21" s="743"/>
      <c r="D21" s="743"/>
      <c r="E21" s="743"/>
      <c r="F21" s="743"/>
      <c r="G21" s="743"/>
      <c r="H21" s="743"/>
      <c r="I21" s="744"/>
      <c r="J21" s="743"/>
      <c r="K21" s="743"/>
    </row>
    <row r="22" spans="1:12" ht="13.5" customHeight="1">
      <c r="A22" s="727" t="s">
        <v>1017</v>
      </c>
      <c r="B22" s="728">
        <v>2018</v>
      </c>
      <c r="C22" s="728">
        <v>2019</v>
      </c>
      <c r="D22" s="728">
        <v>2020</v>
      </c>
      <c r="E22" s="728">
        <v>2021</v>
      </c>
      <c r="F22" s="728">
        <v>2022</v>
      </c>
      <c r="G22" s="728"/>
      <c r="H22" s="728">
        <v>2023</v>
      </c>
      <c r="I22" s="729"/>
      <c r="J22" s="728">
        <v>2024</v>
      </c>
      <c r="K22" s="728">
        <f>K18</f>
        <v>2025</v>
      </c>
      <c r="L22" s="728" t="s">
        <v>1353</v>
      </c>
    </row>
    <row r="23" spans="1:12" ht="13.5" customHeight="1">
      <c r="A23" s="59" t="s">
        <v>1018</v>
      </c>
      <c r="B23" s="745"/>
      <c r="C23" s="745"/>
      <c r="D23" s="745"/>
      <c r="E23" s="745">
        <v>0.5</v>
      </c>
      <c r="F23" s="745">
        <v>0.51</v>
      </c>
      <c r="G23" s="745"/>
      <c r="H23" s="745">
        <v>0.5</v>
      </c>
      <c r="I23" s="746"/>
      <c r="J23" s="745">
        <v>0.45</v>
      </c>
      <c r="K23" s="745">
        <v>0.48</v>
      </c>
    </row>
    <row r="24" spans="1:12" ht="13.5" customHeight="1">
      <c r="A24" s="59" t="s">
        <v>1019</v>
      </c>
      <c r="B24" s="745"/>
      <c r="C24" s="745"/>
      <c r="D24" s="745"/>
      <c r="E24" s="745">
        <v>0.5</v>
      </c>
      <c r="F24" s="745">
        <v>0.49</v>
      </c>
      <c r="G24" s="745"/>
      <c r="H24" s="745">
        <v>0.5</v>
      </c>
      <c r="I24" s="746"/>
      <c r="J24" s="745">
        <v>0.55000000000000004</v>
      </c>
      <c r="K24" s="745">
        <v>0.52</v>
      </c>
    </row>
    <row r="25" spans="1:12" ht="13.5" customHeight="1">
      <c r="A25" s="747" t="s">
        <v>1020</v>
      </c>
      <c r="B25" s="745"/>
      <c r="C25" s="745"/>
      <c r="D25" s="745"/>
      <c r="E25" s="745">
        <v>0.87</v>
      </c>
      <c r="F25" s="745">
        <v>0.87</v>
      </c>
      <c r="G25" s="745"/>
      <c r="H25" s="745">
        <v>0.89</v>
      </c>
      <c r="I25" s="746">
        <v>0.91</v>
      </c>
      <c r="J25" s="745">
        <v>0.84</v>
      </c>
      <c r="K25" s="745">
        <v>0.8</v>
      </c>
    </row>
    <row r="26" spans="1:12" ht="13.5" customHeight="1">
      <c r="A26" s="747" t="s">
        <v>1354</v>
      </c>
      <c r="B26" s="745"/>
      <c r="C26" s="745"/>
      <c r="D26" s="745"/>
      <c r="E26" s="745"/>
      <c r="F26" s="745"/>
      <c r="G26" s="745"/>
      <c r="H26" s="745"/>
      <c r="I26" s="746"/>
      <c r="J26" s="745"/>
      <c r="K26" s="745"/>
      <c r="L26" s="748">
        <v>3100</v>
      </c>
    </row>
    <row r="27" spans="1:12" ht="13.5" customHeight="1">
      <c r="A27" s="747" t="s">
        <v>1355</v>
      </c>
      <c r="B27" s="745"/>
      <c r="C27" s="745"/>
      <c r="D27" s="745"/>
      <c r="E27" s="745"/>
      <c r="F27" s="745"/>
      <c r="G27" s="745"/>
      <c r="H27" s="748">
        <v>26</v>
      </c>
      <c r="I27" s="1141">
        <v>32</v>
      </c>
      <c r="J27" s="745"/>
      <c r="K27" s="745"/>
      <c r="L27" s="748">
        <v>33</v>
      </c>
    </row>
    <row r="28" spans="1:12" ht="13.5" customHeight="1">
      <c r="A28" s="747"/>
      <c r="B28" s="745"/>
      <c r="C28" s="745"/>
      <c r="D28" s="745"/>
      <c r="E28" s="745"/>
      <c r="F28" s="745"/>
      <c r="G28" s="745"/>
      <c r="H28" s="745"/>
      <c r="I28" s="746"/>
      <c r="J28" s="745"/>
      <c r="K28" s="745"/>
    </row>
    <row r="29" spans="1:12" ht="13.5" customHeight="1">
      <c r="A29" s="727" t="s">
        <v>1021</v>
      </c>
      <c r="B29" s="728"/>
      <c r="C29" s="728">
        <f t="shared" ref="C29:J29" si="0">C22</f>
        <v>2019</v>
      </c>
      <c r="D29" s="728">
        <f t="shared" si="0"/>
        <v>2020</v>
      </c>
      <c r="E29" s="728">
        <f t="shared" si="0"/>
        <v>2021</v>
      </c>
      <c r="F29" s="728">
        <f t="shared" si="0"/>
        <v>2022</v>
      </c>
      <c r="G29" s="728"/>
      <c r="H29" s="728">
        <f t="shared" si="0"/>
        <v>2023</v>
      </c>
      <c r="I29" s="728"/>
      <c r="J29" s="728">
        <f t="shared" si="0"/>
        <v>2024</v>
      </c>
      <c r="K29" s="728">
        <f>K22</f>
        <v>2025</v>
      </c>
      <c r="L29" s="728"/>
    </row>
    <row r="30" spans="1:12" ht="13.5" customHeight="1">
      <c r="A30" s="59" t="s">
        <v>1022</v>
      </c>
      <c r="B30" s="745"/>
      <c r="C30" s="748">
        <v>3400</v>
      </c>
      <c r="D30" s="748">
        <v>4300</v>
      </c>
      <c r="E30" s="748">
        <v>6000</v>
      </c>
      <c r="F30" s="748">
        <v>7000</v>
      </c>
      <c r="G30" s="748"/>
      <c r="H30" s="748">
        <v>9500</v>
      </c>
      <c r="I30" s="749"/>
      <c r="J30" s="749"/>
      <c r="K30" s="748"/>
    </row>
    <row r="31" spans="1:12" ht="13.5" customHeight="1">
      <c r="A31" s="59" t="s">
        <v>1023</v>
      </c>
      <c r="B31" s="745"/>
      <c r="C31" s="748"/>
      <c r="D31" s="748"/>
      <c r="E31" s="748"/>
      <c r="F31" s="748">
        <v>1000</v>
      </c>
      <c r="G31" s="750" t="s">
        <v>1024</v>
      </c>
      <c r="H31" s="748">
        <v>1100</v>
      </c>
      <c r="I31" s="749">
        <v>1200</v>
      </c>
      <c r="J31" s="748">
        <v>1350</v>
      </c>
      <c r="K31" s="748">
        <v>1450</v>
      </c>
    </row>
    <row r="32" spans="1:12" ht="13.5" customHeight="1">
      <c r="A32" s="59" t="s">
        <v>1025</v>
      </c>
      <c r="B32" s="745"/>
      <c r="C32" s="748"/>
      <c r="D32" s="748"/>
      <c r="E32" s="748"/>
      <c r="F32" s="748">
        <v>750</v>
      </c>
      <c r="G32" s="750" t="str">
        <f>G31</f>
        <v>H12022</v>
      </c>
      <c r="H32" s="748">
        <v>1000</v>
      </c>
      <c r="I32" s="749">
        <v>1100</v>
      </c>
      <c r="J32" s="748">
        <v>1200</v>
      </c>
      <c r="K32" s="748">
        <v>1200</v>
      </c>
    </row>
    <row r="33" spans="1:12" ht="13.5" customHeight="1">
      <c r="A33" s="59" t="s">
        <v>1026</v>
      </c>
      <c r="B33" s="745"/>
      <c r="C33" s="748"/>
      <c r="D33" s="748"/>
      <c r="E33" s="748"/>
      <c r="F33" s="748">
        <v>650</v>
      </c>
      <c r="G33" s="750" t="str">
        <f>G32</f>
        <v>H12022</v>
      </c>
      <c r="H33" s="748">
        <v>750</v>
      </c>
      <c r="I33" s="749">
        <v>850</v>
      </c>
      <c r="J33" s="748">
        <v>900</v>
      </c>
      <c r="K33" s="748">
        <v>1000</v>
      </c>
    </row>
    <row r="34" spans="1:12" ht="13.5" customHeight="1">
      <c r="A34" s="59" t="s">
        <v>1269</v>
      </c>
      <c r="B34" s="745"/>
      <c r="C34" s="748"/>
      <c r="D34" s="748"/>
      <c r="E34" s="748"/>
      <c r="F34" s="748"/>
      <c r="G34" s="750"/>
      <c r="H34" s="748"/>
      <c r="I34" s="749"/>
      <c r="J34" s="748"/>
      <c r="K34" s="748">
        <v>250</v>
      </c>
    </row>
    <row r="35" spans="1:12" ht="13.5" customHeight="1">
      <c r="A35" s="59" t="s">
        <v>1027</v>
      </c>
      <c r="B35" s="745"/>
      <c r="C35" s="748"/>
      <c r="D35" s="748"/>
      <c r="E35" s="748"/>
      <c r="F35" s="748">
        <f>SUM(F31:F33)</f>
        <v>2400</v>
      </c>
      <c r="G35" s="750" t="str">
        <f>G33</f>
        <v>H12022</v>
      </c>
      <c r="H35" s="748">
        <f>SUM(H31:H33)</f>
        <v>2850</v>
      </c>
      <c r="I35" s="749">
        <v>3100</v>
      </c>
      <c r="J35" s="748">
        <f>SUM(J31:J33)</f>
        <v>3450</v>
      </c>
      <c r="K35" s="748">
        <f>SUM(K31:K34)</f>
        <v>3900</v>
      </c>
    </row>
    <row r="36" spans="1:12" ht="13.5" customHeight="1">
      <c r="A36" s="59" t="s">
        <v>1028</v>
      </c>
      <c r="B36" s="745"/>
      <c r="C36" s="748"/>
      <c r="D36" s="748"/>
      <c r="E36" s="748"/>
      <c r="F36" s="748"/>
      <c r="G36" s="750"/>
      <c r="H36" s="748"/>
      <c r="I36" s="749" t="s">
        <v>1029</v>
      </c>
      <c r="J36" s="748" t="s">
        <v>1029</v>
      </c>
      <c r="K36" s="748" t="s">
        <v>1029</v>
      </c>
    </row>
    <row r="37" spans="1:12" ht="13.5" customHeight="1">
      <c r="A37" s="59" t="s">
        <v>1030</v>
      </c>
      <c r="B37" s="745"/>
      <c r="C37" s="748"/>
      <c r="D37" s="748"/>
      <c r="E37" s="748"/>
      <c r="F37" s="748"/>
      <c r="G37" s="750"/>
      <c r="H37" s="748"/>
      <c r="I37" s="749" t="s">
        <v>1031</v>
      </c>
      <c r="J37" s="748" t="s">
        <v>1031</v>
      </c>
      <c r="K37" s="748">
        <v>3050</v>
      </c>
    </row>
    <row r="38" spans="1:12" ht="13.5" customHeight="1">
      <c r="A38" s="59" t="s">
        <v>1032</v>
      </c>
      <c r="B38" s="745"/>
      <c r="C38" s="748"/>
      <c r="D38" s="748"/>
      <c r="E38" s="748"/>
      <c r="F38" s="748"/>
      <c r="G38" s="750"/>
      <c r="H38" s="748"/>
      <c r="I38" s="749" t="s">
        <v>1033</v>
      </c>
      <c r="J38" s="748" t="s">
        <v>1033</v>
      </c>
      <c r="K38" s="748"/>
    </row>
    <row r="39" spans="1:12" ht="13.5" customHeight="1">
      <c r="A39" s="59" t="s">
        <v>1034</v>
      </c>
      <c r="B39" s="745"/>
      <c r="C39" s="748"/>
      <c r="D39" s="748"/>
      <c r="E39" s="748"/>
      <c r="F39" s="751">
        <v>0.01</v>
      </c>
      <c r="G39" s="750" t="str">
        <f>G35</f>
        <v>H12022</v>
      </c>
      <c r="H39" s="752">
        <v>3.3000000000000002E-2</v>
      </c>
      <c r="I39" s="753">
        <v>0.04</v>
      </c>
      <c r="J39" s="752">
        <v>4.2000000000000003E-2</v>
      </c>
      <c r="K39" s="752">
        <v>3.7999999999999999E-2</v>
      </c>
    </row>
    <row r="40" spans="1:12" ht="13.5" customHeight="1">
      <c r="A40" s="59" t="s">
        <v>1035</v>
      </c>
      <c r="B40" s="745"/>
      <c r="C40" s="748"/>
      <c r="D40" s="748"/>
      <c r="E40" s="748"/>
      <c r="F40" s="751"/>
      <c r="G40" s="750"/>
      <c r="H40" s="751"/>
      <c r="I40" s="754" t="s">
        <v>1036</v>
      </c>
      <c r="J40" s="751" t="s">
        <v>1036</v>
      </c>
      <c r="K40" s="751" t="s">
        <v>1036</v>
      </c>
    </row>
    <row r="41" spans="1:12" ht="13.5" customHeight="1">
      <c r="A41" s="59" t="s">
        <v>1037</v>
      </c>
      <c r="B41" s="745"/>
      <c r="C41" s="748"/>
      <c r="D41" s="748"/>
      <c r="E41" s="748"/>
      <c r="F41" s="748">
        <v>25</v>
      </c>
      <c r="G41" s="750" t="str">
        <f>G39</f>
        <v>H12022</v>
      </c>
      <c r="H41" s="748">
        <v>32</v>
      </c>
      <c r="I41" s="749">
        <v>34</v>
      </c>
      <c r="J41" s="748"/>
      <c r="K41" s="748"/>
    </row>
    <row r="42" spans="1:12" ht="13.5" customHeight="1">
      <c r="A42" s="59" t="s">
        <v>1038</v>
      </c>
      <c r="B42" s="745"/>
      <c r="C42" s="748"/>
      <c r="D42" s="748"/>
      <c r="E42" s="748"/>
      <c r="F42" s="748"/>
      <c r="G42" s="750"/>
      <c r="H42" s="748"/>
      <c r="I42" s="749"/>
      <c r="J42" s="748">
        <v>39</v>
      </c>
      <c r="K42" s="748">
        <v>40</v>
      </c>
    </row>
    <row r="43" spans="1:12" ht="13.5" customHeight="1">
      <c r="A43" s="59" t="s">
        <v>1039</v>
      </c>
      <c r="B43" s="745"/>
      <c r="C43" s="748"/>
      <c r="D43" s="748"/>
      <c r="E43" s="748"/>
      <c r="F43" s="748">
        <v>9</v>
      </c>
      <c r="G43" s="750" t="str">
        <f>G41</f>
        <v>H12022</v>
      </c>
      <c r="H43" s="748">
        <v>11</v>
      </c>
      <c r="I43" s="749">
        <v>12</v>
      </c>
      <c r="J43" s="751">
        <v>0.28000000000000003</v>
      </c>
      <c r="K43" s="751">
        <v>0.4</v>
      </c>
    </row>
    <row r="44" spans="1:12" ht="13.5" customHeight="1">
      <c r="A44" s="59" t="s">
        <v>1040</v>
      </c>
      <c r="B44" s="745"/>
      <c r="C44" s="748"/>
      <c r="D44" s="748"/>
      <c r="E44" s="748"/>
      <c r="F44" s="748"/>
      <c r="G44" s="750"/>
      <c r="H44" s="748"/>
      <c r="I44" s="755">
        <v>0.61</v>
      </c>
      <c r="J44" s="748"/>
      <c r="K44" s="748"/>
    </row>
    <row r="45" spans="1:12" ht="13.5" customHeight="1">
      <c r="A45" s="743"/>
      <c r="B45" s="743"/>
      <c r="C45" s="743"/>
      <c r="D45" s="743"/>
      <c r="E45" s="743"/>
      <c r="F45" s="743"/>
      <c r="G45" s="743"/>
      <c r="H45" s="743"/>
      <c r="I45" s="744"/>
      <c r="J45" s="743"/>
      <c r="K45" s="743"/>
    </row>
    <row r="46" spans="1:12" ht="13.5" customHeight="1">
      <c r="A46" s="727" t="s">
        <v>1041</v>
      </c>
      <c r="B46" s="728"/>
      <c r="C46" s="728"/>
      <c r="D46" s="728"/>
      <c r="E46" s="728"/>
      <c r="F46" s="728"/>
      <c r="G46" s="728"/>
      <c r="H46" s="728"/>
      <c r="I46" s="728"/>
      <c r="J46" s="728"/>
      <c r="K46" s="728"/>
      <c r="L46" s="728"/>
    </row>
    <row r="47" spans="1:12" ht="13.5" customHeight="1">
      <c r="A47" s="951" t="s">
        <v>1042</v>
      </c>
      <c r="B47" s="743"/>
      <c r="C47" s="743"/>
      <c r="D47" s="743"/>
      <c r="E47" s="743"/>
      <c r="F47" s="743"/>
      <c r="G47" s="743"/>
      <c r="H47" s="743"/>
      <c r="I47" s="744"/>
      <c r="J47" s="743"/>
      <c r="K47" s="743"/>
    </row>
    <row r="48" spans="1:12" ht="13.5" customHeight="1">
      <c r="A48" s="951" t="s">
        <v>1043</v>
      </c>
      <c r="B48" s="743"/>
      <c r="C48" s="743"/>
      <c r="D48" s="743"/>
      <c r="E48" s="743"/>
      <c r="F48" s="743"/>
      <c r="G48" s="743"/>
      <c r="H48" s="743"/>
      <c r="I48" s="744"/>
      <c r="J48" s="743"/>
      <c r="K48" s="743"/>
    </row>
    <row r="49" spans="1:12" ht="13.5" customHeight="1">
      <c r="A49" s="951" t="s">
        <v>1044</v>
      </c>
      <c r="B49" s="743"/>
      <c r="C49" s="743"/>
      <c r="D49" s="743"/>
      <c r="E49" s="743"/>
      <c r="F49" s="743"/>
      <c r="G49" s="743"/>
      <c r="H49" s="743"/>
      <c r="I49" s="744"/>
      <c r="J49" s="743"/>
      <c r="K49" s="743"/>
    </row>
    <row r="50" spans="1:12" ht="13.5" customHeight="1">
      <c r="A50" s="951" t="s">
        <v>1045</v>
      </c>
      <c r="B50" s="743"/>
      <c r="C50" s="743"/>
      <c r="D50" s="743"/>
      <c r="E50" s="743"/>
      <c r="F50" s="743"/>
      <c r="G50" s="743"/>
      <c r="H50" s="743"/>
      <c r="I50" s="744"/>
      <c r="J50" s="743"/>
      <c r="K50" s="743"/>
    </row>
    <row r="51" spans="1:12" ht="13.5" customHeight="1">
      <c r="A51" s="743"/>
      <c r="B51" s="743"/>
      <c r="C51" s="743"/>
      <c r="D51" s="743"/>
      <c r="E51" s="743"/>
      <c r="F51" s="743"/>
      <c r="G51" s="743"/>
      <c r="H51" s="743"/>
      <c r="I51" s="744"/>
      <c r="J51" s="743"/>
      <c r="K51" s="743"/>
    </row>
    <row r="52" spans="1:12" ht="13.5" customHeight="1">
      <c r="A52" s="727" t="s">
        <v>1046</v>
      </c>
      <c r="B52" s="728">
        <f>B22</f>
        <v>2018</v>
      </c>
      <c r="C52" s="728">
        <f>C22</f>
        <v>2019</v>
      </c>
      <c r="D52" s="728">
        <f>D22</f>
        <v>2020</v>
      </c>
      <c r="E52" s="728">
        <f>E22</f>
        <v>2021</v>
      </c>
      <c r="F52" s="728">
        <f>F22</f>
        <v>2022</v>
      </c>
      <c r="G52" s="728"/>
      <c r="H52" s="728">
        <f>H22</f>
        <v>2023</v>
      </c>
      <c r="I52" s="729"/>
      <c r="J52" s="728">
        <v>2024</v>
      </c>
      <c r="K52" s="728">
        <v>2025</v>
      </c>
      <c r="L52" s="728"/>
    </row>
    <row r="53" spans="1:12" ht="13.5" customHeight="1">
      <c r="A53" s="59" t="s">
        <v>1047</v>
      </c>
      <c r="B53" s="745"/>
      <c r="C53" s="745"/>
      <c r="D53" s="751">
        <v>0.2</v>
      </c>
      <c r="E53" s="751">
        <v>0.17</v>
      </c>
      <c r="F53" s="751">
        <v>0.17</v>
      </c>
      <c r="G53" s="751"/>
      <c r="H53" s="751">
        <v>0.23</v>
      </c>
      <c r="I53" s="755"/>
      <c r="J53" s="751">
        <v>0.2</v>
      </c>
      <c r="K53" s="751">
        <v>0.18</v>
      </c>
    </row>
    <row r="54" spans="1:12" ht="13.5" customHeight="1">
      <c r="A54" s="59" t="s">
        <v>1048</v>
      </c>
      <c r="B54" s="743"/>
      <c r="C54" s="743"/>
      <c r="D54" s="1088"/>
      <c r="E54" s="756" t="s">
        <v>1049</v>
      </c>
      <c r="F54" s="756" t="s">
        <v>1050</v>
      </c>
      <c r="G54" s="756"/>
      <c r="H54" s="756" t="s">
        <v>1051</v>
      </c>
      <c r="I54" s="757"/>
      <c r="J54" s="756" t="s">
        <v>1050</v>
      </c>
      <c r="K54" s="756" t="s">
        <v>822</v>
      </c>
    </row>
    <row r="55" spans="1:12" ht="13.5" customHeight="1">
      <c r="A55" s="59" t="s">
        <v>1048</v>
      </c>
      <c r="B55" s="743"/>
      <c r="C55" s="743"/>
      <c r="D55" s="1088"/>
      <c r="E55" s="756" t="s">
        <v>1052</v>
      </c>
      <c r="F55" s="756" t="s">
        <v>1053</v>
      </c>
      <c r="G55" s="756"/>
      <c r="H55" s="756" t="s">
        <v>1050</v>
      </c>
      <c r="I55" s="757"/>
      <c r="J55" s="756" t="s">
        <v>1054</v>
      </c>
      <c r="K55" s="756" t="s">
        <v>1073</v>
      </c>
    </row>
    <row r="56" spans="1:12" ht="13.5" customHeight="1">
      <c r="A56" s="59" t="s">
        <v>1048</v>
      </c>
      <c r="B56" s="743"/>
      <c r="C56" s="743"/>
      <c r="D56" s="1088"/>
      <c r="E56" s="756" t="s">
        <v>893</v>
      </c>
      <c r="F56" s="756" t="s">
        <v>1055</v>
      </c>
      <c r="G56" s="756"/>
      <c r="H56" s="756" t="s">
        <v>1054</v>
      </c>
      <c r="I56" s="757"/>
      <c r="J56" s="756" t="s">
        <v>822</v>
      </c>
      <c r="K56" s="756" t="s">
        <v>1091</v>
      </c>
    </row>
    <row r="57" spans="1:12" ht="13.5" customHeight="1">
      <c r="A57" s="59" t="s">
        <v>1048</v>
      </c>
      <c r="B57" s="743"/>
      <c r="C57" s="743"/>
      <c r="D57" s="1088"/>
      <c r="E57" s="756" t="s">
        <v>1056</v>
      </c>
      <c r="F57" s="756" t="s">
        <v>1057</v>
      </c>
      <c r="G57" s="756"/>
      <c r="H57" s="756" t="s">
        <v>822</v>
      </c>
      <c r="I57" s="757"/>
      <c r="J57" s="756" t="s">
        <v>1058</v>
      </c>
      <c r="K57" s="756" t="s">
        <v>1054</v>
      </c>
    </row>
    <row r="58" spans="1:12" ht="13.5" customHeight="1">
      <c r="A58" s="59" t="s">
        <v>1048</v>
      </c>
      <c r="B58" s="743"/>
      <c r="C58" s="743"/>
      <c r="D58" s="1088"/>
      <c r="E58" s="756" t="s">
        <v>1059</v>
      </c>
      <c r="F58" s="756" t="s">
        <v>1060</v>
      </c>
      <c r="G58" s="756"/>
      <c r="H58" s="756" t="s">
        <v>1058</v>
      </c>
      <c r="I58" s="757"/>
      <c r="J58" s="756" t="s">
        <v>858</v>
      </c>
      <c r="K58" s="756" t="s">
        <v>1061</v>
      </c>
    </row>
    <row r="59" spans="1:12" ht="13.5" customHeight="1">
      <c r="A59" s="59" t="s">
        <v>1048</v>
      </c>
      <c r="B59" s="743"/>
      <c r="C59" s="743"/>
      <c r="D59" s="1088"/>
      <c r="E59" s="756" t="s">
        <v>1061</v>
      </c>
      <c r="F59" s="756" t="s">
        <v>1062</v>
      </c>
      <c r="G59" s="756"/>
      <c r="H59" s="756" t="s">
        <v>879</v>
      </c>
      <c r="I59" s="757"/>
      <c r="J59" s="756" t="s">
        <v>833</v>
      </c>
      <c r="K59" s="756" t="s">
        <v>1072</v>
      </c>
    </row>
    <row r="60" spans="1:12" ht="13.5" customHeight="1">
      <c r="A60" s="59" t="s">
        <v>1048</v>
      </c>
      <c r="B60" s="743"/>
      <c r="C60" s="743"/>
      <c r="D60" s="1088"/>
      <c r="E60" s="756" t="s">
        <v>1063</v>
      </c>
      <c r="F60" s="756" t="s">
        <v>1064</v>
      </c>
      <c r="G60" s="756"/>
      <c r="H60" s="756" t="s">
        <v>1065</v>
      </c>
      <c r="I60" s="757"/>
      <c r="J60" s="756" t="s">
        <v>1059</v>
      </c>
      <c r="K60" s="756" t="s">
        <v>1059</v>
      </c>
    </row>
    <row r="61" spans="1:12" ht="13.5" customHeight="1">
      <c r="A61" s="59" t="s">
        <v>1048</v>
      </c>
      <c r="B61" s="743"/>
      <c r="C61" s="743"/>
      <c r="D61" s="1088"/>
      <c r="E61" s="756" t="s">
        <v>1066</v>
      </c>
      <c r="F61" s="756" t="s">
        <v>1067</v>
      </c>
      <c r="G61" s="756"/>
      <c r="H61" s="756" t="s">
        <v>1059</v>
      </c>
      <c r="I61" s="757"/>
      <c r="J61" s="756" t="s">
        <v>1061</v>
      </c>
      <c r="K61" s="756" t="s">
        <v>1050</v>
      </c>
    </row>
    <row r="62" spans="1:12" ht="13.5" customHeight="1">
      <c r="A62" s="59" t="s">
        <v>1048</v>
      </c>
      <c r="B62" s="743"/>
      <c r="C62" s="743"/>
      <c r="D62" s="1088"/>
      <c r="E62" s="756" t="s">
        <v>967</v>
      </c>
      <c r="F62" s="756" t="s">
        <v>1068</v>
      </c>
      <c r="G62" s="756"/>
      <c r="H62" s="756" t="s">
        <v>1061</v>
      </c>
      <c r="I62" s="757"/>
      <c r="J62" s="756" t="s">
        <v>803</v>
      </c>
      <c r="K62" s="756" t="s">
        <v>1318</v>
      </c>
    </row>
    <row r="63" spans="1:12" ht="13.5" customHeight="1">
      <c r="A63" s="59" t="s">
        <v>1048</v>
      </c>
      <c r="B63" s="743"/>
      <c r="C63" s="743"/>
      <c r="D63" s="1088"/>
      <c r="E63" s="756" t="s">
        <v>1069</v>
      </c>
      <c r="F63" s="756" t="s">
        <v>1070</v>
      </c>
      <c r="G63" s="756"/>
      <c r="H63" s="756" t="s">
        <v>1071</v>
      </c>
      <c r="I63" s="757"/>
      <c r="J63" s="756" t="s">
        <v>1072</v>
      </c>
      <c r="K63" s="756" t="s">
        <v>839</v>
      </c>
    </row>
    <row r="64" spans="1:12" ht="13.5" customHeight="1">
      <c r="A64" s="59" t="s">
        <v>1048</v>
      </c>
      <c r="B64" s="743"/>
      <c r="C64" s="743"/>
      <c r="D64" s="1088"/>
      <c r="E64" s="756" t="s">
        <v>1073</v>
      </c>
      <c r="F64" s="756" t="s">
        <v>1074</v>
      </c>
      <c r="G64" s="756"/>
      <c r="H64" s="756" t="s">
        <v>1072</v>
      </c>
      <c r="I64" s="757"/>
      <c r="J64" s="756" t="s">
        <v>839</v>
      </c>
      <c r="K64" s="756" t="s">
        <v>1319</v>
      </c>
    </row>
    <row r="65" spans="1:12" ht="13.5" customHeight="1">
      <c r="A65" s="59" t="s">
        <v>1048</v>
      </c>
      <c r="B65" s="743"/>
      <c r="C65" s="743"/>
      <c r="D65" s="1088"/>
      <c r="E65" s="756" t="s">
        <v>1075</v>
      </c>
      <c r="F65" s="756" t="s">
        <v>1076</v>
      </c>
      <c r="G65" s="756"/>
      <c r="H65" s="756" t="s">
        <v>1077</v>
      </c>
      <c r="I65" s="757"/>
      <c r="J65" s="756" t="s">
        <v>1077</v>
      </c>
      <c r="K65" s="756" t="s">
        <v>893</v>
      </c>
    </row>
    <row r="66" spans="1:12" ht="13.5" customHeight="1">
      <c r="A66" s="59" t="s">
        <v>1048</v>
      </c>
      <c r="B66" s="743"/>
      <c r="C66" s="743"/>
      <c r="D66" s="1088"/>
      <c r="E66" s="756" t="s">
        <v>1078</v>
      </c>
      <c r="F66" s="756" t="s">
        <v>1079</v>
      </c>
      <c r="G66" s="756"/>
      <c r="H66" s="756" t="s">
        <v>1073</v>
      </c>
      <c r="I66" s="757"/>
      <c r="J66" s="756" t="s">
        <v>844</v>
      </c>
      <c r="K66" s="756" t="s">
        <v>1320</v>
      </c>
    </row>
    <row r="67" spans="1:12" ht="13.5" customHeight="1">
      <c r="A67" s="59" t="s">
        <v>1048</v>
      </c>
      <c r="B67" s="743"/>
      <c r="C67" s="743"/>
      <c r="D67" s="1088"/>
      <c r="E67" s="756" t="s">
        <v>1080</v>
      </c>
      <c r="F67" s="756" t="s">
        <v>1081</v>
      </c>
      <c r="G67" s="756"/>
      <c r="H67" s="756" t="s">
        <v>1082</v>
      </c>
      <c r="I67" s="757"/>
      <c r="J67" s="756" t="s">
        <v>1073</v>
      </c>
      <c r="K67" s="756" t="s">
        <v>1321</v>
      </c>
    </row>
    <row r="68" spans="1:12" ht="13.5" customHeight="1">
      <c r="A68" s="59" t="s">
        <v>1048</v>
      </c>
      <c r="B68" s="743"/>
      <c r="C68" s="743"/>
      <c r="D68" s="1088"/>
      <c r="E68" s="756" t="s">
        <v>1083</v>
      </c>
      <c r="F68" s="756" t="s">
        <v>1084</v>
      </c>
      <c r="G68" s="756"/>
      <c r="H68" s="756" t="s">
        <v>1085</v>
      </c>
      <c r="I68" s="757"/>
      <c r="J68" s="756" t="s">
        <v>1082</v>
      </c>
      <c r="K68" s="756" t="s">
        <v>1323</v>
      </c>
    </row>
    <row r="69" spans="1:12" ht="13.5" customHeight="1">
      <c r="A69" s="59" t="s">
        <v>1048</v>
      </c>
      <c r="B69" s="743"/>
      <c r="C69" s="743"/>
      <c r="D69" s="1088"/>
      <c r="E69" s="1088"/>
      <c r="F69" s="756" t="s">
        <v>1086</v>
      </c>
      <c r="G69" s="756"/>
      <c r="H69" s="756" t="s">
        <v>1087</v>
      </c>
      <c r="I69" s="757"/>
      <c r="J69" s="756" t="s">
        <v>1087</v>
      </c>
      <c r="K69" s="756" t="s">
        <v>1322</v>
      </c>
    </row>
    <row r="70" spans="1:12" ht="13.5" customHeight="1">
      <c r="A70" s="59" t="s">
        <v>1048</v>
      </c>
      <c r="B70" s="743"/>
      <c r="C70" s="743"/>
      <c r="D70" s="1088"/>
      <c r="E70" s="1088"/>
      <c r="F70" s="756" t="s">
        <v>1088</v>
      </c>
      <c r="G70" s="756"/>
      <c r="H70" s="756" t="s">
        <v>1089</v>
      </c>
      <c r="I70" s="757"/>
      <c r="J70" s="756" t="s">
        <v>1089</v>
      </c>
      <c r="K70" s="756" t="s">
        <v>1324</v>
      </c>
    </row>
    <row r="71" spans="1:12" ht="13.5" customHeight="1">
      <c r="A71" s="59" t="s">
        <v>1048</v>
      </c>
      <c r="B71" s="743"/>
      <c r="C71" s="743"/>
      <c r="D71" s="1088"/>
      <c r="E71" s="1088"/>
      <c r="F71" s="756" t="s">
        <v>1090</v>
      </c>
      <c r="G71" s="756"/>
      <c r="H71" s="756" t="s">
        <v>1091</v>
      </c>
      <c r="I71" s="757"/>
      <c r="J71" s="756" t="s">
        <v>1091</v>
      </c>
      <c r="K71" s="756" t="s">
        <v>1325</v>
      </c>
    </row>
    <row r="72" spans="1:12" ht="13.5" customHeight="1">
      <c r="A72" s="59" t="s">
        <v>1048</v>
      </c>
      <c r="B72" s="743"/>
      <c r="C72" s="743"/>
      <c r="D72" s="1088"/>
      <c r="E72" s="1088"/>
      <c r="F72" s="756" t="s">
        <v>1092</v>
      </c>
      <c r="G72" s="756"/>
      <c r="H72" s="756"/>
      <c r="I72" s="757"/>
      <c r="J72" s="756"/>
      <c r="K72" s="756"/>
    </row>
    <row r="73" spans="1:12" ht="13.5" customHeight="1">
      <c r="A73" s="59" t="s">
        <v>1048</v>
      </c>
      <c r="B73" s="743"/>
      <c r="C73" s="743"/>
      <c r="D73" s="1088"/>
      <c r="E73" s="1088"/>
      <c r="F73" s="756" t="s">
        <v>1093</v>
      </c>
      <c r="G73" s="756"/>
      <c r="H73" s="756"/>
      <c r="I73" s="757"/>
      <c r="J73" s="756"/>
      <c r="K73" s="756"/>
    </row>
    <row r="74" spans="1:12" ht="13.5" customHeight="1">
      <c r="A74" s="59" t="s">
        <v>1048</v>
      </c>
      <c r="B74" s="743"/>
      <c r="C74" s="743"/>
      <c r="D74" s="1088"/>
      <c r="E74" s="1088"/>
      <c r="F74" s="756" t="s">
        <v>1094</v>
      </c>
      <c r="G74" s="756"/>
      <c r="H74" s="756"/>
      <c r="I74" s="757"/>
      <c r="J74" s="756"/>
      <c r="K74" s="756"/>
    </row>
    <row r="75" spans="1:12" ht="13.5" customHeight="1">
      <c r="A75" s="59" t="s">
        <v>1048</v>
      </c>
      <c r="B75" s="743"/>
      <c r="C75" s="743"/>
      <c r="D75" s="1088"/>
      <c r="E75" s="1088"/>
      <c r="F75" s="756" t="s">
        <v>1095</v>
      </c>
      <c r="G75" s="756"/>
      <c r="H75" s="756"/>
      <c r="I75" s="757"/>
      <c r="J75" s="756"/>
      <c r="K75" s="756"/>
    </row>
    <row r="76" spans="1:12" ht="13.5" customHeight="1">
      <c r="A76" s="59" t="s">
        <v>1048</v>
      </c>
      <c r="B76" s="743"/>
      <c r="C76" s="743"/>
      <c r="D76" s="1088"/>
      <c r="E76" s="1088"/>
      <c r="F76" s="756" t="s">
        <v>1096</v>
      </c>
      <c r="G76" s="756"/>
      <c r="H76" s="756"/>
      <c r="I76" s="757"/>
      <c r="J76" s="756"/>
      <c r="K76" s="756"/>
    </row>
    <row r="77" spans="1:12" ht="13.5" customHeight="1">
      <c r="A77" s="743"/>
      <c r="B77" s="743"/>
      <c r="C77" s="743"/>
      <c r="D77" s="743"/>
      <c r="E77" s="743"/>
      <c r="F77" s="743"/>
      <c r="G77" s="743"/>
      <c r="H77" s="756"/>
      <c r="I77" s="757"/>
      <c r="J77" s="756"/>
      <c r="K77" s="756"/>
    </row>
    <row r="78" spans="1:12" ht="13.5" customHeight="1">
      <c r="A78" s="727" t="s">
        <v>1097</v>
      </c>
      <c r="B78" s="728"/>
      <c r="C78" s="728"/>
      <c r="D78" s="728"/>
      <c r="E78" s="728"/>
      <c r="F78" s="728"/>
      <c r="G78" s="728"/>
      <c r="H78" s="728"/>
      <c r="I78" s="729"/>
      <c r="J78" s="728"/>
      <c r="K78" s="728"/>
      <c r="L78" s="728"/>
    </row>
    <row r="79" spans="1:12" ht="13.5" customHeight="1">
      <c r="A79" s="574" t="s">
        <v>1098</v>
      </c>
      <c r="B79" s="574" t="s">
        <v>1099</v>
      </c>
      <c r="C79" s="574"/>
      <c r="D79" s="574"/>
      <c r="E79" s="24"/>
      <c r="F79" s="574"/>
      <c r="G79" s="574"/>
      <c r="H79" s="574"/>
      <c r="I79" s="574"/>
      <c r="J79" s="574"/>
      <c r="K79" s="574"/>
    </row>
    <row r="80" spans="1:12" ht="13.5" customHeight="1">
      <c r="A80" s="574" t="s">
        <v>1100</v>
      </c>
      <c r="B80" s="758" t="s">
        <v>1101</v>
      </c>
      <c r="C80" s="758"/>
      <c r="D80" s="758"/>
      <c r="E80" s="758"/>
      <c r="F80" s="574" t="s">
        <v>1102</v>
      </c>
      <c r="G80" s="574"/>
      <c r="H80" s="574"/>
      <c r="I80" s="574"/>
      <c r="J80" s="574"/>
      <c r="K80" s="574"/>
    </row>
    <row r="81" spans="1:12" ht="13.5" customHeight="1">
      <c r="A81" s="743"/>
      <c r="B81" s="743"/>
      <c r="C81" s="743"/>
      <c r="D81" s="743"/>
      <c r="E81" s="743"/>
      <c r="F81" s="743"/>
      <c r="G81" s="743"/>
      <c r="H81" s="743"/>
      <c r="I81" s="744"/>
      <c r="J81" s="743"/>
      <c r="K81" s="743"/>
    </row>
    <row r="82" spans="1:12" ht="13.5" customHeight="1">
      <c r="A82" s="727" t="s">
        <v>1103</v>
      </c>
      <c r="B82" s="728">
        <v>2018</v>
      </c>
      <c r="C82" s="728">
        <v>2019</v>
      </c>
      <c r="D82" s="728">
        <v>2020</v>
      </c>
      <c r="E82" s="728">
        <v>2021</v>
      </c>
      <c r="F82" s="728">
        <v>2022</v>
      </c>
      <c r="G82" s="728"/>
      <c r="H82" s="728">
        <v>2023</v>
      </c>
      <c r="I82" s="729"/>
      <c r="J82" s="728">
        <v>2024</v>
      </c>
      <c r="K82" s="728">
        <v>2025</v>
      </c>
      <c r="L82" s="728"/>
    </row>
    <row r="83" spans="1:12" ht="13.5" customHeight="1">
      <c r="A83" s="59" t="s">
        <v>359</v>
      </c>
      <c r="B83" s="745">
        <v>0.22</v>
      </c>
      <c r="C83" s="745">
        <v>0.22</v>
      </c>
      <c r="D83" s="745">
        <v>0.17</v>
      </c>
      <c r="E83" s="745">
        <v>0.15</v>
      </c>
      <c r="F83" s="745">
        <v>0.2</v>
      </c>
      <c r="G83" s="745"/>
      <c r="H83" s="745">
        <v>0.19</v>
      </c>
      <c r="I83" s="746"/>
      <c r="J83" s="745">
        <v>0.17</v>
      </c>
      <c r="K83" s="745">
        <v>0.19</v>
      </c>
    </row>
    <row r="84" spans="1:12" ht="13.5" customHeight="1">
      <c r="A84" s="59" t="s">
        <v>1104</v>
      </c>
      <c r="B84" s="745">
        <v>0</v>
      </c>
      <c r="C84" s="745">
        <v>0</v>
      </c>
      <c r="D84" s="745">
        <v>0</v>
      </c>
      <c r="E84" s="745">
        <v>0</v>
      </c>
      <c r="F84" s="745">
        <v>0.01</v>
      </c>
      <c r="G84" s="745"/>
      <c r="H84" s="745">
        <v>0.01</v>
      </c>
      <c r="I84" s="746"/>
      <c r="J84" s="745">
        <v>0.01</v>
      </c>
      <c r="K84" s="745">
        <v>0.04</v>
      </c>
    </row>
    <row r="85" spans="1:12" ht="13.5" customHeight="1">
      <c r="A85" s="747" t="s">
        <v>353</v>
      </c>
      <c r="B85" s="745">
        <v>0.51</v>
      </c>
      <c r="C85" s="745">
        <v>0.49</v>
      </c>
      <c r="D85" s="745">
        <v>0.44</v>
      </c>
      <c r="E85" s="745">
        <v>0.46</v>
      </c>
      <c r="F85" s="745">
        <v>0.46</v>
      </c>
      <c r="G85" s="745"/>
      <c r="H85" s="745">
        <v>0.37</v>
      </c>
      <c r="I85" s="746"/>
      <c r="J85" s="745">
        <v>0.33</v>
      </c>
      <c r="K85" s="745">
        <v>0.27</v>
      </c>
    </row>
    <row r="86" spans="1:12" ht="13.5" customHeight="1">
      <c r="A86" s="59" t="s">
        <v>1105</v>
      </c>
      <c r="B86" s="745">
        <v>0.01</v>
      </c>
      <c r="C86" s="745">
        <v>0.01</v>
      </c>
      <c r="D86" s="745">
        <v>0.06</v>
      </c>
      <c r="E86" s="745">
        <v>0.04</v>
      </c>
      <c r="F86" s="745">
        <v>0.04</v>
      </c>
      <c r="G86" s="745"/>
      <c r="H86" s="745">
        <v>0.11</v>
      </c>
      <c r="I86" s="746"/>
      <c r="J86" s="745">
        <v>0.15</v>
      </c>
      <c r="K86" s="745">
        <v>0.13</v>
      </c>
    </row>
    <row r="87" spans="1:12" ht="13.5" customHeight="1">
      <c r="A87" s="59" t="s">
        <v>355</v>
      </c>
      <c r="B87" s="745">
        <v>0.26</v>
      </c>
      <c r="C87" s="745">
        <v>0.28000000000000003</v>
      </c>
      <c r="D87" s="745">
        <v>0.33</v>
      </c>
      <c r="E87" s="745">
        <v>0.35</v>
      </c>
      <c r="F87" s="745">
        <v>0.28999999999999998</v>
      </c>
      <c r="G87" s="745"/>
      <c r="H87" s="745">
        <v>0.32</v>
      </c>
      <c r="I87" s="746"/>
      <c r="J87" s="745">
        <v>0.34</v>
      </c>
      <c r="K87" s="745">
        <v>0.37</v>
      </c>
    </row>
  </sheetData>
  <hyperlinks>
    <hyperlink ref="A2" location="'START PAGE'!A1" display="Back to start page" xr:uid="{E960B13C-98E2-4828-B149-84F354C4A8F5}"/>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6159-3B3C-47CB-9E1E-9C7EC59419FB}">
  <sheetPr>
    <tabColor rgb="FFFFCD00"/>
    <pageSetUpPr fitToPage="1"/>
  </sheetPr>
  <dimension ref="A1:AS50"/>
  <sheetViews>
    <sheetView showGridLines="0" workbookViewId="0"/>
  </sheetViews>
  <sheetFormatPr baseColWidth="10" defaultColWidth="10" defaultRowHeight="13.5" customHeight="1"/>
  <cols>
    <col min="1" max="1" width="36.6640625" bestFit="1" customWidth="1"/>
    <col min="2" max="2" width="28.5" bestFit="1" customWidth="1"/>
    <col min="3" max="3" width="26.33203125" bestFit="1" customWidth="1"/>
    <col min="4" max="4" width="16.33203125" bestFit="1" customWidth="1"/>
    <col min="5" max="5" width="17.33203125" bestFit="1" customWidth="1"/>
    <col min="6" max="6" width="16.6640625" bestFit="1" customWidth="1"/>
    <col min="7" max="7" width="16.33203125" bestFit="1" customWidth="1"/>
    <col min="8" max="8" width="32.6640625" customWidth="1"/>
    <col min="10" max="10" width="36.33203125" bestFit="1" customWidth="1"/>
    <col min="11" max="13" width="0" hidden="1" customWidth="1"/>
    <col min="14" max="36" width="10" style="950"/>
    <col min="37" max="37" width="38.5" bestFit="1" customWidth="1"/>
    <col min="39" max="39" width="35" bestFit="1" customWidth="1"/>
    <col min="40" max="40" width="29.6640625" bestFit="1" customWidth="1"/>
  </cols>
  <sheetData>
    <row r="1" spans="1:45" ht="17" thickBot="1">
      <c r="A1" s="759" t="s">
        <v>1106</v>
      </c>
      <c r="B1" s="759"/>
      <c r="C1" s="760"/>
      <c r="D1" s="760"/>
      <c r="E1" s="760"/>
      <c r="F1" s="761"/>
      <c r="G1" s="761"/>
      <c r="H1" s="760"/>
      <c r="I1" s="643"/>
      <c r="J1" s="643"/>
      <c r="K1" s="643"/>
      <c r="L1" s="643"/>
      <c r="M1" s="643"/>
      <c r="N1" s="919"/>
      <c r="O1" s="919"/>
      <c r="P1" s="919"/>
      <c r="Q1" s="919"/>
      <c r="R1" s="919"/>
      <c r="S1" s="919"/>
      <c r="T1" s="919"/>
      <c r="U1" s="920"/>
      <c r="V1" s="919"/>
      <c r="W1" s="919"/>
      <c r="X1" s="919"/>
      <c r="Y1" s="920"/>
      <c r="Z1" s="919"/>
      <c r="AA1" s="919"/>
      <c r="AB1" s="919"/>
      <c r="AC1" s="920"/>
      <c r="AD1" s="919"/>
      <c r="AE1" s="919"/>
      <c r="AF1" s="919"/>
      <c r="AG1" s="920"/>
      <c r="AH1" s="919"/>
      <c r="AI1" s="919"/>
      <c r="AJ1" s="919"/>
      <c r="AK1" s="643"/>
      <c r="AL1" s="762"/>
      <c r="AM1" s="643" t="s">
        <v>1107</v>
      </c>
      <c r="AN1" s="643"/>
      <c r="AO1" s="643"/>
      <c r="AP1" s="643"/>
      <c r="AQ1" s="643"/>
      <c r="AR1" s="643"/>
      <c r="AS1" s="643"/>
    </row>
    <row r="2" spans="1:45" ht="18" thickTop="1" thickBot="1">
      <c r="A2" s="18" t="s">
        <v>30</v>
      </c>
      <c r="B2" s="763"/>
      <c r="C2" s="763"/>
      <c r="D2" s="763"/>
      <c r="E2" s="763"/>
      <c r="F2" s="764"/>
      <c r="G2" s="764"/>
      <c r="H2" s="763"/>
      <c r="I2" s="765"/>
      <c r="J2" s="765"/>
      <c r="K2" s="765"/>
      <c r="L2" s="765"/>
      <c r="M2" s="765"/>
      <c r="N2" s="921"/>
      <c r="O2" s="921"/>
      <c r="P2" s="921"/>
      <c r="Q2" s="921"/>
      <c r="R2" s="921"/>
      <c r="S2" s="921"/>
      <c r="T2" s="921"/>
      <c r="U2" s="922"/>
      <c r="V2" s="921"/>
      <c r="W2" s="921"/>
      <c r="X2" s="921"/>
      <c r="Y2" s="922"/>
      <c r="Z2" s="921"/>
      <c r="AA2" s="921"/>
      <c r="AB2" s="921"/>
      <c r="AC2" s="922"/>
      <c r="AD2" s="921"/>
      <c r="AE2" s="921"/>
      <c r="AF2" s="921"/>
      <c r="AG2" s="922"/>
      <c r="AH2" s="921"/>
      <c r="AI2" s="921"/>
      <c r="AJ2" s="921"/>
      <c r="AK2" s="765"/>
      <c r="AL2" s="766"/>
      <c r="AM2" s="766"/>
      <c r="AN2" s="766"/>
      <c r="AO2" s="766"/>
      <c r="AP2" s="766"/>
      <c r="AQ2" s="766"/>
      <c r="AR2" s="766"/>
      <c r="AS2" s="766"/>
    </row>
    <row r="3" spans="1:45" ht="14.25" customHeight="1" thickTop="1">
      <c r="A3" s="767" t="s">
        <v>1108</v>
      </c>
      <c r="B3" s="767" t="s">
        <v>1109</v>
      </c>
      <c r="C3" s="767" t="s">
        <v>1110</v>
      </c>
      <c r="D3" s="767" t="s">
        <v>1111</v>
      </c>
      <c r="E3" s="767" t="s">
        <v>1112</v>
      </c>
      <c r="F3" s="768" t="s">
        <v>1113</v>
      </c>
      <c r="G3" s="768" t="s">
        <v>1114</v>
      </c>
      <c r="H3" s="767" t="s">
        <v>774</v>
      </c>
      <c r="I3" s="769"/>
      <c r="J3" s="770" t="s">
        <v>1115</v>
      </c>
      <c r="K3" s="771">
        <v>2018</v>
      </c>
      <c r="L3" s="771">
        <v>2019</v>
      </c>
      <c r="M3" s="771">
        <v>2020</v>
      </c>
      <c r="N3" s="771">
        <v>2021</v>
      </c>
      <c r="O3" s="771">
        <v>2022</v>
      </c>
      <c r="P3" s="771">
        <v>2023</v>
      </c>
      <c r="Q3" s="771">
        <v>2024</v>
      </c>
      <c r="R3" s="615"/>
      <c r="S3" s="771" t="s">
        <v>141</v>
      </c>
      <c r="T3" s="771" t="s">
        <v>142</v>
      </c>
      <c r="U3" s="772" t="s">
        <v>143</v>
      </c>
      <c r="V3" s="771" t="s">
        <v>144</v>
      </c>
      <c r="W3" s="771" t="s">
        <v>145</v>
      </c>
      <c r="X3" s="771" t="s">
        <v>146</v>
      </c>
      <c r="Y3" s="772" t="s">
        <v>147</v>
      </c>
      <c r="Z3" s="771" t="s">
        <v>148</v>
      </c>
      <c r="AA3" s="771" t="s">
        <v>149</v>
      </c>
      <c r="AB3" s="771" t="s">
        <v>150</v>
      </c>
      <c r="AC3" s="772" t="s">
        <v>151</v>
      </c>
      <c r="AD3" s="771" t="s">
        <v>152</v>
      </c>
      <c r="AE3" s="771" t="s">
        <v>153</v>
      </c>
      <c r="AF3" s="771" t="s">
        <v>154</v>
      </c>
      <c r="AG3" s="772" t="s">
        <v>155</v>
      </c>
      <c r="AH3" s="771" t="s">
        <v>156</v>
      </c>
      <c r="AI3" s="771" t="s">
        <v>157</v>
      </c>
      <c r="AJ3" s="771" t="s">
        <v>158</v>
      </c>
      <c r="AK3" s="770" t="str">
        <f>J3</f>
        <v>M&amp;A impact</v>
      </c>
      <c r="AL3" s="341"/>
      <c r="AM3" s="773"/>
      <c r="AN3" s="773"/>
      <c r="AO3" s="317" t="s">
        <v>152</v>
      </c>
      <c r="AP3" s="317" t="s">
        <v>153</v>
      </c>
      <c r="AQ3" s="317" t="s">
        <v>154</v>
      </c>
      <c r="AR3" s="317" t="s">
        <v>155</v>
      </c>
      <c r="AS3" s="774" t="s">
        <v>19</v>
      </c>
    </row>
    <row r="4" spans="1:45" ht="14.25" customHeight="1">
      <c r="A4" s="1115" t="s">
        <v>1273</v>
      </c>
      <c r="B4" s="1116" t="s">
        <v>1274</v>
      </c>
      <c r="C4" s="1115"/>
      <c r="D4" s="1117" t="s">
        <v>293</v>
      </c>
      <c r="E4" s="1115" t="s">
        <v>335</v>
      </c>
      <c r="F4" s="1118">
        <v>160</v>
      </c>
      <c r="G4" s="1118">
        <v>120</v>
      </c>
      <c r="H4" s="1115"/>
      <c r="I4" s="769"/>
      <c r="J4" s="779" t="s">
        <v>1118</v>
      </c>
      <c r="K4" s="780"/>
      <c r="L4" s="780"/>
      <c r="M4" s="780"/>
      <c r="N4" s="923"/>
      <c r="O4" s="923"/>
      <c r="P4" s="923"/>
      <c r="Q4" s="923"/>
      <c r="R4" s="615"/>
      <c r="S4" s="923"/>
      <c r="T4" s="923"/>
      <c r="U4" s="924"/>
      <c r="V4" s="923"/>
      <c r="W4" s="923"/>
      <c r="X4" s="923"/>
      <c r="Y4" s="924"/>
      <c r="Z4" s="923"/>
      <c r="AA4" s="923"/>
      <c r="AB4" s="923"/>
      <c r="AC4" s="924"/>
      <c r="AD4" s="923"/>
      <c r="AE4" s="923"/>
      <c r="AF4" s="923"/>
      <c r="AG4" s="924"/>
      <c r="AH4" s="923"/>
      <c r="AI4" s="923"/>
      <c r="AJ4" s="923"/>
      <c r="AK4" s="779" t="s">
        <v>1119</v>
      </c>
      <c r="AL4" s="341"/>
      <c r="AM4" s="645" t="s">
        <v>197</v>
      </c>
      <c r="AN4" s="645" t="s">
        <v>1120</v>
      </c>
      <c r="AO4" s="371">
        <v>14143</v>
      </c>
      <c r="AP4" s="371">
        <v>16511</v>
      </c>
      <c r="AQ4" s="371">
        <v>15699</v>
      </c>
      <c r="AR4" s="371">
        <v>17251</v>
      </c>
      <c r="AS4" s="781">
        <f t="shared" ref="AS4:AS16" si="0">SUM(AO4:AR4)</f>
        <v>63604</v>
      </c>
    </row>
    <row r="5" spans="1:45" ht="13">
      <c r="A5" s="775">
        <v>45749</v>
      </c>
      <c r="B5" s="776" t="s">
        <v>1116</v>
      </c>
      <c r="C5" s="777"/>
      <c r="D5" s="777" t="s">
        <v>293</v>
      </c>
      <c r="E5" s="777" t="s">
        <v>335</v>
      </c>
      <c r="F5" s="778">
        <v>1330</v>
      </c>
      <c r="G5" s="778">
        <v>145</v>
      </c>
      <c r="H5" s="777" t="s">
        <v>1117</v>
      </c>
      <c r="I5" s="769"/>
      <c r="J5" s="574" t="s">
        <v>1124</v>
      </c>
      <c r="K5" s="574"/>
      <c r="L5" s="574"/>
      <c r="M5" s="574"/>
      <c r="N5" s="615">
        <v>641</v>
      </c>
      <c r="O5" s="615">
        <v>599</v>
      </c>
      <c r="P5" s="615">
        <v>1981</v>
      </c>
      <c r="Q5" s="615">
        <v>2807</v>
      </c>
      <c r="R5" s="615"/>
      <c r="S5" s="615">
        <v>39</v>
      </c>
      <c r="T5" s="615">
        <v>307</v>
      </c>
      <c r="U5" s="614">
        <v>641</v>
      </c>
      <c r="V5" s="615">
        <v>0</v>
      </c>
      <c r="W5" s="615">
        <v>23</v>
      </c>
      <c r="X5" s="615">
        <v>148</v>
      </c>
      <c r="Y5" s="614">
        <v>599</v>
      </c>
      <c r="Z5" s="615">
        <v>250</v>
      </c>
      <c r="AA5" s="615">
        <v>892</v>
      </c>
      <c r="AB5" s="615">
        <v>1472</v>
      </c>
      <c r="AC5" s="614">
        <v>1981</v>
      </c>
      <c r="AD5" s="615">
        <v>0</v>
      </c>
      <c r="AE5" s="925">
        <v>986</v>
      </c>
      <c r="AF5" s="925">
        <v>1887</v>
      </c>
      <c r="AG5" s="787">
        <v>2807</v>
      </c>
      <c r="AH5" s="615" t="s">
        <v>1125</v>
      </c>
      <c r="AI5" s="615" t="s">
        <v>1125</v>
      </c>
      <c r="AJ5" s="615" t="s">
        <v>1125</v>
      </c>
      <c r="AK5" s="574" t="s">
        <v>1124</v>
      </c>
      <c r="AL5" s="341"/>
      <c r="AM5" s="318"/>
      <c r="AN5" s="318" t="s">
        <v>1123</v>
      </c>
      <c r="AO5" s="788">
        <v>2949</v>
      </c>
      <c r="AP5" s="788">
        <v>3991</v>
      </c>
      <c r="AQ5" s="788">
        <v>3809</v>
      </c>
      <c r="AR5" s="788">
        <v>3891</v>
      </c>
      <c r="AS5" s="789">
        <f t="shared" si="0"/>
        <v>14640</v>
      </c>
    </row>
    <row r="6" spans="1:45" ht="14.25" customHeight="1">
      <c r="A6" s="782">
        <v>45539</v>
      </c>
      <c r="B6" s="783" t="s">
        <v>1121</v>
      </c>
      <c r="C6" s="784"/>
      <c r="D6" s="784" t="s">
        <v>1122</v>
      </c>
      <c r="E6" s="784" t="s">
        <v>1123</v>
      </c>
      <c r="F6" s="785">
        <v>365</v>
      </c>
      <c r="G6" s="785">
        <v>140</v>
      </c>
      <c r="H6" s="786"/>
      <c r="I6" s="769"/>
      <c r="J6" s="574" t="s">
        <v>1129</v>
      </c>
      <c r="K6" s="574"/>
      <c r="L6" s="574"/>
      <c r="M6" s="574"/>
      <c r="N6" s="615">
        <v>-56</v>
      </c>
      <c r="O6" s="615">
        <v>28</v>
      </c>
      <c r="P6" s="615">
        <v>244</v>
      </c>
      <c r="Q6" s="615">
        <v>-3</v>
      </c>
      <c r="R6" s="615"/>
      <c r="S6" s="615">
        <f>S5-R5</f>
        <v>39</v>
      </c>
      <c r="T6" s="615">
        <f>T5-S5</f>
        <v>268</v>
      </c>
      <c r="U6" s="614">
        <f>U5-T5</f>
        <v>334</v>
      </c>
      <c r="V6" s="615">
        <f>V5</f>
        <v>0</v>
      </c>
      <c r="W6" s="615">
        <f>W5-V5</f>
        <v>23</v>
      </c>
      <c r="X6" s="615">
        <f>X5-W5</f>
        <v>125</v>
      </c>
      <c r="Y6" s="614">
        <f>Y5-X5</f>
        <v>451</v>
      </c>
      <c r="Z6" s="615">
        <f>Z5</f>
        <v>250</v>
      </c>
      <c r="AA6" s="615">
        <f>AA5-Z5</f>
        <v>642</v>
      </c>
      <c r="AB6" s="615">
        <f>AB5-AA5</f>
        <v>580</v>
      </c>
      <c r="AC6" s="614">
        <f>AC5-AB5</f>
        <v>509</v>
      </c>
      <c r="AD6" s="615">
        <v>0</v>
      </c>
      <c r="AE6" s="925">
        <v>51</v>
      </c>
      <c r="AF6" s="925">
        <v>41</v>
      </c>
      <c r="AG6" s="792">
        <v>-3</v>
      </c>
      <c r="AH6" s="615" t="s">
        <v>1125</v>
      </c>
      <c r="AI6" s="615" t="s">
        <v>1125</v>
      </c>
      <c r="AJ6" s="615" t="s">
        <v>1125</v>
      </c>
      <c r="AK6" s="574" t="s">
        <v>1129</v>
      </c>
      <c r="AL6" s="341"/>
      <c r="AM6" s="645" t="s">
        <v>1130</v>
      </c>
      <c r="AN6" s="645" t="s">
        <v>1120</v>
      </c>
      <c r="AO6" s="371">
        <v>2760</v>
      </c>
      <c r="AP6" s="371">
        <v>2921</v>
      </c>
      <c r="AQ6" s="371">
        <v>3277</v>
      </c>
      <c r="AR6" s="371">
        <v>3427</v>
      </c>
      <c r="AS6" s="781">
        <f t="shared" si="0"/>
        <v>12385</v>
      </c>
    </row>
    <row r="7" spans="1:45" ht="14.25" customHeight="1">
      <c r="A7" s="782">
        <v>45476</v>
      </c>
      <c r="B7" s="783" t="s">
        <v>1126</v>
      </c>
      <c r="C7" s="784"/>
      <c r="D7" s="784" t="s">
        <v>293</v>
      </c>
      <c r="E7" s="784" t="s">
        <v>1127</v>
      </c>
      <c r="F7" s="785">
        <v>300</v>
      </c>
      <c r="G7" s="790" t="s">
        <v>1125</v>
      </c>
      <c r="H7" s="791" t="s">
        <v>1128</v>
      </c>
      <c r="I7" s="769"/>
      <c r="J7" s="574" t="s">
        <v>1132</v>
      </c>
      <c r="K7" s="574"/>
      <c r="L7" s="574"/>
      <c r="M7" s="574"/>
      <c r="N7" s="615"/>
      <c r="O7" s="615"/>
      <c r="P7" s="615"/>
      <c r="Q7" s="615"/>
      <c r="R7" s="615"/>
      <c r="S7" s="615">
        <v>-7</v>
      </c>
      <c r="T7" s="615">
        <v>-28</v>
      </c>
      <c r="U7" s="614">
        <v>-56</v>
      </c>
      <c r="V7" s="615">
        <v>0</v>
      </c>
      <c r="W7" s="615">
        <v>0.2</v>
      </c>
      <c r="X7" s="615">
        <v>23</v>
      </c>
      <c r="Y7" s="614">
        <v>28</v>
      </c>
      <c r="Z7" s="615">
        <v>13</v>
      </c>
      <c r="AA7" s="615">
        <v>119</v>
      </c>
      <c r="AB7" s="615">
        <v>199</v>
      </c>
      <c r="AC7" s="614">
        <v>244</v>
      </c>
      <c r="AD7" s="615">
        <v>0</v>
      </c>
      <c r="AE7" s="925">
        <v>986</v>
      </c>
      <c r="AF7" s="925">
        <f>AF5-AE5</f>
        <v>901</v>
      </c>
      <c r="AG7" s="787">
        <f>AG5-AF5</f>
        <v>920</v>
      </c>
      <c r="AH7" s="615" t="s">
        <v>1125</v>
      </c>
      <c r="AI7" s="615" t="s">
        <v>1125</v>
      </c>
      <c r="AJ7" s="615" t="s">
        <v>1125</v>
      </c>
      <c r="AK7" s="574" t="s">
        <v>1132</v>
      </c>
      <c r="AL7" s="341"/>
      <c r="AM7" s="318"/>
      <c r="AN7" s="318" t="s">
        <v>1123</v>
      </c>
      <c r="AO7" s="788">
        <v>335</v>
      </c>
      <c r="AP7" s="788">
        <v>283</v>
      </c>
      <c r="AQ7" s="788">
        <v>429</v>
      </c>
      <c r="AR7" s="788">
        <v>326</v>
      </c>
      <c r="AS7" s="789">
        <f t="shared" si="0"/>
        <v>1373</v>
      </c>
    </row>
    <row r="8" spans="1:45" ht="14.25" customHeight="1">
      <c r="A8" s="782">
        <v>45460</v>
      </c>
      <c r="B8" s="783" t="s">
        <v>1131</v>
      </c>
      <c r="C8" s="784"/>
      <c r="D8" s="784" t="s">
        <v>1122</v>
      </c>
      <c r="E8" s="784" t="s">
        <v>1123</v>
      </c>
      <c r="F8" s="793" t="s">
        <v>1125</v>
      </c>
      <c r="G8" s="785">
        <v>10</v>
      </c>
      <c r="H8" s="786"/>
      <c r="I8" s="769"/>
      <c r="J8" s="574" t="s">
        <v>1134</v>
      </c>
      <c r="K8" s="574"/>
      <c r="L8" s="574"/>
      <c r="M8" s="574"/>
      <c r="N8" s="615"/>
      <c r="O8" s="615"/>
      <c r="P8" s="615"/>
      <c r="Q8" s="615"/>
      <c r="R8" s="615"/>
      <c r="S8" s="615">
        <f>S7-R7</f>
        <v>-7</v>
      </c>
      <c r="T8" s="615">
        <f>T7-S7</f>
        <v>-21</v>
      </c>
      <c r="U8" s="614">
        <f>U7-T7</f>
        <v>-28</v>
      </c>
      <c r="V8" s="615">
        <f>V7</f>
        <v>0</v>
      </c>
      <c r="W8" s="615">
        <f>W7-V7</f>
        <v>0.2</v>
      </c>
      <c r="X8" s="615">
        <f>X7-W7</f>
        <v>22.8</v>
      </c>
      <c r="Y8" s="614">
        <f>Y7-X7</f>
        <v>5</v>
      </c>
      <c r="Z8" s="615">
        <f>Z7</f>
        <v>13</v>
      </c>
      <c r="AA8" s="615">
        <f>AA7-Z7</f>
        <v>106</v>
      </c>
      <c r="AB8" s="615">
        <f>AB7-AA7</f>
        <v>80</v>
      </c>
      <c r="AC8" s="614">
        <f>AC7-AB7</f>
        <v>45</v>
      </c>
      <c r="AD8" s="615">
        <v>0</v>
      </c>
      <c r="AE8" s="925">
        <v>51</v>
      </c>
      <c r="AF8" s="926">
        <f>AF6-AE6</f>
        <v>-10</v>
      </c>
      <c r="AG8" s="792">
        <f>AG6-AF6</f>
        <v>-44</v>
      </c>
      <c r="AH8" s="615" t="s">
        <v>1125</v>
      </c>
      <c r="AI8" s="615" t="s">
        <v>1125</v>
      </c>
      <c r="AJ8" s="615" t="s">
        <v>1125</v>
      </c>
      <c r="AK8" s="574" t="s">
        <v>1134</v>
      </c>
      <c r="AL8" s="341"/>
      <c r="AM8" s="645" t="s">
        <v>58</v>
      </c>
      <c r="AN8" s="645" t="s">
        <v>1120</v>
      </c>
      <c r="AO8" s="371">
        <v>2976</v>
      </c>
      <c r="AP8" s="371">
        <v>3192</v>
      </c>
      <c r="AQ8" s="371">
        <v>3896</v>
      </c>
      <c r="AR8" s="371">
        <v>3704</v>
      </c>
      <c r="AS8" s="781">
        <f t="shared" si="0"/>
        <v>13768</v>
      </c>
    </row>
    <row r="9" spans="1:45" ht="14.25" customHeight="1">
      <c r="A9" s="782">
        <v>45415</v>
      </c>
      <c r="B9" s="783" t="s">
        <v>1133</v>
      </c>
      <c r="C9" s="784"/>
      <c r="D9" s="784" t="s">
        <v>293</v>
      </c>
      <c r="E9" s="784" t="s">
        <v>295</v>
      </c>
      <c r="F9" s="785">
        <v>90</v>
      </c>
      <c r="G9" s="785">
        <v>80</v>
      </c>
      <c r="H9" s="794"/>
      <c r="I9" s="769"/>
      <c r="J9" s="574" t="s">
        <v>1136</v>
      </c>
      <c r="K9" s="574"/>
      <c r="L9" s="574"/>
      <c r="M9" s="574"/>
      <c r="N9" s="927">
        <f>N6/N5</f>
        <v>-8.7363494539781594E-2</v>
      </c>
      <c r="O9" s="927">
        <f>O6/O5</f>
        <v>4.6744574290484141E-2</v>
      </c>
      <c r="P9" s="927">
        <f>P6/P5</f>
        <v>0.12317011610297829</v>
      </c>
      <c r="Q9" s="927">
        <f>Q6/Q5</f>
        <v>-1.0687566797292483E-3</v>
      </c>
      <c r="R9" s="615"/>
      <c r="S9" s="927">
        <f>S8/S6</f>
        <v>-0.17948717948717949</v>
      </c>
      <c r="T9" s="927">
        <f>T8/T6</f>
        <v>-7.8358208955223885E-2</v>
      </c>
      <c r="U9" s="800">
        <f>U8/U6</f>
        <v>-8.3832335329341312E-2</v>
      </c>
      <c r="V9" s="927">
        <v>0</v>
      </c>
      <c r="W9" s="927">
        <f t="shared" ref="W9:AC9" si="1">W8/W6</f>
        <v>8.6956521739130436E-3</v>
      </c>
      <c r="X9" s="927">
        <f t="shared" si="1"/>
        <v>0.18240000000000001</v>
      </c>
      <c r="Y9" s="800">
        <f t="shared" si="1"/>
        <v>1.1086474501108648E-2</v>
      </c>
      <c r="Z9" s="927">
        <f t="shared" si="1"/>
        <v>5.1999999999999998E-2</v>
      </c>
      <c r="AA9" s="927">
        <f t="shared" si="1"/>
        <v>0.16510903426791276</v>
      </c>
      <c r="AB9" s="927">
        <f t="shared" si="1"/>
        <v>0.13793103448275862</v>
      </c>
      <c r="AC9" s="800">
        <f t="shared" si="1"/>
        <v>8.8408644400785857E-2</v>
      </c>
      <c r="AD9" s="927">
        <v>0</v>
      </c>
      <c r="AE9" s="927">
        <f>AE8/AE7</f>
        <v>5.1724137931034482E-2</v>
      </c>
      <c r="AF9" s="927">
        <f>AF8/AF7</f>
        <v>-1.1098779134295227E-2</v>
      </c>
      <c r="AG9" s="800">
        <f>AG8/AG7</f>
        <v>-4.7826086956521741E-2</v>
      </c>
      <c r="AH9" s="927"/>
      <c r="AI9" s="927"/>
      <c r="AJ9" s="927"/>
      <c r="AK9" s="574" t="s">
        <v>1136</v>
      </c>
      <c r="AL9" s="341"/>
      <c r="AM9" s="318"/>
      <c r="AN9" s="318" t="s">
        <v>1123</v>
      </c>
      <c r="AO9" s="788">
        <v>369</v>
      </c>
      <c r="AP9" s="788">
        <v>361</v>
      </c>
      <c r="AQ9" s="788">
        <v>505</v>
      </c>
      <c r="AR9" s="788">
        <v>406</v>
      </c>
      <c r="AS9" s="789">
        <f t="shared" si="0"/>
        <v>1641</v>
      </c>
    </row>
    <row r="10" spans="1:45" ht="14.25" customHeight="1">
      <c r="A10" s="795">
        <v>45383</v>
      </c>
      <c r="B10" s="796" t="s">
        <v>1135</v>
      </c>
      <c r="C10" s="797"/>
      <c r="D10" s="797" t="s">
        <v>296</v>
      </c>
      <c r="E10" s="797" t="s">
        <v>1123</v>
      </c>
      <c r="F10" s="798">
        <v>4700</v>
      </c>
      <c r="G10" s="798">
        <v>1380</v>
      </c>
      <c r="H10" s="799"/>
      <c r="I10" s="769"/>
      <c r="J10" s="574"/>
      <c r="K10" s="574"/>
      <c r="L10" s="574"/>
      <c r="M10" s="574"/>
      <c r="N10" s="615"/>
      <c r="O10" s="615"/>
      <c r="P10" s="615"/>
      <c r="Q10" s="615"/>
      <c r="R10" s="615"/>
      <c r="S10" s="615"/>
      <c r="T10" s="615"/>
      <c r="U10" s="614"/>
      <c r="V10" s="615"/>
      <c r="W10" s="615"/>
      <c r="X10" s="615"/>
      <c r="Y10" s="614"/>
      <c r="Z10" s="615"/>
      <c r="AA10" s="615"/>
      <c r="AB10" s="615"/>
      <c r="AC10" s="614"/>
      <c r="AD10" s="615"/>
      <c r="AE10" s="615"/>
      <c r="AF10" s="615"/>
      <c r="AG10" s="614"/>
      <c r="AH10" s="615"/>
      <c r="AI10" s="615"/>
      <c r="AJ10" s="615"/>
      <c r="AK10" s="574"/>
      <c r="AL10" s="341"/>
      <c r="AM10" s="645" t="s">
        <v>1138</v>
      </c>
      <c r="AN10" s="645" t="s">
        <v>1120</v>
      </c>
      <c r="AO10" s="371">
        <v>3103</v>
      </c>
      <c r="AP10" s="371">
        <v>3517</v>
      </c>
      <c r="AQ10" s="371">
        <v>3359</v>
      </c>
      <c r="AR10" s="371">
        <v>3682</v>
      </c>
      <c r="AS10" s="781">
        <f t="shared" si="0"/>
        <v>13661</v>
      </c>
    </row>
    <row r="11" spans="1:45" ht="14.25" customHeight="1">
      <c r="A11" s="782">
        <v>45079</v>
      </c>
      <c r="B11" s="783" t="s">
        <v>1137</v>
      </c>
      <c r="C11" s="784"/>
      <c r="D11" s="784" t="s">
        <v>293</v>
      </c>
      <c r="E11" s="784" t="s">
        <v>1127</v>
      </c>
      <c r="F11" s="785">
        <v>0</v>
      </c>
      <c r="G11" s="785">
        <v>85</v>
      </c>
      <c r="H11" s="801"/>
      <c r="I11" s="769"/>
      <c r="J11" s="802" t="s">
        <v>1140</v>
      </c>
      <c r="K11" s="803"/>
      <c r="L11" s="803"/>
      <c r="M11" s="803"/>
      <c r="N11" s="928"/>
      <c r="O11" s="928"/>
      <c r="P11" s="928"/>
      <c r="Q11" s="928"/>
      <c r="R11" s="615"/>
      <c r="S11" s="928"/>
      <c r="T11" s="928"/>
      <c r="U11" s="929"/>
      <c r="V11" s="928"/>
      <c r="W11" s="928"/>
      <c r="X11" s="928"/>
      <c r="Y11" s="929"/>
      <c r="Z11" s="928"/>
      <c r="AA11" s="928"/>
      <c r="AB11" s="928"/>
      <c r="AC11" s="929"/>
      <c r="AD11" s="928"/>
      <c r="AE11" s="928"/>
      <c r="AF11" s="928"/>
      <c r="AG11" s="929"/>
      <c r="AH11" s="928"/>
      <c r="AI11" s="928"/>
      <c r="AJ11" s="928"/>
      <c r="AK11" s="802" t="s">
        <v>1140</v>
      </c>
      <c r="AL11" s="341"/>
      <c r="AM11" s="318"/>
      <c r="AN11" s="318" t="s">
        <v>1123</v>
      </c>
      <c r="AO11" s="788">
        <v>494</v>
      </c>
      <c r="AP11" s="788">
        <v>526</v>
      </c>
      <c r="AQ11" s="788">
        <v>505</v>
      </c>
      <c r="AR11" s="788">
        <v>406</v>
      </c>
      <c r="AS11" s="789">
        <f t="shared" si="0"/>
        <v>1931</v>
      </c>
    </row>
    <row r="12" spans="1:45" ht="14.25" customHeight="1">
      <c r="A12" s="782">
        <v>45019</v>
      </c>
      <c r="B12" s="783" t="s">
        <v>1139</v>
      </c>
      <c r="C12" s="784"/>
      <c r="D12" s="784" t="s">
        <v>293</v>
      </c>
      <c r="E12" s="784" t="s">
        <v>1127</v>
      </c>
      <c r="F12" s="785">
        <v>650</v>
      </c>
      <c r="G12" s="785">
        <v>200</v>
      </c>
      <c r="H12" s="794"/>
      <c r="I12" s="769"/>
      <c r="J12" s="574" t="s">
        <v>338</v>
      </c>
      <c r="K12" s="804"/>
      <c r="L12" s="804"/>
      <c r="M12" s="804"/>
      <c r="N12" s="581"/>
      <c r="O12" s="581"/>
      <c r="P12" s="930">
        <v>-1</v>
      </c>
      <c r="Q12" s="930">
        <v>0</v>
      </c>
      <c r="R12" s="615"/>
      <c r="S12" s="581"/>
      <c r="T12" s="581"/>
      <c r="U12" s="931"/>
      <c r="V12" s="581"/>
      <c r="W12" s="581"/>
      <c r="X12" s="581"/>
      <c r="Y12" s="931"/>
      <c r="Z12" s="930">
        <v>-1.3</v>
      </c>
      <c r="AA12" s="930">
        <v>-1.1000000000000001</v>
      </c>
      <c r="AB12" s="930">
        <v>-1.1000000000000001</v>
      </c>
      <c r="AC12" s="932">
        <v>-0.5</v>
      </c>
      <c r="AD12" s="930">
        <v>-0.2</v>
      </c>
      <c r="AE12" s="930">
        <v>-0.1</v>
      </c>
      <c r="AF12" s="930">
        <v>0</v>
      </c>
      <c r="AG12" s="932">
        <v>0</v>
      </c>
      <c r="AH12" s="933">
        <v>0</v>
      </c>
      <c r="AI12" s="933">
        <v>-0.1</v>
      </c>
      <c r="AJ12" s="933">
        <v>0</v>
      </c>
      <c r="AK12" s="574" t="s">
        <v>338</v>
      </c>
      <c r="AL12" s="341"/>
      <c r="AM12" s="645" t="s">
        <v>1143</v>
      </c>
      <c r="AN12" s="645" t="s">
        <v>1120</v>
      </c>
      <c r="AO12" s="371">
        <v>216</v>
      </c>
      <c r="AP12" s="371">
        <v>271</v>
      </c>
      <c r="AQ12" s="371">
        <v>619</v>
      </c>
      <c r="AR12" s="371">
        <v>277</v>
      </c>
      <c r="AS12" s="781">
        <f t="shared" si="0"/>
        <v>1383</v>
      </c>
    </row>
    <row r="13" spans="1:45" ht="14.25" customHeight="1">
      <c r="A13" s="784" t="s">
        <v>1141</v>
      </c>
      <c r="B13" s="783" t="s">
        <v>1142</v>
      </c>
      <c r="C13" s="784"/>
      <c r="D13" s="784" t="s">
        <v>293</v>
      </c>
      <c r="E13" s="784" t="s">
        <v>295</v>
      </c>
      <c r="F13" s="785">
        <v>50</v>
      </c>
      <c r="G13" s="785">
        <v>45</v>
      </c>
      <c r="H13" s="801"/>
      <c r="I13" s="769"/>
      <c r="J13" s="574" t="s">
        <v>336</v>
      </c>
      <c r="K13" s="804"/>
      <c r="L13" s="804"/>
      <c r="M13" s="804"/>
      <c r="N13" s="581"/>
      <c r="O13" s="581"/>
      <c r="P13" s="930">
        <v>-0.4</v>
      </c>
      <c r="Q13" s="930">
        <v>-4</v>
      </c>
      <c r="R13" s="615"/>
      <c r="S13" s="581"/>
      <c r="T13" s="581"/>
      <c r="U13" s="931"/>
      <c r="V13" s="581"/>
      <c r="W13" s="581"/>
      <c r="X13" s="581"/>
      <c r="Y13" s="931"/>
      <c r="Z13" s="930">
        <v>-1.2</v>
      </c>
      <c r="AA13" s="930">
        <v>0.4</v>
      </c>
      <c r="AB13" s="930">
        <v>0.4</v>
      </c>
      <c r="AC13" s="932">
        <v>-0.7</v>
      </c>
      <c r="AD13" s="930">
        <v>-0.1</v>
      </c>
      <c r="AE13" s="930">
        <v>-2.2000000000000002</v>
      </c>
      <c r="AF13" s="930">
        <v>-3.9</v>
      </c>
      <c r="AG13" s="932">
        <v>-4</v>
      </c>
      <c r="AH13" s="933">
        <v>-2.7</v>
      </c>
      <c r="AI13" s="933">
        <v>-0.3</v>
      </c>
      <c r="AJ13" s="933">
        <v>-0.2</v>
      </c>
      <c r="AK13" s="574" t="s">
        <v>336</v>
      </c>
      <c r="AL13" s="341"/>
      <c r="AM13" s="318"/>
      <c r="AN13" s="318" t="s">
        <v>1123</v>
      </c>
      <c r="AO13" s="788">
        <v>34</v>
      </c>
      <c r="AP13" s="788">
        <v>78</v>
      </c>
      <c r="AQ13" s="788">
        <v>76</v>
      </c>
      <c r="AR13" s="788">
        <v>80</v>
      </c>
      <c r="AS13" s="789">
        <f t="shared" si="0"/>
        <v>268</v>
      </c>
    </row>
    <row r="14" spans="1:45" ht="14.25" customHeight="1">
      <c r="A14" s="797" t="s">
        <v>1141</v>
      </c>
      <c r="B14" s="796" t="s">
        <v>1144</v>
      </c>
      <c r="C14" s="797"/>
      <c r="D14" s="797" t="s">
        <v>296</v>
      </c>
      <c r="E14" s="797" t="s">
        <v>1123</v>
      </c>
      <c r="F14" s="798">
        <v>1700</v>
      </c>
      <c r="G14" s="798">
        <v>400</v>
      </c>
      <c r="H14" s="806"/>
      <c r="I14" s="769"/>
      <c r="J14" s="811" t="s">
        <v>300</v>
      </c>
      <c r="K14" s="812"/>
      <c r="L14" s="812"/>
      <c r="M14" s="812"/>
      <c r="N14" s="934"/>
      <c r="O14" s="934"/>
      <c r="P14" s="935">
        <v>-0.9</v>
      </c>
      <c r="Q14" s="935">
        <v>-1</v>
      </c>
      <c r="R14" s="615"/>
      <c r="S14" s="934"/>
      <c r="T14" s="934"/>
      <c r="U14" s="936"/>
      <c r="V14" s="934"/>
      <c r="W14" s="934"/>
      <c r="X14" s="934"/>
      <c r="Y14" s="936"/>
      <c r="Z14" s="935">
        <v>-1.3</v>
      </c>
      <c r="AA14" s="935">
        <v>-0.9</v>
      </c>
      <c r="AB14" s="935">
        <v>-1</v>
      </c>
      <c r="AC14" s="937">
        <v>-0.7</v>
      </c>
      <c r="AD14" s="935">
        <v>-0.2</v>
      </c>
      <c r="AE14" s="935">
        <v>-0.9</v>
      </c>
      <c r="AF14" s="935">
        <v>-1.3</v>
      </c>
      <c r="AG14" s="938">
        <v>-1.4</v>
      </c>
      <c r="AH14" s="939">
        <v>-1</v>
      </c>
      <c r="AI14" s="939">
        <v>-0.2</v>
      </c>
      <c r="AJ14" s="939">
        <v>-0.1</v>
      </c>
      <c r="AK14" s="811" t="s">
        <v>300</v>
      </c>
      <c r="AL14" s="341"/>
      <c r="AM14" s="645" t="s">
        <v>1147</v>
      </c>
      <c r="AN14" s="645" t="s">
        <v>1120</v>
      </c>
      <c r="AO14" s="371">
        <v>127</v>
      </c>
      <c r="AP14" s="371">
        <v>325</v>
      </c>
      <c r="AQ14" s="371">
        <v>-537</v>
      </c>
      <c r="AR14" s="371">
        <v>-22</v>
      </c>
      <c r="AS14" s="781">
        <f t="shared" si="0"/>
        <v>-107</v>
      </c>
    </row>
    <row r="15" spans="1:45" ht="14.25" customHeight="1">
      <c r="A15" s="807" t="s">
        <v>1145</v>
      </c>
      <c r="B15" s="808" t="s">
        <v>1146</v>
      </c>
      <c r="C15" s="807"/>
      <c r="D15" s="807" t="s">
        <v>293</v>
      </c>
      <c r="E15" s="807" t="s">
        <v>295</v>
      </c>
      <c r="F15" s="809">
        <v>600</v>
      </c>
      <c r="G15" s="809">
        <v>225</v>
      </c>
      <c r="H15" s="810"/>
      <c r="I15" s="769"/>
      <c r="J15" s="815"/>
      <c r="K15" s="804"/>
      <c r="L15" s="804"/>
      <c r="M15" s="804"/>
      <c r="N15" s="581"/>
      <c r="O15" s="581"/>
      <c r="P15" s="930"/>
      <c r="Q15" s="930"/>
      <c r="R15" s="615"/>
      <c r="S15" s="581"/>
      <c r="T15" s="581"/>
      <c r="U15" s="931"/>
      <c r="V15" s="581"/>
      <c r="W15" s="581"/>
      <c r="X15" s="581"/>
      <c r="Y15" s="931"/>
      <c r="Z15" s="930"/>
      <c r="AA15" s="930"/>
      <c r="AB15" s="930"/>
      <c r="AC15" s="940"/>
      <c r="AD15" s="930"/>
      <c r="AE15" s="581"/>
      <c r="AF15" s="581"/>
      <c r="AG15" s="931"/>
      <c r="AH15" s="930"/>
      <c r="AI15" s="930"/>
      <c r="AJ15" s="930"/>
      <c r="AK15" s="815"/>
      <c r="AL15" s="341"/>
      <c r="AM15" s="645"/>
      <c r="AN15" s="645" t="s">
        <v>1123</v>
      </c>
      <c r="AO15" s="371">
        <v>125</v>
      </c>
      <c r="AP15" s="371">
        <v>165</v>
      </c>
      <c r="AQ15" s="371">
        <v>0</v>
      </c>
      <c r="AR15" s="371">
        <v>0</v>
      </c>
      <c r="AS15" s="781">
        <f t="shared" si="0"/>
        <v>290</v>
      </c>
    </row>
    <row r="16" spans="1:45" ht="14.25" customHeight="1">
      <c r="A16" s="784" t="s">
        <v>1148</v>
      </c>
      <c r="B16" s="783" t="s">
        <v>1149</v>
      </c>
      <c r="C16" s="784"/>
      <c r="D16" s="784" t="s">
        <v>296</v>
      </c>
      <c r="E16" s="784" t="s">
        <v>1123</v>
      </c>
      <c r="F16" s="785">
        <v>200</v>
      </c>
      <c r="G16" s="785">
        <v>100</v>
      </c>
      <c r="H16" s="801"/>
      <c r="I16" s="769"/>
      <c r="J16" s="817" t="s">
        <v>1152</v>
      </c>
      <c r="K16" s="818"/>
      <c r="L16" s="818"/>
      <c r="M16" s="818"/>
      <c r="N16" s="941"/>
      <c r="O16" s="941"/>
      <c r="P16" s="941"/>
      <c r="Q16" s="941"/>
      <c r="R16" s="615"/>
      <c r="S16" s="941"/>
      <c r="T16" s="941"/>
      <c r="U16" s="942"/>
      <c r="V16" s="941"/>
      <c r="W16" s="941"/>
      <c r="X16" s="941"/>
      <c r="Y16" s="942"/>
      <c r="Z16" s="941"/>
      <c r="AA16" s="941"/>
      <c r="AB16" s="941"/>
      <c r="AC16" s="942"/>
      <c r="AD16" s="941"/>
      <c r="AE16" s="941"/>
      <c r="AF16" s="941"/>
      <c r="AG16" s="942"/>
      <c r="AH16" s="941"/>
      <c r="AI16" s="941"/>
      <c r="AJ16" s="941"/>
      <c r="AK16" s="817" t="s">
        <v>1152</v>
      </c>
      <c r="AL16" s="341"/>
      <c r="AM16" s="318"/>
      <c r="AN16" s="318" t="s">
        <v>1153</v>
      </c>
      <c r="AO16" s="788">
        <v>125</v>
      </c>
      <c r="AP16" s="788">
        <v>130</v>
      </c>
      <c r="AQ16" s="788">
        <v>0</v>
      </c>
      <c r="AR16" s="788">
        <v>0</v>
      </c>
      <c r="AS16" s="789">
        <f t="shared" si="0"/>
        <v>255</v>
      </c>
    </row>
    <row r="17" spans="1:45" ht="14.25" customHeight="1">
      <c r="A17" s="784" t="s">
        <v>1150</v>
      </c>
      <c r="B17" s="783" t="s">
        <v>1151</v>
      </c>
      <c r="C17" s="784"/>
      <c r="D17" s="784" t="s">
        <v>293</v>
      </c>
      <c r="E17" s="784" t="s">
        <v>295</v>
      </c>
      <c r="F17" s="785">
        <v>1040</v>
      </c>
      <c r="G17" s="785">
        <v>330</v>
      </c>
      <c r="H17" s="816">
        <v>0.53</v>
      </c>
      <c r="I17" s="769"/>
      <c r="J17" s="574" t="s">
        <v>1156</v>
      </c>
      <c r="K17" s="574"/>
      <c r="L17" s="574"/>
      <c r="M17" s="574"/>
      <c r="N17" s="615">
        <v>2358</v>
      </c>
      <c r="O17" s="615">
        <v>4674</v>
      </c>
      <c r="P17" s="615">
        <v>3265</v>
      </c>
      <c r="Q17" s="615">
        <v>9025</v>
      </c>
      <c r="R17" s="615"/>
      <c r="S17" s="615">
        <v>1284</v>
      </c>
      <c r="T17" s="925">
        <v>1780</v>
      </c>
      <c r="U17" s="925">
        <v>2358</v>
      </c>
      <c r="V17" s="615">
        <v>0</v>
      </c>
      <c r="W17" s="925">
        <v>262</v>
      </c>
      <c r="X17" s="925">
        <v>472</v>
      </c>
      <c r="Y17" s="787">
        <v>4674</v>
      </c>
      <c r="Z17" s="615">
        <v>3252</v>
      </c>
      <c r="AA17" s="925">
        <v>3258</v>
      </c>
      <c r="AB17" s="925">
        <v>3265</v>
      </c>
      <c r="AC17" s="787">
        <v>3265</v>
      </c>
      <c r="AD17" s="615">
        <v>0</v>
      </c>
      <c r="AE17" s="925">
        <v>8031</v>
      </c>
      <c r="AF17" s="925">
        <v>9025</v>
      </c>
      <c r="AG17" s="787">
        <v>9025</v>
      </c>
      <c r="AH17" s="615" t="s">
        <v>1125</v>
      </c>
      <c r="AI17" s="615" t="s">
        <v>1125</v>
      </c>
      <c r="AJ17" s="615" t="s">
        <v>1125</v>
      </c>
      <c r="AK17" s="574" t="s">
        <v>1156</v>
      </c>
      <c r="AL17" s="341"/>
      <c r="AM17" s="819" t="s">
        <v>1106</v>
      </c>
      <c r="AN17" s="819"/>
      <c r="AO17" s="820"/>
      <c r="AP17" s="820"/>
      <c r="AQ17" s="820"/>
      <c r="AR17" s="820"/>
      <c r="AS17" s="820"/>
    </row>
    <row r="18" spans="1:45" ht="14.25" customHeight="1">
      <c r="A18" s="784" t="s">
        <v>1154</v>
      </c>
      <c r="B18" s="783" t="s">
        <v>1155</v>
      </c>
      <c r="C18" s="784"/>
      <c r="D18" s="784" t="s">
        <v>293</v>
      </c>
      <c r="E18" s="784" t="s">
        <v>294</v>
      </c>
      <c r="F18" s="785">
        <v>65</v>
      </c>
      <c r="G18" s="785">
        <v>50</v>
      </c>
      <c r="H18" s="801"/>
      <c r="I18" s="769"/>
      <c r="J18" s="574" t="s">
        <v>1159</v>
      </c>
      <c r="K18" s="574"/>
      <c r="L18" s="574"/>
      <c r="M18" s="574"/>
      <c r="N18" s="615"/>
      <c r="O18" s="615"/>
      <c r="P18" s="615"/>
      <c r="Q18" s="615"/>
      <c r="R18" s="615"/>
      <c r="S18" s="615">
        <f>S17-R17</f>
        <v>1284</v>
      </c>
      <c r="T18" s="925">
        <f>T17-S17</f>
        <v>496</v>
      </c>
      <c r="U18" s="925">
        <f>U17-T17</f>
        <v>578</v>
      </c>
      <c r="V18" s="615">
        <f>V17</f>
        <v>0</v>
      </c>
      <c r="W18" s="925">
        <f>W17-V17</f>
        <v>262</v>
      </c>
      <c r="X18" s="925">
        <f>X17-W17</f>
        <v>210</v>
      </c>
      <c r="Y18" s="787">
        <f>Y17-X17</f>
        <v>4202</v>
      </c>
      <c r="Z18" s="615">
        <f>Z17</f>
        <v>3252</v>
      </c>
      <c r="AA18" s="925">
        <f>AA17-Z17</f>
        <v>6</v>
      </c>
      <c r="AB18" s="925">
        <f>AB17-AA17</f>
        <v>7</v>
      </c>
      <c r="AC18" s="787">
        <f>AC17-AB17</f>
        <v>0</v>
      </c>
      <c r="AD18" s="615">
        <v>0</v>
      </c>
      <c r="AE18" s="925">
        <v>8031</v>
      </c>
      <c r="AF18" s="925">
        <f>AF17-AE17</f>
        <v>994</v>
      </c>
      <c r="AG18" s="787">
        <f>AG17-AF17</f>
        <v>0</v>
      </c>
      <c r="AH18" s="615" t="s">
        <v>1125</v>
      </c>
      <c r="AI18" s="615" t="s">
        <v>1125</v>
      </c>
      <c r="AJ18" s="615" t="s">
        <v>1125</v>
      </c>
      <c r="AK18" s="574" t="s">
        <v>1159</v>
      </c>
      <c r="AL18" s="341"/>
      <c r="AM18" s="645" t="s">
        <v>1160</v>
      </c>
      <c r="AN18" s="645" t="s">
        <v>1120</v>
      </c>
      <c r="AO18" s="371">
        <v>0</v>
      </c>
      <c r="AP18" s="371">
        <v>986</v>
      </c>
      <c r="AQ18" s="371">
        <v>901</v>
      </c>
      <c r="AR18" s="371">
        <v>920</v>
      </c>
      <c r="AS18" s="781">
        <f>SUM(AO18:AR18)</f>
        <v>2807</v>
      </c>
    </row>
    <row r="19" spans="1:45" ht="14.25" customHeight="1">
      <c r="A19" s="784" t="s">
        <v>1157</v>
      </c>
      <c r="B19" s="783" t="s">
        <v>1158</v>
      </c>
      <c r="C19" s="784"/>
      <c r="D19" s="784" t="s">
        <v>293</v>
      </c>
      <c r="E19" s="784" t="s">
        <v>295</v>
      </c>
      <c r="F19" s="785">
        <v>245</v>
      </c>
      <c r="G19" s="785">
        <v>370</v>
      </c>
      <c r="H19" s="801"/>
      <c r="I19" s="769"/>
      <c r="J19" s="574" t="s">
        <v>1164</v>
      </c>
      <c r="K19" s="574"/>
      <c r="L19" s="574"/>
      <c r="M19" s="574"/>
      <c r="N19" s="615">
        <v>1023</v>
      </c>
      <c r="O19" s="615">
        <v>2022</v>
      </c>
      <c r="P19" s="615">
        <v>1361</v>
      </c>
      <c r="Q19" s="615">
        <v>3027</v>
      </c>
      <c r="R19" s="615"/>
      <c r="S19" s="615">
        <v>643</v>
      </c>
      <c r="T19" s="925">
        <v>719</v>
      </c>
      <c r="U19" s="925">
        <v>1023</v>
      </c>
      <c r="V19" s="615">
        <v>0</v>
      </c>
      <c r="W19" s="925">
        <v>72</v>
      </c>
      <c r="X19" s="925">
        <v>316</v>
      </c>
      <c r="Y19" s="787">
        <v>2022</v>
      </c>
      <c r="Z19" s="615">
        <v>1717</v>
      </c>
      <c r="AA19" s="925">
        <v>1729</v>
      </c>
      <c r="AB19" s="925">
        <v>1361</v>
      </c>
      <c r="AC19" s="787">
        <v>1361</v>
      </c>
      <c r="AD19" s="615">
        <v>0</v>
      </c>
      <c r="AE19" s="925">
        <v>2588</v>
      </c>
      <c r="AF19" s="925">
        <v>3063</v>
      </c>
      <c r="AG19" s="787">
        <v>3027</v>
      </c>
      <c r="AH19" s="615" t="s">
        <v>1125</v>
      </c>
      <c r="AI19" s="615" t="s">
        <v>1125</v>
      </c>
      <c r="AJ19" s="615" t="s">
        <v>1125</v>
      </c>
      <c r="AK19" s="574" t="s">
        <v>1164</v>
      </c>
      <c r="AL19" s="341"/>
      <c r="AM19" s="318"/>
      <c r="AN19" s="318" t="s">
        <v>1123</v>
      </c>
      <c r="AO19" s="788">
        <v>0</v>
      </c>
      <c r="AP19" s="788">
        <v>967.47390396659716</v>
      </c>
      <c r="AQ19" s="788">
        <v>836.58386801099914</v>
      </c>
      <c r="AR19" s="788">
        <v>854.22548120989927</v>
      </c>
      <c r="AS19" s="789">
        <f>SUM(AO19:AR19)</f>
        <v>2658.2832531874956</v>
      </c>
    </row>
    <row r="20" spans="1:45" ht="14.25" customHeight="1">
      <c r="A20" s="797" t="s">
        <v>1161</v>
      </c>
      <c r="B20" s="796" t="s">
        <v>1162</v>
      </c>
      <c r="C20" s="797"/>
      <c r="D20" s="797" t="s">
        <v>1163</v>
      </c>
      <c r="E20" s="797" t="s">
        <v>295</v>
      </c>
      <c r="F20" s="798">
        <v>235</v>
      </c>
      <c r="G20" s="798">
        <v>190</v>
      </c>
      <c r="H20" s="806"/>
      <c r="I20" s="769"/>
      <c r="J20" s="574" t="s">
        <v>1167</v>
      </c>
      <c r="K20" s="574"/>
      <c r="L20" s="574"/>
      <c r="M20" s="574"/>
      <c r="N20" s="615"/>
      <c r="O20" s="615"/>
      <c r="P20" s="615"/>
      <c r="Q20" s="615"/>
      <c r="R20" s="615"/>
      <c r="S20" s="615">
        <f>S19-R19</f>
        <v>643</v>
      </c>
      <c r="T20" s="925">
        <f>T19-S19</f>
        <v>76</v>
      </c>
      <c r="U20" s="925">
        <f>U19-T19</f>
        <v>304</v>
      </c>
      <c r="V20" s="615">
        <f>V19</f>
        <v>0</v>
      </c>
      <c r="W20" s="925">
        <f>W19-V19</f>
        <v>72</v>
      </c>
      <c r="X20" s="925">
        <f>X19-W19</f>
        <v>244</v>
      </c>
      <c r="Y20" s="787">
        <f>Y19-X19</f>
        <v>1706</v>
      </c>
      <c r="Z20" s="615">
        <f>Z19</f>
        <v>1717</v>
      </c>
      <c r="AA20" s="925">
        <f>AA19-Z19</f>
        <v>12</v>
      </c>
      <c r="AB20" s="925">
        <f>AB19-AA19</f>
        <v>-368</v>
      </c>
      <c r="AC20" s="787">
        <f>AC19-AB19</f>
        <v>0</v>
      </c>
      <c r="AD20" s="615">
        <v>0</v>
      </c>
      <c r="AE20" s="925">
        <v>2588</v>
      </c>
      <c r="AF20" s="925">
        <f>AF19-AE19</f>
        <v>475</v>
      </c>
      <c r="AG20" s="787">
        <f>AG19-AF19</f>
        <v>-36</v>
      </c>
      <c r="AH20" s="615" t="s">
        <v>1125</v>
      </c>
      <c r="AI20" s="615" t="s">
        <v>1125</v>
      </c>
      <c r="AJ20" s="615" t="s">
        <v>1125</v>
      </c>
      <c r="AK20" s="574" t="s">
        <v>1167</v>
      </c>
      <c r="AL20" s="341"/>
      <c r="AM20" s="645" t="s">
        <v>1168</v>
      </c>
      <c r="AN20" s="645" t="s">
        <v>1120</v>
      </c>
      <c r="AO20" s="371">
        <v>0</v>
      </c>
      <c r="AP20" s="821">
        <v>51</v>
      </c>
      <c r="AQ20" s="371">
        <v>-10</v>
      </c>
      <c r="AR20" s="371">
        <v>-44</v>
      </c>
      <c r="AS20" s="781">
        <f>SUM(AO20:AR20)</f>
        <v>-3</v>
      </c>
    </row>
    <row r="21" spans="1:45" ht="14.25" customHeight="1">
      <c r="A21" s="807" t="s">
        <v>1165</v>
      </c>
      <c r="B21" s="808" t="s">
        <v>1166</v>
      </c>
      <c r="C21" s="807"/>
      <c r="D21" s="807" t="s">
        <v>293</v>
      </c>
      <c r="E21" s="807"/>
      <c r="F21" s="809">
        <v>27</v>
      </c>
      <c r="G21" s="809">
        <v>25</v>
      </c>
      <c r="H21" s="810"/>
      <c r="I21" s="769"/>
      <c r="J21" s="574" t="s">
        <v>1171</v>
      </c>
      <c r="K21" s="574"/>
      <c r="L21" s="574"/>
      <c r="M21" s="574"/>
      <c r="N21" s="615">
        <v>1877</v>
      </c>
      <c r="O21" s="615">
        <v>3798</v>
      </c>
      <c r="P21" s="615">
        <v>2848</v>
      </c>
      <c r="Q21" s="615">
        <v>6100</v>
      </c>
      <c r="R21" s="615"/>
      <c r="S21" s="615">
        <v>1099</v>
      </c>
      <c r="T21" s="925">
        <v>1396</v>
      </c>
      <c r="U21" s="925">
        <v>1877</v>
      </c>
      <c r="V21" s="615">
        <v>0</v>
      </c>
      <c r="W21" s="925">
        <v>174</v>
      </c>
      <c r="X21" s="925">
        <v>590</v>
      </c>
      <c r="Y21" s="787">
        <v>3798</v>
      </c>
      <c r="Z21" s="615">
        <v>2393</v>
      </c>
      <c r="AA21" s="925">
        <v>2853</v>
      </c>
      <c r="AB21" s="925">
        <v>2868</v>
      </c>
      <c r="AC21" s="787">
        <v>2848</v>
      </c>
      <c r="AD21" s="615">
        <v>0</v>
      </c>
      <c r="AE21" s="925">
        <v>4099</v>
      </c>
      <c r="AF21" s="925">
        <v>5786</v>
      </c>
      <c r="AG21" s="787">
        <v>6100</v>
      </c>
      <c r="AH21" s="615" t="s">
        <v>1125</v>
      </c>
      <c r="AI21" s="615" t="s">
        <v>1125</v>
      </c>
      <c r="AJ21" s="615" t="s">
        <v>1125</v>
      </c>
      <c r="AK21" s="574" t="s">
        <v>1171</v>
      </c>
      <c r="AL21" s="341"/>
      <c r="AM21" s="318"/>
      <c r="AN21" s="318" t="s">
        <v>1123</v>
      </c>
      <c r="AO21" s="788">
        <v>0</v>
      </c>
      <c r="AP21" s="788">
        <v>50.04175365344468</v>
      </c>
      <c r="AQ21" s="788">
        <v>-9.28505957836847</v>
      </c>
      <c r="AR21" s="788">
        <v>-40.85426214482127</v>
      </c>
      <c r="AS21" s="789">
        <f>SUM(AO21:AR21)</f>
        <v>-9.7568069745058494E-2</v>
      </c>
    </row>
    <row r="22" spans="1:45" ht="14.25" customHeight="1">
      <c r="A22" s="784" t="s">
        <v>1169</v>
      </c>
      <c r="B22" s="783" t="s">
        <v>1170</v>
      </c>
      <c r="C22" s="784"/>
      <c r="D22" s="784" t="s">
        <v>293</v>
      </c>
      <c r="E22" s="784"/>
      <c r="F22" s="785">
        <v>60</v>
      </c>
      <c r="G22" s="785">
        <v>50</v>
      </c>
      <c r="H22" s="801"/>
      <c r="I22" s="769"/>
      <c r="J22" s="574" t="s">
        <v>1174</v>
      </c>
      <c r="K22" s="574"/>
      <c r="L22" s="574"/>
      <c r="M22" s="574"/>
      <c r="N22" s="615"/>
      <c r="O22" s="615"/>
      <c r="P22" s="615"/>
      <c r="Q22" s="615"/>
      <c r="R22" s="615"/>
      <c r="S22" s="615">
        <f>S21-R21</f>
        <v>1099</v>
      </c>
      <c r="T22" s="925">
        <f>T21-S21</f>
        <v>297</v>
      </c>
      <c r="U22" s="925">
        <f>U21-T21</f>
        <v>481</v>
      </c>
      <c r="V22" s="615">
        <f>V21</f>
        <v>0</v>
      </c>
      <c r="W22" s="925">
        <f>W21-V21</f>
        <v>174</v>
      </c>
      <c r="X22" s="925">
        <f>X21-W21</f>
        <v>416</v>
      </c>
      <c r="Y22" s="787">
        <f>Y21-X21</f>
        <v>3208</v>
      </c>
      <c r="Z22" s="615">
        <f>Z21</f>
        <v>2393</v>
      </c>
      <c r="AA22" s="925">
        <f>AA21-Z21</f>
        <v>460</v>
      </c>
      <c r="AB22" s="925">
        <f>AB21-AA21</f>
        <v>15</v>
      </c>
      <c r="AC22" s="787">
        <f>AC21-AB21</f>
        <v>-20</v>
      </c>
      <c r="AD22" s="615">
        <v>0</v>
      </c>
      <c r="AE22" s="925">
        <v>4099</v>
      </c>
      <c r="AF22" s="925">
        <f>AF21-AE21</f>
        <v>1687</v>
      </c>
      <c r="AG22" s="787">
        <f>AG21-AF21</f>
        <v>314</v>
      </c>
      <c r="AH22" s="615" t="s">
        <v>1125</v>
      </c>
      <c r="AI22" s="615" t="s">
        <v>1125</v>
      </c>
      <c r="AJ22" s="615" t="s">
        <v>1125</v>
      </c>
      <c r="AK22" s="574" t="s">
        <v>1174</v>
      </c>
      <c r="AL22" s="341"/>
      <c r="AM22" s="645"/>
      <c r="AN22" s="645"/>
      <c r="AO22" s="645"/>
      <c r="AP22" s="645"/>
      <c r="AQ22" s="645"/>
      <c r="AR22" s="645"/>
      <c r="AS22" s="645"/>
    </row>
    <row r="23" spans="1:45" ht="14.25" customHeight="1">
      <c r="A23" s="784" t="s">
        <v>1172</v>
      </c>
      <c r="B23" s="783" t="s">
        <v>1173</v>
      </c>
      <c r="C23" s="784"/>
      <c r="D23" s="784" t="s">
        <v>296</v>
      </c>
      <c r="E23" s="784"/>
      <c r="F23" s="785">
        <v>210</v>
      </c>
      <c r="G23" s="785">
        <v>60</v>
      </c>
      <c r="H23" s="801"/>
      <c r="I23" s="769"/>
      <c r="J23" s="574"/>
      <c r="K23" s="574"/>
      <c r="L23" s="574"/>
      <c r="M23" s="574"/>
      <c r="N23" s="615"/>
      <c r="O23" s="615"/>
      <c r="P23" s="615"/>
      <c r="Q23" s="615"/>
      <c r="R23" s="615"/>
      <c r="S23" s="615"/>
      <c r="T23" s="615"/>
      <c r="U23" s="614"/>
      <c r="V23" s="615"/>
      <c r="W23" s="615"/>
      <c r="X23" s="615"/>
      <c r="Y23" s="614"/>
      <c r="Z23" s="615"/>
      <c r="AA23" s="615"/>
      <c r="AB23" s="615"/>
      <c r="AC23" s="614"/>
      <c r="AD23" s="615"/>
      <c r="AE23" s="925"/>
      <c r="AF23" s="925"/>
      <c r="AG23" s="787"/>
      <c r="AH23" s="615"/>
      <c r="AI23" s="615"/>
      <c r="AJ23" s="615"/>
      <c r="AK23" s="574"/>
      <c r="AL23" s="341"/>
      <c r="AM23" s="646"/>
      <c r="AN23" s="645"/>
      <c r="AO23" s="645"/>
      <c r="AP23" s="645"/>
      <c r="AQ23" s="645"/>
      <c r="AR23" s="645"/>
      <c r="AS23" s="645"/>
    </row>
    <row r="24" spans="1:45" ht="14.25" customHeight="1">
      <c r="A24" s="784" t="s">
        <v>1175</v>
      </c>
      <c r="B24" s="783" t="s">
        <v>1176</v>
      </c>
      <c r="C24" s="784"/>
      <c r="D24" s="784" t="s">
        <v>293</v>
      </c>
      <c r="E24" s="784"/>
      <c r="F24" s="785">
        <v>65</v>
      </c>
      <c r="G24" s="785">
        <v>120</v>
      </c>
      <c r="H24" s="801"/>
      <c r="I24" s="769"/>
      <c r="J24" s="817" t="s">
        <v>1179</v>
      </c>
      <c r="K24" s="818"/>
      <c r="L24" s="818"/>
      <c r="M24" s="818"/>
      <c r="N24" s="941"/>
      <c r="O24" s="941"/>
      <c r="P24" s="941"/>
      <c r="Q24" s="941"/>
      <c r="R24" s="615"/>
      <c r="S24" s="941"/>
      <c r="T24" s="941"/>
      <c r="U24" s="942"/>
      <c r="V24" s="941"/>
      <c r="W24" s="941"/>
      <c r="X24" s="941"/>
      <c r="Y24" s="942"/>
      <c r="Z24" s="941"/>
      <c r="AA24" s="941"/>
      <c r="AB24" s="941"/>
      <c r="AC24" s="942"/>
      <c r="AD24" s="941"/>
      <c r="AE24" s="941"/>
      <c r="AF24" s="941"/>
      <c r="AG24" s="942"/>
      <c r="AH24" s="941"/>
      <c r="AI24" s="941"/>
      <c r="AJ24" s="941"/>
      <c r="AK24" s="817" t="s">
        <v>1179</v>
      </c>
      <c r="AL24" s="341"/>
      <c r="AM24" s="822"/>
      <c r="AN24" s="822"/>
      <c r="AO24" s="823"/>
      <c r="AP24" s="823"/>
      <c r="AQ24" s="823"/>
      <c r="AR24" s="823"/>
      <c r="AS24" s="822"/>
    </row>
    <row r="25" spans="1:45" ht="14.25" customHeight="1">
      <c r="A25" s="784" t="s">
        <v>1177</v>
      </c>
      <c r="B25" s="783" t="s">
        <v>1178</v>
      </c>
      <c r="C25" s="784"/>
      <c r="D25" s="784" t="s">
        <v>293</v>
      </c>
      <c r="E25" s="784"/>
      <c r="F25" s="785">
        <v>335</v>
      </c>
      <c r="G25" s="785">
        <v>240</v>
      </c>
      <c r="H25" s="801"/>
      <c r="I25" s="769"/>
      <c r="J25" s="574" t="s">
        <v>338</v>
      </c>
      <c r="K25" s="574"/>
      <c r="L25" s="574"/>
      <c r="M25" s="574"/>
      <c r="N25" s="615"/>
      <c r="O25" s="615"/>
      <c r="P25" s="615"/>
      <c r="Q25" s="615"/>
      <c r="R25" s="615"/>
      <c r="S25" s="615"/>
      <c r="T25" s="615"/>
      <c r="U25" s="614"/>
      <c r="V25" s="615"/>
      <c r="W25" s="615"/>
      <c r="X25" s="615"/>
      <c r="Y25" s="614"/>
      <c r="Z25" s="615"/>
      <c r="AA25" s="615"/>
      <c r="AB25" s="615"/>
      <c r="AC25" s="614">
        <v>3</v>
      </c>
      <c r="AD25" s="615">
        <v>1</v>
      </c>
      <c r="AE25" s="943">
        <v>0.2</v>
      </c>
      <c r="AF25" s="943">
        <v>0.2</v>
      </c>
      <c r="AG25" s="944">
        <v>0</v>
      </c>
      <c r="AH25" s="615">
        <v>0</v>
      </c>
      <c r="AI25" s="615">
        <v>0</v>
      </c>
      <c r="AJ25" s="615">
        <v>0</v>
      </c>
      <c r="AK25" s="574" t="s">
        <v>338</v>
      </c>
      <c r="AL25" s="341"/>
      <c r="AM25" s="341"/>
      <c r="AN25" s="341"/>
      <c r="AO25" s="645"/>
      <c r="AP25" s="824"/>
      <c r="AQ25" s="824"/>
      <c r="AR25" s="824"/>
      <c r="AS25" s="645"/>
    </row>
    <row r="26" spans="1:45" ht="14.25" customHeight="1">
      <c r="A26" s="784" t="s">
        <v>1180</v>
      </c>
      <c r="B26" s="783" t="s">
        <v>1181</v>
      </c>
      <c r="C26" s="784"/>
      <c r="D26" s="784" t="s">
        <v>293</v>
      </c>
      <c r="E26" s="784"/>
      <c r="F26" s="785">
        <v>110</v>
      </c>
      <c r="G26" s="785">
        <v>50</v>
      </c>
      <c r="H26" s="801"/>
      <c r="I26" s="769"/>
      <c r="J26" s="574" t="s">
        <v>1184</v>
      </c>
      <c r="K26" s="574"/>
      <c r="L26" s="574"/>
      <c r="M26" s="574"/>
      <c r="N26" s="615"/>
      <c r="O26" s="615"/>
      <c r="P26" s="615"/>
      <c r="Q26" s="615"/>
      <c r="R26" s="615"/>
      <c r="S26" s="615"/>
      <c r="T26" s="615"/>
      <c r="U26" s="614"/>
      <c r="V26" s="615"/>
      <c r="W26" s="615"/>
      <c r="X26" s="615"/>
      <c r="Y26" s="614"/>
      <c r="Z26" s="615"/>
      <c r="AA26" s="615"/>
      <c r="AB26" s="615"/>
      <c r="AC26" s="614">
        <v>13</v>
      </c>
      <c r="AD26" s="615">
        <v>14</v>
      </c>
      <c r="AE26" s="943">
        <v>31</v>
      </c>
      <c r="AF26" s="943">
        <v>28</v>
      </c>
      <c r="AG26" s="944">
        <v>35</v>
      </c>
      <c r="AH26" s="615">
        <v>32</v>
      </c>
      <c r="AI26" s="615">
        <v>2</v>
      </c>
      <c r="AJ26" s="615">
        <v>1</v>
      </c>
      <c r="AK26" s="574" t="s">
        <v>1184</v>
      </c>
      <c r="AL26" s="341"/>
      <c r="AM26" s="341"/>
      <c r="AN26" s="341"/>
      <c r="AO26" s="645"/>
      <c r="AP26" s="824"/>
      <c r="AQ26" s="824"/>
      <c r="AR26" s="824"/>
      <c r="AS26" s="645"/>
    </row>
    <row r="27" spans="1:45" ht="14.25" customHeight="1">
      <c r="A27" s="784" t="s">
        <v>1182</v>
      </c>
      <c r="B27" s="783" t="s">
        <v>1183</v>
      </c>
      <c r="C27" s="784"/>
      <c r="D27" s="784" t="s">
        <v>293</v>
      </c>
      <c r="E27" s="784"/>
      <c r="F27" s="785">
        <v>195</v>
      </c>
      <c r="G27" s="785">
        <v>180</v>
      </c>
      <c r="H27" s="801"/>
      <c r="I27" s="769"/>
      <c r="J27" s="825" t="s">
        <v>300</v>
      </c>
      <c r="K27" s="574"/>
      <c r="L27" s="574"/>
      <c r="M27" s="574"/>
      <c r="N27" s="615"/>
      <c r="O27" s="615"/>
      <c r="P27" s="615"/>
      <c r="Q27" s="615"/>
      <c r="R27" s="615"/>
      <c r="S27" s="615"/>
      <c r="T27" s="615"/>
      <c r="U27" s="614"/>
      <c r="V27" s="615"/>
      <c r="W27" s="615"/>
      <c r="X27" s="615"/>
      <c r="Y27" s="614"/>
      <c r="Z27" s="615"/>
      <c r="AA27" s="615"/>
      <c r="AB27" s="615"/>
      <c r="AC27" s="945">
        <v>5</v>
      </c>
      <c r="AD27" s="946">
        <v>2</v>
      </c>
      <c r="AE27" s="947">
        <v>7</v>
      </c>
      <c r="AF27" s="947">
        <v>6</v>
      </c>
      <c r="AG27" s="948">
        <v>7</v>
      </c>
      <c r="AH27" s="946">
        <v>7</v>
      </c>
      <c r="AI27" s="946">
        <v>0</v>
      </c>
      <c r="AJ27" s="946">
        <v>0</v>
      </c>
      <c r="AK27" s="825" t="s">
        <v>300</v>
      </c>
      <c r="AL27" s="341"/>
      <c r="AM27" s="341"/>
      <c r="AN27" s="341"/>
      <c r="AO27" s="645"/>
      <c r="AP27" s="824"/>
      <c r="AQ27" s="824"/>
      <c r="AR27" s="824"/>
      <c r="AS27" s="645"/>
    </row>
    <row r="28" spans="1:45" ht="14.25" customHeight="1">
      <c r="A28" s="797" t="s">
        <v>1185</v>
      </c>
      <c r="B28" s="796" t="s">
        <v>1186</v>
      </c>
      <c r="C28" s="797"/>
      <c r="D28" s="797" t="s">
        <v>293</v>
      </c>
      <c r="E28" s="797"/>
      <c r="F28" s="798">
        <v>135</v>
      </c>
      <c r="G28" s="798">
        <v>200</v>
      </c>
      <c r="H28" s="806"/>
      <c r="I28" s="769"/>
      <c r="J28" s="341"/>
      <c r="K28" s="341"/>
      <c r="L28" s="341"/>
      <c r="M28" s="341"/>
      <c r="N28" s="592"/>
      <c r="O28" s="592"/>
      <c r="P28" s="592"/>
      <c r="Q28" s="592"/>
      <c r="R28" s="592"/>
      <c r="S28" s="592"/>
      <c r="T28" s="592"/>
      <c r="U28" s="597"/>
      <c r="V28" s="592"/>
      <c r="W28" s="592"/>
      <c r="X28" s="592"/>
      <c r="Y28" s="597"/>
      <c r="Z28" s="592"/>
      <c r="AA28" s="592"/>
      <c r="AB28" s="592"/>
      <c r="AC28" s="597"/>
      <c r="AD28" s="592"/>
      <c r="AE28" s="592"/>
      <c r="AF28" s="592"/>
      <c r="AG28" s="597"/>
      <c r="AH28" s="592"/>
      <c r="AI28" s="592"/>
      <c r="AJ28" s="592"/>
      <c r="AK28" s="341"/>
      <c r="AL28" s="341"/>
      <c r="AM28" s="341"/>
      <c r="AN28" s="341"/>
      <c r="AO28" s="645"/>
      <c r="AP28" s="824"/>
      <c r="AQ28" s="824"/>
      <c r="AR28" s="824"/>
      <c r="AS28" s="645"/>
    </row>
    <row r="29" spans="1:45" ht="14.25" customHeight="1">
      <c r="A29" s="777" t="s">
        <v>1187</v>
      </c>
      <c r="B29" s="777" t="s">
        <v>1188</v>
      </c>
      <c r="C29" s="777"/>
      <c r="D29" s="777" t="s">
        <v>293</v>
      </c>
      <c r="E29" s="777"/>
      <c r="F29" s="778"/>
      <c r="G29" s="778">
        <v>-2</v>
      </c>
      <c r="H29" s="826"/>
      <c r="I29" s="769"/>
      <c r="J29" s="341"/>
      <c r="K29" s="341"/>
      <c r="L29" s="341"/>
      <c r="M29" s="341"/>
      <c r="N29" s="592"/>
      <c r="O29" s="592"/>
      <c r="P29" s="592"/>
      <c r="Q29" s="592"/>
      <c r="R29" s="592"/>
      <c r="S29" s="592"/>
      <c r="T29" s="592"/>
      <c r="U29" s="597"/>
      <c r="V29" s="592"/>
      <c r="W29" s="592"/>
      <c r="X29" s="592"/>
      <c r="Y29" s="597"/>
      <c r="Z29" s="592"/>
      <c r="AA29" s="592"/>
      <c r="AB29" s="592"/>
      <c r="AC29" s="597"/>
      <c r="AD29" s="592"/>
      <c r="AE29" s="592"/>
      <c r="AF29" s="592"/>
      <c r="AG29" s="597"/>
      <c r="AH29" s="592"/>
      <c r="AI29" s="592"/>
      <c r="AJ29" s="592"/>
      <c r="AK29" s="341"/>
      <c r="AL29" s="341"/>
      <c r="AM29" s="645"/>
      <c r="AN29" s="341"/>
      <c r="AO29" s="824"/>
      <c r="AP29" s="824"/>
      <c r="AQ29" s="824"/>
      <c r="AR29" s="824"/>
      <c r="AS29" s="645"/>
    </row>
    <row r="30" spans="1:45" ht="14.25" customHeight="1">
      <c r="A30" s="807" t="s">
        <v>1189</v>
      </c>
      <c r="B30" s="807"/>
      <c r="C30" s="807" t="s">
        <v>1190</v>
      </c>
      <c r="D30" s="807" t="s">
        <v>296</v>
      </c>
      <c r="E30" s="807"/>
      <c r="F30" s="809"/>
      <c r="G30" s="809">
        <v>-40</v>
      </c>
      <c r="H30" s="810"/>
      <c r="I30" s="769"/>
      <c r="J30" s="341"/>
      <c r="K30" s="341"/>
      <c r="L30" s="341"/>
      <c r="M30" s="341"/>
      <c r="N30" s="592"/>
      <c r="O30" s="592"/>
      <c r="P30" s="592"/>
      <c r="Q30" s="592"/>
      <c r="R30" s="592"/>
      <c r="S30" s="592"/>
      <c r="T30" s="592"/>
      <c r="U30" s="597"/>
      <c r="V30" s="592"/>
      <c r="W30" s="592"/>
      <c r="X30" s="592"/>
      <c r="Y30" s="597"/>
      <c r="Z30" s="592"/>
      <c r="AA30" s="592"/>
      <c r="AB30" s="592"/>
      <c r="AC30" s="597"/>
      <c r="AD30" s="592"/>
      <c r="AE30" s="592"/>
      <c r="AF30" s="592"/>
      <c r="AG30" s="597"/>
      <c r="AH30" s="592"/>
      <c r="AI30" s="592"/>
      <c r="AJ30" s="592"/>
      <c r="AK30" s="341"/>
      <c r="AL30" s="341"/>
      <c r="AM30" s="645"/>
      <c r="AN30" s="645"/>
      <c r="AO30" s="645"/>
      <c r="AP30" s="645"/>
      <c r="AQ30" s="645"/>
      <c r="AR30" s="645"/>
      <c r="AS30" s="645"/>
    </row>
    <row r="31" spans="1:45" ht="14.25" customHeight="1">
      <c r="A31" s="784" t="s">
        <v>1191</v>
      </c>
      <c r="B31" s="784"/>
      <c r="C31" s="783" t="s">
        <v>1192</v>
      </c>
      <c r="D31" s="784" t="s">
        <v>296</v>
      </c>
      <c r="E31" s="784"/>
      <c r="F31" s="785">
        <v>-275</v>
      </c>
      <c r="G31" s="785">
        <v>-40</v>
      </c>
      <c r="H31" s="801"/>
      <c r="I31" s="769"/>
      <c r="J31" s="341"/>
      <c r="K31" s="341"/>
      <c r="L31" s="341"/>
      <c r="M31" s="341"/>
      <c r="N31" s="592"/>
      <c r="O31" s="592"/>
      <c r="P31" s="592"/>
      <c r="Q31" s="592"/>
      <c r="R31" s="592"/>
      <c r="S31" s="592"/>
      <c r="T31" s="592"/>
      <c r="U31" s="597"/>
      <c r="V31" s="592"/>
      <c r="W31" s="592"/>
      <c r="X31" s="592"/>
      <c r="Y31" s="597"/>
      <c r="Z31" s="592"/>
      <c r="AA31" s="592"/>
      <c r="AB31" s="592"/>
      <c r="AC31" s="597"/>
      <c r="AD31" s="592"/>
      <c r="AE31" s="592"/>
      <c r="AF31" s="592"/>
      <c r="AG31" s="597"/>
      <c r="AH31" s="592"/>
      <c r="AI31" s="592"/>
      <c r="AJ31" s="592"/>
      <c r="AK31" s="341"/>
      <c r="AL31" s="341"/>
      <c r="AM31" s="645"/>
      <c r="AN31" s="645"/>
      <c r="AO31" s="645"/>
      <c r="AP31" s="645"/>
      <c r="AQ31" s="645"/>
      <c r="AR31" s="645"/>
      <c r="AS31" s="645"/>
    </row>
    <row r="32" spans="1:45" ht="14.25" customHeight="1">
      <c r="A32" s="784" t="s">
        <v>1193</v>
      </c>
      <c r="B32" s="783" t="s">
        <v>1194</v>
      </c>
      <c r="C32" s="784" t="s">
        <v>192</v>
      </c>
      <c r="D32" s="784" t="s">
        <v>296</v>
      </c>
      <c r="E32" s="784"/>
      <c r="F32" s="785">
        <v>645</v>
      </c>
      <c r="G32" s="785">
        <v>900</v>
      </c>
      <c r="H32" s="801"/>
      <c r="I32" s="769"/>
      <c r="J32" s="341"/>
      <c r="K32" s="341"/>
      <c r="L32" s="341"/>
      <c r="M32" s="341"/>
      <c r="N32" s="592"/>
      <c r="O32" s="592"/>
      <c r="P32" s="592"/>
      <c r="Q32" s="592"/>
      <c r="R32" s="592"/>
      <c r="S32" s="592"/>
      <c r="T32" s="592"/>
      <c r="U32" s="597"/>
      <c r="V32" s="592"/>
      <c r="W32" s="592"/>
      <c r="X32" s="592"/>
      <c r="Y32" s="597"/>
      <c r="Z32" s="592"/>
      <c r="AA32" s="592"/>
      <c r="AB32" s="592"/>
      <c r="AC32" s="597"/>
      <c r="AD32" s="592"/>
      <c r="AE32" s="592"/>
      <c r="AF32" s="592"/>
      <c r="AG32" s="597"/>
      <c r="AH32" s="592"/>
      <c r="AI32" s="592"/>
      <c r="AJ32" s="592"/>
      <c r="AK32" s="341"/>
      <c r="AL32" s="341"/>
      <c r="AM32" s="646"/>
      <c r="AN32" s="822"/>
      <c r="AO32" s="823"/>
      <c r="AP32" s="823"/>
      <c r="AQ32" s="823"/>
      <c r="AR32" s="823"/>
      <c r="AS32" s="823"/>
    </row>
    <row r="33" spans="1:45" ht="14.25" customHeight="1">
      <c r="A33" s="784" t="s">
        <v>1195</v>
      </c>
      <c r="B33" s="783" t="s">
        <v>1196</v>
      </c>
      <c r="C33" s="784" t="s">
        <v>192</v>
      </c>
      <c r="D33" s="784" t="s">
        <v>293</v>
      </c>
      <c r="E33" s="784"/>
      <c r="F33" s="785"/>
      <c r="G33" s="785">
        <v>8</v>
      </c>
      <c r="H33" s="801"/>
      <c r="I33" s="769"/>
      <c r="J33" s="341"/>
      <c r="K33" s="341"/>
      <c r="L33" s="341"/>
      <c r="M33" s="341"/>
      <c r="N33" s="592"/>
      <c r="O33" s="592"/>
      <c r="P33" s="592"/>
      <c r="Q33" s="592"/>
      <c r="R33" s="592"/>
      <c r="S33" s="592"/>
      <c r="T33" s="592"/>
      <c r="U33" s="597"/>
      <c r="V33" s="592"/>
      <c r="W33" s="592"/>
      <c r="X33" s="592"/>
      <c r="Y33" s="597"/>
      <c r="Z33" s="592"/>
      <c r="AA33" s="592"/>
      <c r="AB33" s="592"/>
      <c r="AC33" s="597"/>
      <c r="AD33" s="592"/>
      <c r="AE33" s="592"/>
      <c r="AF33" s="824"/>
      <c r="AG33" s="949"/>
      <c r="AH33" s="592"/>
      <c r="AI33" s="592"/>
      <c r="AJ33" s="592"/>
      <c r="AK33" s="341"/>
      <c r="AL33" s="341"/>
      <c r="AM33" s="645"/>
      <c r="AN33" s="645"/>
      <c r="AO33" s="645"/>
      <c r="AP33" s="371"/>
      <c r="AQ33" s="371"/>
      <c r="AR33" s="371"/>
      <c r="AS33" s="371"/>
    </row>
    <row r="34" spans="1:45" ht="14.25" customHeight="1">
      <c r="A34" s="797" t="s">
        <v>1197</v>
      </c>
      <c r="B34" s="796" t="s">
        <v>1198</v>
      </c>
      <c r="C34" s="797" t="s">
        <v>192</v>
      </c>
      <c r="D34" s="797" t="s">
        <v>296</v>
      </c>
      <c r="E34" s="797"/>
      <c r="F34" s="798">
        <v>580</v>
      </c>
      <c r="G34" s="798">
        <v>250</v>
      </c>
      <c r="H34" s="806"/>
      <c r="I34" s="769"/>
      <c r="J34" s="341"/>
      <c r="K34" s="341"/>
      <c r="L34" s="341"/>
      <c r="M34" s="341"/>
      <c r="N34" s="592"/>
      <c r="O34" s="592"/>
      <c r="P34" s="592"/>
      <c r="Q34" s="592"/>
      <c r="R34" s="592"/>
      <c r="S34" s="592"/>
      <c r="T34" s="592"/>
      <c r="U34" s="597"/>
      <c r="V34" s="592"/>
      <c r="W34" s="592"/>
      <c r="X34" s="592"/>
      <c r="Y34" s="597"/>
      <c r="Z34" s="592"/>
      <c r="AA34" s="592"/>
      <c r="AB34" s="592"/>
      <c r="AC34" s="597"/>
      <c r="AD34" s="592"/>
      <c r="AE34" s="592"/>
      <c r="AF34" s="592"/>
      <c r="AG34" s="597"/>
      <c r="AH34" s="592"/>
      <c r="AI34" s="592"/>
      <c r="AJ34" s="592"/>
      <c r="AK34" s="341"/>
      <c r="AL34" s="341"/>
      <c r="AM34" s="645"/>
      <c r="AN34" s="645"/>
      <c r="AO34" s="645"/>
      <c r="AP34" s="371"/>
      <c r="AQ34" s="371"/>
      <c r="AR34" s="371"/>
      <c r="AS34" s="371"/>
    </row>
    <row r="35" spans="1:45" ht="14.25" customHeight="1">
      <c r="A35" s="807" t="s">
        <v>1199</v>
      </c>
      <c r="B35" s="808" t="s">
        <v>1200</v>
      </c>
      <c r="C35" s="807" t="s">
        <v>192</v>
      </c>
      <c r="D35" s="807" t="s">
        <v>293</v>
      </c>
      <c r="E35" s="807"/>
      <c r="F35" s="809"/>
      <c r="G35" s="809">
        <v>6</v>
      </c>
      <c r="H35" s="810"/>
      <c r="I35" s="769"/>
      <c r="J35" s="341"/>
      <c r="K35" s="341"/>
      <c r="L35" s="341"/>
      <c r="M35" s="341"/>
      <c r="N35" s="592"/>
      <c r="O35" s="592"/>
      <c r="P35" s="592"/>
      <c r="Q35" s="592"/>
      <c r="R35" s="592"/>
      <c r="S35" s="592"/>
      <c r="T35" s="592"/>
      <c r="U35" s="597"/>
      <c r="V35" s="592"/>
      <c r="W35" s="592"/>
      <c r="X35" s="592"/>
      <c r="Y35" s="597"/>
      <c r="Z35" s="592"/>
      <c r="AA35" s="592"/>
      <c r="AB35" s="592"/>
      <c r="AC35" s="597"/>
      <c r="AD35" s="592"/>
      <c r="AE35" s="592"/>
      <c r="AF35" s="592"/>
      <c r="AG35" s="597"/>
      <c r="AH35" s="592"/>
      <c r="AI35" s="592"/>
      <c r="AJ35" s="592"/>
      <c r="AK35" s="341"/>
      <c r="AL35" s="341"/>
      <c r="AM35" s="645"/>
      <c r="AN35" s="645"/>
      <c r="AO35" s="645"/>
      <c r="AP35" s="371"/>
      <c r="AQ35" s="371"/>
      <c r="AR35" s="371"/>
      <c r="AS35" s="371"/>
    </row>
    <row r="36" spans="1:45" ht="14.25" customHeight="1">
      <c r="A36" s="784" t="s">
        <v>1201</v>
      </c>
      <c r="B36" s="783" t="s">
        <v>1202</v>
      </c>
      <c r="C36" s="784" t="s">
        <v>192</v>
      </c>
      <c r="D36" s="784" t="s">
        <v>293</v>
      </c>
      <c r="E36" s="784"/>
      <c r="F36" s="785">
        <v>55</v>
      </c>
      <c r="G36" s="785"/>
      <c r="H36" s="816">
        <v>0.34</v>
      </c>
      <c r="I36" s="769"/>
      <c r="J36" s="341"/>
      <c r="K36" s="341"/>
      <c r="L36" s="341"/>
      <c r="M36" s="341"/>
      <c r="N36" s="592"/>
      <c r="O36" s="592"/>
      <c r="P36" s="592"/>
      <c r="Q36" s="592"/>
      <c r="R36" s="592"/>
      <c r="S36" s="592"/>
      <c r="T36" s="592"/>
      <c r="U36" s="597"/>
      <c r="V36" s="592"/>
      <c r="W36" s="592"/>
      <c r="X36" s="592"/>
      <c r="Y36" s="597"/>
      <c r="Z36" s="592"/>
      <c r="AA36" s="592"/>
      <c r="AB36" s="592"/>
      <c r="AC36" s="597"/>
      <c r="AD36" s="592"/>
      <c r="AE36" s="592"/>
      <c r="AF36" s="592"/>
      <c r="AG36" s="597"/>
      <c r="AH36" s="592"/>
      <c r="AI36" s="592"/>
      <c r="AJ36" s="592"/>
      <c r="AK36" s="341"/>
      <c r="AL36" s="341"/>
      <c r="AM36" s="822"/>
      <c r="AN36" s="822"/>
      <c r="AO36" s="822"/>
      <c r="AP36" s="828"/>
      <c r="AQ36" s="828"/>
      <c r="AR36" s="828"/>
      <c r="AS36" s="828"/>
    </row>
    <row r="37" spans="1:45" ht="14.25" customHeight="1">
      <c r="A37" s="784" t="s">
        <v>1203</v>
      </c>
      <c r="B37" s="783" t="s">
        <v>1204</v>
      </c>
      <c r="C37" s="784" t="s">
        <v>192</v>
      </c>
      <c r="D37" s="784" t="s">
        <v>293</v>
      </c>
      <c r="E37" s="784"/>
      <c r="F37" s="785">
        <v>50</v>
      </c>
      <c r="G37" s="785">
        <v>26</v>
      </c>
      <c r="H37" s="801"/>
      <c r="I37" s="769"/>
      <c r="J37" s="341"/>
      <c r="K37" s="341"/>
      <c r="L37" s="341"/>
      <c r="M37" s="341"/>
      <c r="N37" s="592"/>
      <c r="O37" s="592"/>
      <c r="P37" s="592"/>
      <c r="Q37" s="592"/>
      <c r="R37" s="592"/>
      <c r="S37" s="592"/>
      <c r="T37" s="592"/>
      <c r="U37" s="597"/>
      <c r="V37" s="592"/>
      <c r="W37" s="592"/>
      <c r="X37" s="592"/>
      <c r="Y37" s="597"/>
      <c r="Z37" s="592"/>
      <c r="AA37" s="592"/>
      <c r="AB37" s="592"/>
      <c r="AC37" s="597"/>
      <c r="AD37" s="592"/>
      <c r="AE37" s="592"/>
      <c r="AF37" s="592"/>
      <c r="AG37" s="597"/>
      <c r="AH37" s="592"/>
      <c r="AI37" s="592"/>
      <c r="AJ37" s="592"/>
      <c r="AK37" s="341"/>
      <c r="AL37" s="341"/>
      <c r="AM37" s="645"/>
      <c r="AN37" s="645"/>
      <c r="AO37" s="645"/>
      <c r="AP37" s="371"/>
      <c r="AQ37" s="371"/>
      <c r="AR37" s="371"/>
      <c r="AS37" s="371"/>
    </row>
    <row r="38" spans="1:45" ht="14.25" customHeight="1">
      <c r="A38" s="784" t="s">
        <v>1205</v>
      </c>
      <c r="B38" s="783" t="s">
        <v>1206</v>
      </c>
      <c r="C38" s="784" t="s">
        <v>192</v>
      </c>
      <c r="D38" s="784" t="s">
        <v>293</v>
      </c>
      <c r="E38" s="784"/>
      <c r="F38" s="785">
        <v>90</v>
      </c>
      <c r="G38" s="785">
        <v>37</v>
      </c>
      <c r="H38" s="801"/>
      <c r="I38" s="769"/>
      <c r="J38" s="341"/>
      <c r="K38" s="341"/>
      <c r="L38" s="341"/>
      <c r="M38" s="341"/>
      <c r="N38" s="592"/>
      <c r="O38" s="592"/>
      <c r="P38" s="592"/>
      <c r="Q38" s="592"/>
      <c r="R38" s="592"/>
      <c r="S38" s="592"/>
      <c r="T38" s="592"/>
      <c r="U38" s="597"/>
      <c r="V38" s="592"/>
      <c r="W38" s="592"/>
      <c r="X38" s="592"/>
      <c r="Y38" s="597"/>
      <c r="Z38" s="592"/>
      <c r="AA38" s="592"/>
      <c r="AB38" s="592"/>
      <c r="AC38" s="597"/>
      <c r="AD38" s="592"/>
      <c r="AE38" s="592"/>
      <c r="AF38" s="592"/>
      <c r="AG38" s="597"/>
      <c r="AH38" s="592"/>
      <c r="AI38" s="592"/>
      <c r="AJ38" s="592"/>
      <c r="AK38" s="341"/>
      <c r="AL38" s="341"/>
      <c r="AM38" s="645"/>
      <c r="AN38" s="645"/>
      <c r="AO38" s="645"/>
      <c r="AP38" s="371"/>
      <c r="AQ38" s="371"/>
      <c r="AR38" s="371"/>
      <c r="AS38" s="371"/>
    </row>
    <row r="39" spans="1:45" ht="14.25" customHeight="1">
      <c r="A39" s="784" t="s">
        <v>1205</v>
      </c>
      <c r="B39" s="783" t="s">
        <v>1207</v>
      </c>
      <c r="C39" s="784" t="s">
        <v>192</v>
      </c>
      <c r="D39" s="784" t="s">
        <v>293</v>
      </c>
      <c r="E39" s="784"/>
      <c r="F39" s="785"/>
      <c r="G39" s="785">
        <v>35</v>
      </c>
      <c r="H39" s="801"/>
      <c r="I39" s="769"/>
      <c r="J39" s="341"/>
      <c r="K39" s="341"/>
      <c r="L39" s="341"/>
      <c r="M39" s="341"/>
      <c r="N39" s="592"/>
      <c r="O39" s="592"/>
      <c r="P39" s="592"/>
      <c r="Q39" s="592"/>
      <c r="R39" s="592"/>
      <c r="S39" s="592"/>
      <c r="T39" s="592"/>
      <c r="U39" s="597"/>
      <c r="V39" s="592"/>
      <c r="W39" s="592"/>
      <c r="X39" s="592"/>
      <c r="Y39" s="597"/>
      <c r="Z39" s="592"/>
      <c r="AA39" s="592"/>
      <c r="AB39" s="592"/>
      <c r="AC39" s="597"/>
      <c r="AD39" s="592"/>
      <c r="AE39" s="592"/>
      <c r="AF39" s="592"/>
      <c r="AG39" s="597"/>
      <c r="AH39" s="592"/>
      <c r="AI39" s="592"/>
      <c r="AJ39" s="592"/>
      <c r="AK39" s="341"/>
      <c r="AL39" s="341"/>
      <c r="AM39" s="645"/>
      <c r="AN39" s="645"/>
      <c r="AO39" s="645"/>
      <c r="AP39" s="371"/>
      <c r="AQ39" s="371"/>
      <c r="AR39" s="371"/>
      <c r="AS39" s="371"/>
    </row>
    <row r="40" spans="1:45" ht="14.25" customHeight="1">
      <c r="A40" s="797" t="s">
        <v>1208</v>
      </c>
      <c r="B40" s="796" t="s">
        <v>1209</v>
      </c>
      <c r="C40" s="797" t="s">
        <v>192</v>
      </c>
      <c r="D40" s="797" t="s">
        <v>296</v>
      </c>
      <c r="E40" s="797"/>
      <c r="F40" s="798"/>
      <c r="G40" s="798">
        <v>22</v>
      </c>
      <c r="H40" s="806"/>
      <c r="I40" s="769"/>
      <c r="J40" s="341"/>
      <c r="K40" s="341"/>
      <c r="L40" s="341"/>
      <c r="M40" s="341"/>
      <c r="N40" s="592"/>
      <c r="O40" s="592"/>
      <c r="P40" s="592"/>
      <c r="Q40" s="592"/>
      <c r="R40" s="592"/>
      <c r="S40" s="592"/>
      <c r="T40" s="592"/>
      <c r="U40" s="597"/>
      <c r="V40" s="592"/>
      <c r="W40" s="592"/>
      <c r="X40" s="592"/>
      <c r="Y40" s="597"/>
      <c r="Z40" s="592"/>
      <c r="AA40" s="592"/>
      <c r="AB40" s="592"/>
      <c r="AC40" s="597"/>
      <c r="AD40" s="592"/>
      <c r="AE40" s="592"/>
      <c r="AF40" s="592"/>
      <c r="AG40" s="597"/>
      <c r="AH40" s="592"/>
      <c r="AI40" s="592"/>
      <c r="AJ40" s="592"/>
      <c r="AK40" s="341"/>
      <c r="AL40" s="341"/>
      <c r="AM40" s="822"/>
      <c r="AN40" s="822"/>
      <c r="AO40" s="822"/>
      <c r="AP40" s="830"/>
      <c r="AQ40" s="830"/>
      <c r="AR40" s="830"/>
      <c r="AS40" s="830"/>
    </row>
    <row r="41" spans="1:45" ht="14.25" customHeight="1">
      <c r="A41" s="807" t="s">
        <v>1210</v>
      </c>
      <c r="B41" s="808" t="s">
        <v>1211</v>
      </c>
      <c r="C41" s="807" t="s">
        <v>192</v>
      </c>
      <c r="D41" s="807" t="s">
        <v>293</v>
      </c>
      <c r="E41" s="807"/>
      <c r="F41" s="809">
        <v>30</v>
      </c>
      <c r="G41" s="809"/>
      <c r="H41" s="829">
        <v>1</v>
      </c>
      <c r="I41" s="769"/>
      <c r="J41" s="341"/>
      <c r="K41" s="341"/>
      <c r="L41" s="341"/>
      <c r="M41" s="341"/>
      <c r="N41" s="592"/>
      <c r="O41" s="592"/>
      <c r="P41" s="592"/>
      <c r="Q41" s="592"/>
      <c r="R41" s="592"/>
      <c r="S41" s="592"/>
      <c r="T41" s="592"/>
      <c r="U41" s="597"/>
      <c r="V41" s="592"/>
      <c r="W41" s="592"/>
      <c r="X41" s="592"/>
      <c r="Y41" s="597"/>
      <c r="Z41" s="592"/>
      <c r="AA41" s="592"/>
      <c r="AB41" s="592"/>
      <c r="AC41" s="597"/>
      <c r="AD41" s="592"/>
      <c r="AE41" s="592"/>
      <c r="AF41" s="592"/>
      <c r="AG41" s="597"/>
      <c r="AH41" s="592"/>
      <c r="AI41" s="592"/>
      <c r="AJ41" s="592"/>
      <c r="AK41" s="341"/>
      <c r="AL41" s="341"/>
      <c r="AM41" s="645"/>
      <c r="AN41" s="645"/>
      <c r="AO41" s="645"/>
      <c r="AP41" s="831"/>
      <c r="AQ41" s="831"/>
      <c r="AR41" s="645"/>
      <c r="AS41" s="645"/>
    </row>
    <row r="42" spans="1:45" ht="17.25" customHeight="1">
      <c r="A42" s="797" t="s">
        <v>1212</v>
      </c>
      <c r="B42" s="796" t="s">
        <v>1213</v>
      </c>
      <c r="C42" s="797" t="s">
        <v>192</v>
      </c>
      <c r="D42" s="797" t="s">
        <v>296</v>
      </c>
      <c r="E42" s="797"/>
      <c r="F42" s="798">
        <v>110</v>
      </c>
      <c r="G42" s="798">
        <v>38</v>
      </c>
      <c r="H42" s="806"/>
      <c r="I42" s="769"/>
      <c r="J42" s="341"/>
      <c r="K42" s="341"/>
      <c r="L42" s="341"/>
      <c r="M42" s="341"/>
      <c r="N42" s="592"/>
      <c r="O42" s="592"/>
      <c r="P42" s="592"/>
      <c r="Q42" s="592"/>
      <c r="R42" s="592"/>
      <c r="S42" s="592"/>
      <c r="T42" s="592"/>
      <c r="U42" s="597"/>
      <c r="V42" s="592"/>
      <c r="W42" s="592"/>
      <c r="X42" s="592"/>
      <c r="Y42" s="597"/>
      <c r="Z42" s="592"/>
      <c r="AA42" s="592"/>
      <c r="AB42" s="592"/>
      <c r="AC42" s="597"/>
      <c r="AD42" s="592"/>
      <c r="AE42" s="592"/>
      <c r="AF42" s="592"/>
      <c r="AG42" s="597"/>
      <c r="AH42" s="592"/>
      <c r="AI42" s="592"/>
      <c r="AJ42" s="592"/>
      <c r="AK42" s="341"/>
      <c r="AL42" s="341"/>
      <c r="AM42" s="645"/>
      <c r="AN42" s="645"/>
      <c r="AO42" s="645"/>
      <c r="AP42" s="645"/>
      <c r="AQ42" s="645"/>
      <c r="AR42" s="645"/>
      <c r="AS42" s="645"/>
    </row>
    <row r="43" spans="1:45" ht="14.25" customHeight="1">
      <c r="A43" s="777" t="s">
        <v>1214</v>
      </c>
      <c r="B43" s="776" t="s">
        <v>1215</v>
      </c>
      <c r="C43" s="777" t="s">
        <v>192</v>
      </c>
      <c r="D43" s="777" t="s">
        <v>293</v>
      </c>
      <c r="E43" s="777"/>
      <c r="F43" s="778"/>
      <c r="G43" s="778">
        <v>19</v>
      </c>
      <c r="H43" s="826"/>
      <c r="I43" s="769"/>
      <c r="J43" s="341"/>
      <c r="K43" s="341"/>
      <c r="L43" s="341"/>
      <c r="M43" s="341"/>
      <c r="N43" s="592"/>
      <c r="O43" s="592"/>
      <c r="P43" s="592"/>
      <c r="Q43" s="592"/>
      <c r="R43" s="592"/>
      <c r="S43" s="592"/>
      <c r="T43" s="592"/>
      <c r="U43" s="597"/>
      <c r="V43" s="592"/>
      <c r="W43" s="592"/>
      <c r="X43" s="592"/>
      <c r="Y43" s="597"/>
      <c r="Z43" s="592"/>
      <c r="AA43" s="592"/>
      <c r="AB43" s="592"/>
      <c r="AC43" s="597"/>
      <c r="AD43" s="592"/>
      <c r="AE43" s="592"/>
      <c r="AF43" s="592"/>
      <c r="AG43" s="597"/>
      <c r="AH43" s="592"/>
      <c r="AI43" s="592"/>
      <c r="AJ43" s="592"/>
      <c r="AK43" s="341"/>
      <c r="AL43" s="341"/>
      <c r="AM43" s="645"/>
      <c r="AN43" s="645"/>
      <c r="AO43" s="645"/>
      <c r="AP43" s="645"/>
      <c r="AQ43" s="645"/>
      <c r="AR43" s="645"/>
      <c r="AS43" s="645"/>
    </row>
    <row r="44" spans="1:45" ht="14.25" customHeight="1">
      <c r="A44" s="807" t="s">
        <v>1216</v>
      </c>
      <c r="B44" s="808" t="s">
        <v>1217</v>
      </c>
      <c r="C44" s="807" t="s">
        <v>192</v>
      </c>
      <c r="D44" s="807" t="s">
        <v>296</v>
      </c>
      <c r="E44" s="807"/>
      <c r="F44" s="809">
        <v>230</v>
      </c>
      <c r="G44" s="809">
        <v>75</v>
      </c>
      <c r="H44" s="810"/>
      <c r="I44" s="769"/>
      <c r="J44" s="341"/>
      <c r="K44" s="341"/>
      <c r="L44" s="341"/>
      <c r="M44" s="341"/>
      <c r="N44" s="592"/>
      <c r="O44" s="592"/>
      <c r="P44" s="592"/>
      <c r="Q44" s="592"/>
      <c r="R44" s="592"/>
      <c r="S44" s="592"/>
      <c r="T44" s="592"/>
      <c r="U44" s="597"/>
      <c r="V44" s="592"/>
      <c r="W44" s="592"/>
      <c r="X44" s="592"/>
      <c r="Y44" s="597"/>
      <c r="Z44" s="592"/>
      <c r="AA44" s="592"/>
      <c r="AB44" s="592"/>
      <c r="AC44" s="597"/>
      <c r="AD44" s="592"/>
      <c r="AE44" s="592"/>
      <c r="AF44" s="592"/>
      <c r="AG44" s="597"/>
      <c r="AH44" s="592"/>
      <c r="AI44" s="592"/>
      <c r="AJ44" s="592"/>
      <c r="AK44" s="341"/>
      <c r="AL44" s="341"/>
      <c r="AM44" s="645"/>
      <c r="AN44" s="645"/>
      <c r="AO44" s="645"/>
      <c r="AP44" s="645"/>
      <c r="AQ44" s="645"/>
      <c r="AR44" s="645"/>
      <c r="AS44" s="645"/>
    </row>
    <row r="45" spans="1:45" ht="14.25" customHeight="1">
      <c r="A45" s="784" t="s">
        <v>1218</v>
      </c>
      <c r="B45" s="783" t="s">
        <v>1219</v>
      </c>
      <c r="C45" s="784" t="s">
        <v>192</v>
      </c>
      <c r="D45" s="784" t="s">
        <v>293</v>
      </c>
      <c r="E45" s="784"/>
      <c r="F45" s="785">
        <v>190</v>
      </c>
      <c r="G45" s="785">
        <v>45</v>
      </c>
      <c r="H45" s="801"/>
      <c r="I45" s="769"/>
      <c r="J45" s="341"/>
      <c r="K45" s="341"/>
      <c r="L45" s="341"/>
      <c r="M45" s="341"/>
      <c r="N45" s="592"/>
      <c r="O45" s="592"/>
      <c r="P45" s="592"/>
      <c r="Q45" s="592"/>
      <c r="R45" s="592"/>
      <c r="S45" s="592"/>
      <c r="T45" s="592"/>
      <c r="U45" s="597"/>
      <c r="V45" s="592"/>
      <c r="W45" s="592"/>
      <c r="X45" s="592"/>
      <c r="Y45" s="597"/>
      <c r="Z45" s="592"/>
      <c r="AA45" s="592"/>
      <c r="AB45" s="592"/>
      <c r="AC45" s="597"/>
      <c r="AD45" s="592"/>
      <c r="AE45" s="592"/>
      <c r="AF45" s="592"/>
      <c r="AG45" s="597"/>
      <c r="AH45" s="592"/>
      <c r="AI45" s="592"/>
      <c r="AJ45" s="592"/>
      <c r="AK45" s="341"/>
      <c r="AL45" s="341"/>
      <c r="AM45" s="832"/>
      <c r="AN45" s="645"/>
      <c r="AO45" s="823"/>
      <c r="AP45" s="823"/>
      <c r="AQ45" s="823"/>
      <c r="AR45" s="823"/>
      <c r="AS45" s="823"/>
    </row>
    <row r="46" spans="1:45" ht="14.25" customHeight="1">
      <c r="A46" s="797" t="s">
        <v>1220</v>
      </c>
      <c r="B46" s="796" t="s">
        <v>1221</v>
      </c>
      <c r="C46" s="797" t="s">
        <v>192</v>
      </c>
      <c r="D46" s="797" t="s">
        <v>296</v>
      </c>
      <c r="E46" s="797"/>
      <c r="F46" s="798">
        <v>420</v>
      </c>
      <c r="G46" s="798">
        <v>687</v>
      </c>
      <c r="H46" s="806"/>
      <c r="I46" s="769"/>
      <c r="J46" s="341"/>
      <c r="K46" s="341"/>
      <c r="L46" s="341"/>
      <c r="M46" s="341"/>
      <c r="N46" s="592"/>
      <c r="O46" s="592"/>
      <c r="P46" s="592"/>
      <c r="Q46" s="592"/>
      <c r="R46" s="592"/>
      <c r="S46" s="592"/>
      <c r="T46" s="592"/>
      <c r="U46" s="597"/>
      <c r="V46" s="592"/>
      <c r="W46" s="592"/>
      <c r="X46" s="592"/>
      <c r="Y46" s="597"/>
      <c r="Z46" s="592"/>
      <c r="AA46" s="592"/>
      <c r="AB46" s="592"/>
      <c r="AC46" s="597"/>
      <c r="AD46" s="592"/>
      <c r="AE46" s="592"/>
      <c r="AF46" s="592"/>
      <c r="AG46" s="597"/>
      <c r="AH46" s="592"/>
      <c r="AI46" s="592"/>
      <c r="AJ46" s="592"/>
      <c r="AK46" s="341"/>
      <c r="AL46" s="341"/>
      <c r="AM46" s="645"/>
      <c r="AN46" s="645"/>
      <c r="AO46" s="371"/>
      <c r="AP46" s="371"/>
      <c r="AQ46" s="371"/>
      <c r="AR46" s="371"/>
      <c r="AS46" s="828"/>
    </row>
    <row r="47" spans="1:45" ht="14.25" customHeight="1">
      <c r="A47" s="807" t="s">
        <v>1222</v>
      </c>
      <c r="B47" s="808" t="s">
        <v>1223</v>
      </c>
      <c r="C47" s="807" t="s">
        <v>192</v>
      </c>
      <c r="D47" s="807" t="s">
        <v>296</v>
      </c>
      <c r="E47" s="807"/>
      <c r="F47" s="809">
        <v>45</v>
      </c>
      <c r="G47" s="809">
        <v>20</v>
      </c>
      <c r="H47" s="810"/>
      <c r="I47" s="769"/>
      <c r="J47" s="341"/>
      <c r="K47" s="341"/>
      <c r="L47" s="341"/>
      <c r="M47" s="341"/>
      <c r="N47" s="592"/>
      <c r="O47" s="592"/>
      <c r="P47" s="592"/>
      <c r="Q47" s="592"/>
      <c r="R47" s="592"/>
      <c r="S47" s="592"/>
      <c r="T47" s="592"/>
      <c r="U47" s="597"/>
      <c r="V47" s="592"/>
      <c r="W47" s="592"/>
      <c r="X47" s="592"/>
      <c r="Y47" s="597"/>
      <c r="Z47" s="592"/>
      <c r="AA47" s="592"/>
      <c r="AB47" s="592"/>
      <c r="AC47" s="597"/>
      <c r="AD47" s="592"/>
      <c r="AE47" s="592"/>
      <c r="AF47" s="592"/>
      <c r="AG47" s="597"/>
      <c r="AH47" s="592"/>
      <c r="AI47" s="592"/>
      <c r="AJ47" s="592"/>
      <c r="AK47" s="341"/>
      <c r="AL47" s="341"/>
      <c r="AM47" s="645"/>
      <c r="AN47" s="645"/>
      <c r="AO47" s="371"/>
      <c r="AP47" s="371"/>
      <c r="AQ47" s="371"/>
      <c r="AR47" s="371"/>
      <c r="AS47" s="828"/>
    </row>
    <row r="48" spans="1:45" ht="14.25" customHeight="1">
      <c r="A48" s="784" t="s">
        <v>1224</v>
      </c>
      <c r="B48" s="784" t="s">
        <v>1225</v>
      </c>
      <c r="C48" s="784" t="s">
        <v>192</v>
      </c>
      <c r="D48" s="784" t="s">
        <v>293</v>
      </c>
      <c r="E48" s="784"/>
      <c r="F48" s="785"/>
      <c r="G48" s="785">
        <v>15</v>
      </c>
      <c r="H48" s="801"/>
      <c r="I48" s="769"/>
      <c r="J48" s="341"/>
      <c r="K48" s="341"/>
      <c r="L48" s="341"/>
      <c r="M48" s="341"/>
      <c r="N48" s="592"/>
      <c r="O48" s="592"/>
      <c r="P48" s="592"/>
      <c r="Q48" s="592"/>
      <c r="R48" s="592"/>
      <c r="S48" s="592"/>
      <c r="T48" s="592"/>
      <c r="U48" s="597"/>
      <c r="V48" s="592"/>
      <c r="W48" s="592"/>
      <c r="X48" s="592"/>
      <c r="Y48" s="597"/>
      <c r="Z48" s="592"/>
      <c r="AA48" s="592"/>
      <c r="AB48" s="592"/>
      <c r="AC48" s="597"/>
      <c r="AD48" s="592"/>
      <c r="AE48" s="592"/>
      <c r="AF48" s="592"/>
      <c r="AG48" s="597"/>
      <c r="AH48" s="592"/>
      <c r="AI48" s="592"/>
      <c r="AJ48" s="592"/>
      <c r="AK48" s="341"/>
      <c r="AL48" s="341"/>
      <c r="AM48" s="645"/>
      <c r="AN48" s="645"/>
      <c r="AO48" s="371"/>
      <c r="AP48" s="371"/>
      <c r="AQ48" s="371"/>
      <c r="AR48" s="371"/>
      <c r="AS48" s="828"/>
    </row>
    <row r="49" spans="1:45" ht="13">
      <c r="A49" s="784" t="s">
        <v>1224</v>
      </c>
      <c r="B49" s="783" t="s">
        <v>1226</v>
      </c>
      <c r="C49" s="784" t="s">
        <v>192</v>
      </c>
      <c r="D49" s="784" t="s">
        <v>293</v>
      </c>
      <c r="E49" s="784"/>
      <c r="F49" s="785">
        <v>230</v>
      </c>
      <c r="G49" s="785">
        <v>113</v>
      </c>
      <c r="H49" s="801"/>
      <c r="I49" s="769"/>
      <c r="J49" s="341"/>
      <c r="K49" s="341"/>
      <c r="L49" s="341"/>
      <c r="M49" s="341"/>
      <c r="N49" s="592"/>
      <c r="O49" s="592"/>
      <c r="P49" s="592"/>
      <c r="Q49" s="592"/>
      <c r="R49" s="592"/>
      <c r="S49" s="592"/>
      <c r="T49" s="592"/>
      <c r="U49" s="597"/>
      <c r="V49" s="592"/>
      <c r="W49" s="592"/>
      <c r="X49" s="592"/>
      <c r="Y49" s="597"/>
      <c r="Z49" s="592"/>
      <c r="AA49" s="592"/>
      <c r="AB49" s="592"/>
      <c r="AC49" s="597"/>
      <c r="AD49" s="592"/>
      <c r="AE49" s="592"/>
      <c r="AF49" s="592"/>
      <c r="AG49" s="597"/>
      <c r="AH49" s="592"/>
      <c r="AI49" s="592"/>
      <c r="AJ49" s="592"/>
      <c r="AK49" s="341"/>
      <c r="AL49" s="341"/>
      <c r="AM49" s="645"/>
      <c r="AN49" s="645"/>
      <c r="AO49" s="371"/>
      <c r="AP49" s="371"/>
      <c r="AQ49" s="371"/>
      <c r="AR49" s="371"/>
      <c r="AS49" s="828"/>
    </row>
    <row r="50" spans="1:45" ht="13">
      <c r="A50" s="797" t="s">
        <v>1227</v>
      </c>
      <c r="B50" s="796" t="s">
        <v>1228</v>
      </c>
      <c r="C50" s="797" t="s">
        <v>192</v>
      </c>
      <c r="D50" s="797" t="s">
        <v>293</v>
      </c>
      <c r="E50" s="797"/>
      <c r="F50" s="798">
        <v>90</v>
      </c>
      <c r="G50" s="798">
        <v>43</v>
      </c>
      <c r="H50" s="806"/>
      <c r="I50" s="769"/>
      <c r="J50" s="341"/>
      <c r="K50" s="341"/>
      <c r="L50" s="341"/>
      <c r="M50" s="341"/>
      <c r="N50" s="592"/>
      <c r="O50" s="592"/>
      <c r="P50" s="592"/>
      <c r="Q50" s="592"/>
      <c r="R50" s="592"/>
      <c r="S50" s="592"/>
      <c r="T50" s="592"/>
      <c r="U50" s="597"/>
      <c r="V50" s="592"/>
      <c r="W50" s="592"/>
      <c r="X50" s="592"/>
      <c r="Y50" s="597"/>
      <c r="Z50" s="592"/>
      <c r="AA50" s="592"/>
      <c r="AB50" s="592"/>
      <c r="AC50" s="597"/>
      <c r="AD50" s="592"/>
      <c r="AE50" s="592"/>
      <c r="AF50" s="592"/>
      <c r="AG50" s="597"/>
      <c r="AH50" s="592"/>
      <c r="AI50" s="592"/>
      <c r="AJ50" s="592"/>
      <c r="AK50" s="341"/>
      <c r="AL50" s="341"/>
      <c r="AM50" s="645"/>
      <c r="AN50" s="645"/>
      <c r="AO50" s="833"/>
      <c r="AP50" s="833"/>
      <c r="AQ50" s="833"/>
      <c r="AR50" s="833"/>
      <c r="AS50" s="834"/>
    </row>
  </sheetData>
  <hyperlinks>
    <hyperlink ref="B15" r:id="rId1" display="https://www.epirocgroup.com/en/media/corporate-press-releases/2022/20221201-epiroc-completes-acquisition-of-leading-provider-of-mining-automation-solutions" xr:uid="{3AEA394A-1133-47CB-98C4-A598AC53B263}"/>
    <hyperlink ref="B16" r:id="rId2" display="https://www.epirocgroup.com/en/media/corporate-press-releases/2022/20221104-epiroc-completes-acquisition-of-u-s--manufacturer-of-excavator-attachments" xr:uid="{7DBC68EF-44BB-4DEB-85C4-F539CAA34013}"/>
    <hyperlink ref="B17" r:id="rId3" display="https://www.epirocgroup.com/en/media/corporate-press-releases/2022/20221101-epiroc-completes-acquisition-of-majority-ownership-in-australian-mine-connectivity-provider" xr:uid="{84C723D5-6278-46ED-8665-D36BC088372F}"/>
    <hyperlink ref="B18" r:id="rId4" display="https://www.epirocgroup.com/en/media/corporate-press-releases/2022/20221014-epiroc-completes-acquisition-of-australian-provider-of-digital-core-imaging-solutions-for-mining-companies" xr:uid="{2B7EA86D-14A2-4ECA-B31B-77FD69521D3F}"/>
    <hyperlink ref="B19" r:id="rId5" display="https://www.epirocgroup.com/en/media/corporate-press-releases/2022/20220610-epiroc-to-acquire-manufacturer-of-rock-drills" xr:uid="{075E3847-8E78-40F1-8CE2-204EB0AA7448}"/>
    <hyperlink ref="B20" r:id="rId6" display="https://www.epirocgroup.com/en/media/corporate-press-releases/2022/20220601-epiroc-completes-acquisition-of-australian-mining-electrification-infrastructure-provider" xr:uid="{7FBFB882-1C53-4CDB-AE27-EC6420D6D02D}"/>
    <hyperlink ref="B21" r:id="rId7" display="https://www.epirocgroup.com/en/media/corporate-press-releases/2021/20211103-epiroc-completes-acquisition-of-specialist-in-mining-vehicle-battery-conversions" xr:uid="{F05C4A8D-13D5-411F-BE26-CD316E359DB4}"/>
    <hyperlink ref="B22" r:id="rId8" display="https://www.epirocgroup.com/en/media/corporate-press-releases/2021/20211102-epiroc-acquires-remaining-share-of-mobilaris-mce" xr:uid="{8CAC970E-9A8B-40C8-90CA-2D2E100707E1}"/>
    <hyperlink ref="B23" r:id="rId9" display="https://www.epirocgroup.com/en/media/corporate-press-releases/2021/20210427-epiroc-to-acquire-south-korean-hydraulic-breaker-manufacturer" xr:uid="{1974B83C-FFB1-4376-9F61-98680E3187A9}"/>
    <hyperlink ref="B24" r:id="rId10" display="https://www.epirocgroup.com/en/media/corporate-press-releases/2021/20210707-epiroc-acquires-chilean-provider-of-intelligent-mining-solutions" xr:uid="{0EC19A70-2CDD-42FB-86B2-7F7B4BA0F871}"/>
    <hyperlink ref="B25" r:id="rId11" display="https://www.epirocgroup.com/en/media/corporate-press-releases/2021/20210331-epiroc-to-acquire-mining-electrification-solutions-provider" xr:uid="{67029C30-9725-487F-9EA1-1AC7BBB50B75}"/>
    <hyperlink ref="B26" r:id="rId12" display="https://www.epirocgroup.com/en/media/corporate-press-releases/2021/20210607-epiroc-acquires-canadian-mine-connectivity-provider" xr:uid="{7D350CC0-250E-44DE-BF17-203059DA1824}"/>
    <hyperlink ref="B27" r:id="rId13" display="https://www.epirocgroup.com/en/media/corporate-press-releases/2021/20210528-epiroc-to-acquire-australian-mining-logging-company" xr:uid="{08B1AB64-4112-4E8E-98DE-28FC0366346A}"/>
    <hyperlink ref="B28" r:id="rId14" display="https://www.epirocgroup.com/en/media/corporate-press-releases/2020/20201222-epiroc-to-acquire-software-company-for-increased-mine-productivity" xr:uid="{F46B559E-BDA0-40F5-A07D-7D279389353A}"/>
    <hyperlink ref="C31" r:id="rId15" display="https://author-epiroc-prod.adobecqms.net/content/corporate/en/media/corporate-press-releases/2019/20190903-epiroc-completes-divestment-of-geotechnical-consumables-product-line-to-mimir-invest.html" xr:uid="{9F6E0E38-EC14-4535-99DB-7FEC6DCFD4D1}"/>
    <hyperlink ref="B32" r:id="rId16" display="https://author-epiroc-prod.adobecqms.net/content/corporate/en/media/corporate-press-releases/2019/20190402-epiroc-completes-acquisition-of-south-african-underground-rock-reinforcement-products-manufacturer-new-concept-mining.html" xr:uid="{019F52D2-2161-4684-BF03-8CF8F64C6FD4}"/>
    <hyperlink ref="B33" r:id="rId17" display="https://author-epiroc-prod.adobecqms.net/content/corporate/en/media/corporate-press-releases/2019/20190201-epiroc-acquires-us-water-well-drilling-equipment-distributor.html" xr:uid="{630A7CAB-0516-4CF7-AFCC-BFAC39A75073}"/>
    <hyperlink ref="B34" r:id="rId18" display="https://author-epiroc-prod.adobecqms.net/content/corporate/en/media/corporate-press-releases/2019/20190103_epiroc_completes_acquisition_of_canadian_exploration_tools_manufacturer.html" xr:uid="{A07D28AB-E00B-4F4F-9883-1CBC98CB1477}"/>
    <hyperlink ref="B35" r:id="rId19" display="https://www.epirocgroup.com/en/media/corporate-press-releases/2018/20181102-epiroc-acquires-mining-equipment-distributor-in-estonia" xr:uid="{D1D0239E-0C29-4BA2-9B70-FED7E81174CE}"/>
    <hyperlink ref="B36" r:id="rId20" display="https://www.epirocgroup.com/en/media/corporate-press-releases/2018/20181030-epiroc-invests-in-autonomous-mining-solutions-business" xr:uid="{6F1F261E-CEFC-4A53-8DF1-DD85207F7C0D}"/>
    <hyperlink ref="B37" r:id="rId21" display="https://www.epirocgroup.com/en/media/corporate-press-releases/2018/20180110-acquisition" xr:uid="{BC87DD1D-8C8B-46C5-A300-A9F88F585CE5}"/>
    <hyperlink ref="B38" r:id="rId22" display="https://www.epirocgroup.com/en/media/corporate-press-releases/2017/20171206-acquisition" xr:uid="{9D0CDD63-F228-4A6D-803A-08D99E274E1E}"/>
    <hyperlink ref="B39" r:id="rId23" display="https://www.epirocgroup.com/en/media/corporate-press-releases/2017/20171201-acquisition" xr:uid="{50895078-4E9F-46D9-A225-82E5E2814225}"/>
    <hyperlink ref="B40" r:id="rId24" display="https://www.epirocgroup.com/en/media/corporate-press-releases/2017/20171204-acquisition" xr:uid="{9DED219E-87F7-4939-8396-A34F62949286}"/>
    <hyperlink ref="B41" r:id="rId25" display="https://www.epirocgroup.com/en/media/corporate-press-releases/2017/170704-atlas-copco-completes-acquisition-of-swedish-mining-intelligence-business" xr:uid="{E349B677-38BF-43A9-8EC9-EC0986DBFFE6}"/>
    <hyperlink ref="B42" r:id="rId26" display="https://www.epirocgroup.com/en/media/corporate-press-releases/2017/20170202-acquisition" xr:uid="{E5FB394E-02D7-4D9F-8F59-6E4F3B656CD4}"/>
    <hyperlink ref="B43" r:id="rId27" display="http://www.epirocgroup.com/en/media/corporate-press-releases/2014/140203-atlas-copco-completes-acquisition-of-geawelltech" xr:uid="{5B252434-9F81-4B3F-831F-01845AB5DCEA}"/>
    <hyperlink ref="B44" r:id="rId28" display="http://www.epirocgroup.com/en/media/corporate-press-releases/2013/131017-atlas-copco-buys-us-oil-and-gas-service-business" xr:uid="{382F1B36-1AA5-4470-936E-CE8A46189995}"/>
    <hyperlink ref="B45" r:id="rId29" display="https://www.atlascopcogroup.com/en/media/corporate-press-releases/2013/130403_Meyco_Acquisition" xr:uid="{CB1C9373-E57C-4C4D-B1BC-BCAC058BFD8A}"/>
    <hyperlink ref="B46" r:id="rId30" display="http://www.epirocgroup.com/en/media/corporate-press-releases/2013/130305-atlas-copco-buys-chinese-rock-drilling-tools-business" xr:uid="{25790FF0-4404-45C4-8660-D8EA3C9E2286}"/>
    <hyperlink ref="B47" r:id="rId31" display="http://www.epirocgroup.com/en/media/corporate-press-releases/2012/120925-atlas-copco-acquires-us-manufacturer-of-drill-bits" xr:uid="{304381F0-B9CA-4A31-ACF6-F641AC11E994}"/>
    <hyperlink ref="B49" r:id="rId32" display="http://www.atlascopco.com/us/News/CorporateNews/120131_Atlas_Copco_closes_GIA_acquisition.aspx" xr:uid="{D9FD4918-DB28-4A96-A7BD-675C7E81ABED}"/>
    <hyperlink ref="B50" r:id="rId33" display="http://www.atlascopcogroup.com/content/corporate/en/media/corporate-press-releases/2012/120112_Atlas_Copco_acquires_Perfora.html" xr:uid="{EEA377A0-3EB7-4D1B-BB5F-B7DFF9A357E4}"/>
    <hyperlink ref="B13" r:id="rId34" xr:uid="{441EF063-FC1F-4FA6-A8FA-9C9B52DEFF97}"/>
    <hyperlink ref="B12" r:id="rId35" xr:uid="{4DD40199-FF9E-40CF-BDF4-F3786507277E}"/>
    <hyperlink ref="B14" r:id="rId36" xr:uid="{D947B9A2-CCCD-4293-A531-C210E1336B70}"/>
    <hyperlink ref="B9" r:id="rId37" xr:uid="{2A6E44F7-9681-457F-9E32-E954BB9B6E64}"/>
    <hyperlink ref="B10" r:id="rId38" display="STANLEY Infrastructure" xr:uid="{8DBB9FC7-848E-41D0-A1C3-EE85D9C85ADD}"/>
    <hyperlink ref="B6" r:id="rId39" xr:uid="{0CE0D902-4A8D-46C3-B099-7683CA1C6072}"/>
    <hyperlink ref="B8" r:id="rId40" xr:uid="{57564080-18B8-404D-9D31-550842BC87D1}"/>
    <hyperlink ref="B7" r:id="rId41" xr:uid="{24E88A4D-D840-4C61-833E-952DCA484213}"/>
    <hyperlink ref="A2" location="'START PAGE'!A1" display="Back to start page" xr:uid="{161305B5-FD9F-4B3E-A498-E9D776F5541D}"/>
    <hyperlink ref="B5" r:id="rId42" xr:uid="{E5A753BC-FB9F-4E61-950C-9DC01EC43949}"/>
    <hyperlink ref="B4" r:id="rId43" xr:uid="{314F692B-2DB0-40C5-8A54-BBF197965871}"/>
  </hyperlinks>
  <pageMargins left="0.7" right="0.7" top="0.75" bottom="0.75" header="0.3" footer="0.3"/>
  <pageSetup paperSize="9" scale="58" fitToHeight="0" orientation="portrait" r:id="rId44"/>
  <legacyDrawing r:id="rId4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C594-ED83-4B06-A8D5-AF3C2095A706}">
  <sheetPr>
    <tabColor rgb="FF808080"/>
    <pageSetUpPr fitToPage="1"/>
  </sheetPr>
  <dimension ref="A1:AL94"/>
  <sheetViews>
    <sheetView showGridLines="0" workbookViewId="0"/>
  </sheetViews>
  <sheetFormatPr baseColWidth="10" defaultColWidth="10" defaultRowHeight="13.5" customHeight="1"/>
  <cols>
    <col min="1" max="1" width="29.5" customWidth="1"/>
    <col min="2" max="7" width="8.5" bestFit="1" customWidth="1"/>
    <col min="8" max="9" width="9" bestFit="1" customWidth="1"/>
    <col min="10" max="10" width="5.33203125" customWidth="1"/>
    <col min="11" max="11" width="9" bestFit="1" customWidth="1"/>
    <col min="12" max="34" width="5.6640625" bestFit="1" customWidth="1"/>
  </cols>
  <sheetData>
    <row r="1" spans="1:38" ht="17" thickBot="1">
      <c r="A1" s="15" t="s">
        <v>290</v>
      </c>
      <c r="B1" s="835" t="s">
        <v>124</v>
      </c>
      <c r="C1" s="835"/>
      <c r="D1" s="835"/>
      <c r="E1" s="836"/>
      <c r="F1" s="836"/>
      <c r="G1" s="836"/>
      <c r="H1" s="836"/>
      <c r="I1" s="836"/>
      <c r="J1" s="341"/>
      <c r="K1" s="835" t="s">
        <v>125</v>
      </c>
      <c r="L1" s="836"/>
      <c r="M1" s="836"/>
      <c r="N1" s="837"/>
      <c r="O1" s="835"/>
      <c r="P1" s="836"/>
      <c r="Q1" s="836"/>
      <c r="R1" s="837"/>
      <c r="S1" s="835"/>
      <c r="T1" s="836"/>
      <c r="U1" s="836"/>
      <c r="V1" s="837"/>
      <c r="W1" s="835"/>
      <c r="X1" s="836"/>
      <c r="Y1" s="836"/>
      <c r="Z1" s="837"/>
      <c r="AA1" s="835"/>
      <c r="AB1" s="836"/>
      <c r="AC1" s="836"/>
      <c r="AD1" s="837"/>
      <c r="AE1" s="835"/>
      <c r="AF1" s="836"/>
      <c r="AG1" s="836"/>
      <c r="AH1" s="837"/>
      <c r="AI1" s="341"/>
      <c r="AJ1" s="341"/>
      <c r="AK1" s="341"/>
      <c r="AL1" s="341"/>
    </row>
    <row r="2" spans="1:38" ht="15" thickTop="1" thickBot="1">
      <c r="A2" s="18" t="s">
        <v>30</v>
      </c>
      <c r="B2" s="1159" t="s">
        <v>1229</v>
      </c>
      <c r="C2" s="1159"/>
      <c r="D2" s="1159"/>
      <c r="E2" s="1159"/>
      <c r="F2" s="1159"/>
      <c r="G2" s="1159"/>
      <c r="H2" s="1159"/>
      <c r="I2" s="1159"/>
      <c r="J2" s="89"/>
      <c r="K2" s="89"/>
      <c r="L2" s="89"/>
      <c r="M2" s="89"/>
      <c r="N2" s="92"/>
      <c r="O2" s="89"/>
      <c r="P2" s="89"/>
      <c r="Q2" s="89"/>
      <c r="R2" s="92"/>
      <c r="S2" s="89"/>
      <c r="T2" s="89"/>
      <c r="U2" s="89"/>
      <c r="V2" s="92"/>
      <c r="W2" s="89"/>
      <c r="X2" s="89"/>
      <c r="Y2" s="89"/>
      <c r="Z2" s="92"/>
      <c r="AA2" s="89"/>
      <c r="AB2" s="89"/>
      <c r="AC2" s="89"/>
      <c r="AD2" s="92"/>
      <c r="AE2" s="1159" t="s">
        <v>1229</v>
      </c>
      <c r="AF2" s="1159"/>
      <c r="AG2" s="1159"/>
      <c r="AH2" s="1159"/>
      <c r="AI2" s="1159"/>
      <c r="AJ2" s="1159"/>
      <c r="AK2" s="1159"/>
      <c r="AL2" s="1159"/>
    </row>
    <row r="3" spans="1:38" ht="14" thickTop="1">
      <c r="A3" s="838"/>
      <c r="B3" s="1159"/>
      <c r="C3" s="1159"/>
      <c r="D3" s="1159"/>
      <c r="E3" s="1159"/>
      <c r="F3" s="1159"/>
      <c r="G3" s="1159"/>
      <c r="H3" s="1159"/>
      <c r="I3" s="1159"/>
      <c r="J3" s="89"/>
      <c r="K3" s="89"/>
      <c r="L3" s="89"/>
      <c r="M3" s="89"/>
      <c r="N3" s="92"/>
      <c r="O3" s="89"/>
      <c r="P3" s="89"/>
      <c r="Q3" s="89"/>
      <c r="R3" s="92"/>
      <c r="S3" s="89"/>
      <c r="T3" s="89"/>
      <c r="U3" s="89"/>
      <c r="V3" s="92"/>
      <c r="W3" s="89"/>
      <c r="X3" s="89"/>
      <c r="Y3" s="89"/>
      <c r="Z3" s="92"/>
      <c r="AA3" s="89"/>
      <c r="AB3" s="89"/>
      <c r="AC3" s="89"/>
      <c r="AD3" s="92"/>
      <c r="AE3" s="1159"/>
      <c r="AF3" s="1159"/>
      <c r="AG3" s="1159"/>
      <c r="AH3" s="1159"/>
      <c r="AI3" s="1159"/>
      <c r="AJ3" s="1159"/>
      <c r="AK3" s="1159"/>
      <c r="AL3" s="1159"/>
    </row>
    <row r="4" spans="1:38" ht="36" customHeight="1">
      <c r="A4" s="838"/>
      <c r="B4" s="1159"/>
      <c r="C4" s="1159"/>
      <c r="D4" s="1159"/>
      <c r="E4" s="1159"/>
      <c r="F4" s="1159"/>
      <c r="G4" s="1159"/>
      <c r="H4" s="1159"/>
      <c r="I4" s="1159"/>
      <c r="J4" s="89"/>
      <c r="K4" s="89"/>
      <c r="L4" s="89"/>
      <c r="M4" s="89"/>
      <c r="N4" s="92"/>
      <c r="O4" s="89"/>
      <c r="P4" s="89"/>
      <c r="Q4" s="89"/>
      <c r="R4" s="92"/>
      <c r="S4" s="89"/>
      <c r="T4" s="89"/>
      <c r="U4" s="89"/>
      <c r="V4" s="92"/>
      <c r="W4" s="89"/>
      <c r="X4" s="89"/>
      <c r="Y4" s="89"/>
      <c r="Z4" s="92"/>
      <c r="AA4" s="89"/>
      <c r="AB4" s="89"/>
      <c r="AC4" s="89"/>
      <c r="AD4" s="92"/>
      <c r="AE4" s="1159"/>
      <c r="AF4" s="1159"/>
      <c r="AG4" s="1159"/>
      <c r="AH4" s="1159"/>
      <c r="AI4" s="1159"/>
      <c r="AJ4" s="1159"/>
      <c r="AK4" s="1159"/>
      <c r="AL4" s="1159"/>
    </row>
    <row r="5" spans="1:38" ht="13">
      <c r="A5" s="839" t="s">
        <v>474</v>
      </c>
      <c r="B5" s="840">
        <v>2015</v>
      </c>
      <c r="C5" s="840">
        <v>2016</v>
      </c>
      <c r="D5" s="840">
        <v>2017</v>
      </c>
      <c r="E5" s="840">
        <v>2018</v>
      </c>
      <c r="F5" s="840">
        <v>2019</v>
      </c>
      <c r="G5" s="840">
        <v>2020</v>
      </c>
      <c r="H5" s="840">
        <v>2021</v>
      </c>
      <c r="I5" s="840">
        <v>2022</v>
      </c>
      <c r="J5" s="341"/>
      <c r="K5" s="840">
        <v>2017</v>
      </c>
      <c r="L5" s="840"/>
      <c r="M5" s="840"/>
      <c r="N5" s="841"/>
      <c r="O5" s="840">
        <v>2018</v>
      </c>
      <c r="P5" s="840"/>
      <c r="Q5" s="840"/>
      <c r="R5" s="841"/>
      <c r="S5" s="840">
        <v>2019</v>
      </c>
      <c r="T5" s="840"/>
      <c r="U5" s="840"/>
      <c r="V5" s="841"/>
      <c r="W5" s="840">
        <v>2020</v>
      </c>
      <c r="X5" s="840"/>
      <c r="Y5" s="840"/>
      <c r="Z5" s="841"/>
      <c r="AA5" s="840">
        <v>2021</v>
      </c>
      <c r="AB5" s="840"/>
      <c r="AC5" s="840"/>
      <c r="AD5" s="841"/>
      <c r="AE5" s="840">
        <v>2022</v>
      </c>
      <c r="AF5" s="840"/>
      <c r="AG5" s="840"/>
      <c r="AH5" s="841"/>
      <c r="AI5" s="341"/>
      <c r="AJ5" s="89"/>
      <c r="AK5" s="89"/>
      <c r="AL5" s="89"/>
    </row>
    <row r="6" spans="1:38" ht="13">
      <c r="A6" s="842" t="s">
        <v>261</v>
      </c>
      <c r="B6" s="843" t="s">
        <v>495</v>
      </c>
      <c r="C6" s="843" t="s">
        <v>495</v>
      </c>
      <c r="D6" s="843" t="s">
        <v>495</v>
      </c>
      <c r="E6" s="843" t="s">
        <v>495</v>
      </c>
      <c r="F6" s="843" t="s">
        <v>495</v>
      </c>
      <c r="G6" s="843" t="s">
        <v>495</v>
      </c>
      <c r="H6" s="843" t="s">
        <v>495</v>
      </c>
      <c r="I6" s="843" t="s">
        <v>495</v>
      </c>
      <c r="J6" s="341"/>
      <c r="K6" s="843" t="s">
        <v>497</v>
      </c>
      <c r="L6" s="843" t="s">
        <v>498</v>
      </c>
      <c r="M6" s="843" t="s">
        <v>499</v>
      </c>
      <c r="N6" s="844" t="s">
        <v>500</v>
      </c>
      <c r="O6" s="843" t="s">
        <v>497</v>
      </c>
      <c r="P6" s="843" t="s">
        <v>498</v>
      </c>
      <c r="Q6" s="843" t="s">
        <v>499</v>
      </c>
      <c r="R6" s="844" t="s">
        <v>500</v>
      </c>
      <c r="S6" s="843" t="s">
        <v>497</v>
      </c>
      <c r="T6" s="843" t="s">
        <v>498</v>
      </c>
      <c r="U6" s="843" t="s">
        <v>499</v>
      </c>
      <c r="V6" s="844" t="s">
        <v>500</v>
      </c>
      <c r="W6" s="843" t="s">
        <v>497</v>
      </c>
      <c r="X6" s="843" t="s">
        <v>498</v>
      </c>
      <c r="Y6" s="843" t="s">
        <v>499</v>
      </c>
      <c r="Z6" s="844" t="s">
        <v>500</v>
      </c>
      <c r="AA6" s="843" t="s">
        <v>497</v>
      </c>
      <c r="AB6" s="843" t="s">
        <v>498</v>
      </c>
      <c r="AC6" s="843" t="s">
        <v>499</v>
      </c>
      <c r="AD6" s="844" t="s">
        <v>500</v>
      </c>
      <c r="AE6" s="843" t="s">
        <v>497</v>
      </c>
      <c r="AF6" s="843" t="s">
        <v>498</v>
      </c>
      <c r="AG6" s="843" t="s">
        <v>499</v>
      </c>
      <c r="AH6" s="844" t="s">
        <v>500</v>
      </c>
      <c r="AI6" s="341"/>
      <c r="AJ6" s="89"/>
      <c r="AK6" s="89"/>
      <c r="AL6" s="89"/>
    </row>
    <row r="7" spans="1:38" ht="13">
      <c r="A7" s="567" t="s">
        <v>293</v>
      </c>
      <c r="B7" s="602">
        <v>19213</v>
      </c>
      <c r="C7" s="602">
        <v>19413</v>
      </c>
      <c r="D7" s="602">
        <v>24574.266098877102</v>
      </c>
      <c r="E7" s="602">
        <v>29695</v>
      </c>
      <c r="F7" s="602">
        <v>28509</v>
      </c>
      <c r="G7" s="602">
        <v>27252</v>
      </c>
      <c r="H7" s="602">
        <f t="shared" ref="H7:H12" si="0">SUM(AA7:AD7)</f>
        <v>34513</v>
      </c>
      <c r="I7" s="602">
        <v>41566</v>
      </c>
      <c r="J7" s="341"/>
      <c r="K7" s="602">
        <v>6200.2283143322002</v>
      </c>
      <c r="L7" s="602">
        <v>6323.0377845449002</v>
      </c>
      <c r="M7" s="602">
        <v>6263</v>
      </c>
      <c r="N7" s="845">
        <v>5788</v>
      </c>
      <c r="O7" s="602">
        <v>7442</v>
      </c>
      <c r="P7" s="602">
        <v>7947</v>
      </c>
      <c r="Q7" s="602">
        <v>7190</v>
      </c>
      <c r="R7" s="845">
        <v>7116</v>
      </c>
      <c r="S7" s="602">
        <v>7248</v>
      </c>
      <c r="T7" s="602">
        <v>7677</v>
      </c>
      <c r="U7" s="602">
        <v>6874</v>
      </c>
      <c r="V7" s="845">
        <v>6710</v>
      </c>
      <c r="W7" s="602">
        <v>7101</v>
      </c>
      <c r="X7" s="602">
        <v>6129</v>
      </c>
      <c r="Y7" s="602">
        <v>7068</v>
      </c>
      <c r="Z7" s="845">
        <v>6954</v>
      </c>
      <c r="AA7" s="602">
        <v>7991</v>
      </c>
      <c r="AB7" s="602">
        <v>8387</v>
      </c>
      <c r="AC7" s="602">
        <v>9336</v>
      </c>
      <c r="AD7" s="845">
        <v>8799</v>
      </c>
      <c r="AE7" s="602">
        <v>10547</v>
      </c>
      <c r="AF7" s="602">
        <v>10567</v>
      </c>
      <c r="AG7" s="602">
        <v>9526</v>
      </c>
      <c r="AH7" s="845">
        <v>10926</v>
      </c>
      <c r="AI7" s="341"/>
      <c r="AJ7" s="89"/>
      <c r="AK7" s="89"/>
      <c r="AL7" s="89"/>
    </row>
    <row r="8" spans="1:38" ht="13">
      <c r="A8" s="846" t="s">
        <v>294</v>
      </c>
      <c r="B8" s="847">
        <v>7776</v>
      </c>
      <c r="C8" s="847">
        <v>8506</v>
      </c>
      <c r="D8" s="847">
        <v>12246</v>
      </c>
      <c r="E8" s="847">
        <v>15244</v>
      </c>
      <c r="F8" s="847">
        <v>12355</v>
      </c>
      <c r="G8" s="847">
        <v>11326</v>
      </c>
      <c r="H8" s="847">
        <f t="shared" si="0"/>
        <v>16403</v>
      </c>
      <c r="I8" s="847">
        <v>17189</v>
      </c>
      <c r="J8" s="341"/>
      <c r="K8" s="847">
        <v>3147</v>
      </c>
      <c r="L8" s="847">
        <v>3142</v>
      </c>
      <c r="M8" s="847">
        <v>3281</v>
      </c>
      <c r="N8" s="848">
        <v>2676</v>
      </c>
      <c r="O8" s="847">
        <v>4054</v>
      </c>
      <c r="P8" s="847">
        <v>4234</v>
      </c>
      <c r="Q8" s="847">
        <v>3601</v>
      </c>
      <c r="R8" s="848">
        <v>3355</v>
      </c>
      <c r="S8" s="847">
        <v>3442</v>
      </c>
      <c r="T8" s="847">
        <v>3580</v>
      </c>
      <c r="U8" s="847">
        <v>2727</v>
      </c>
      <c r="V8" s="848">
        <v>2606</v>
      </c>
      <c r="W8" s="847">
        <v>2850</v>
      </c>
      <c r="X8" s="847">
        <v>2410</v>
      </c>
      <c r="Y8" s="847">
        <v>3099</v>
      </c>
      <c r="Z8" s="848">
        <v>2967</v>
      </c>
      <c r="AA8" s="847">
        <v>4028</v>
      </c>
      <c r="AB8" s="847">
        <v>4031</v>
      </c>
      <c r="AC8" s="847">
        <v>4532</v>
      </c>
      <c r="AD8" s="848">
        <v>3812</v>
      </c>
      <c r="AE8" s="847">
        <v>5244</v>
      </c>
      <c r="AF8" s="847">
        <v>4682</v>
      </c>
      <c r="AG8" s="847">
        <v>3437</v>
      </c>
      <c r="AH8" s="848">
        <v>3826</v>
      </c>
      <c r="AI8" s="341"/>
      <c r="AJ8" s="89"/>
      <c r="AK8" s="89"/>
      <c r="AL8" s="89"/>
    </row>
    <row r="9" spans="1:38" ht="13">
      <c r="A9" s="846" t="s">
        <v>295</v>
      </c>
      <c r="B9" s="849">
        <v>11437</v>
      </c>
      <c r="C9" s="849">
        <v>10907</v>
      </c>
      <c r="D9" s="849">
        <v>12328</v>
      </c>
      <c r="E9" s="849">
        <v>14451</v>
      </c>
      <c r="F9" s="849">
        <v>16154</v>
      </c>
      <c r="G9" s="849">
        <v>15926</v>
      </c>
      <c r="H9" s="849">
        <f t="shared" si="0"/>
        <v>18110</v>
      </c>
      <c r="I9" s="849">
        <v>24377</v>
      </c>
      <c r="J9" s="341"/>
      <c r="K9" s="849">
        <v>3053</v>
      </c>
      <c r="L9" s="849">
        <v>3181</v>
      </c>
      <c r="M9" s="849">
        <v>2982</v>
      </c>
      <c r="N9" s="850">
        <v>3112</v>
      </c>
      <c r="O9" s="849">
        <v>3388</v>
      </c>
      <c r="P9" s="849">
        <v>3713</v>
      </c>
      <c r="Q9" s="849">
        <v>3589</v>
      </c>
      <c r="R9" s="850">
        <v>3761</v>
      </c>
      <c r="S9" s="849">
        <v>3806</v>
      </c>
      <c r="T9" s="849">
        <v>4097</v>
      </c>
      <c r="U9" s="849">
        <v>4147</v>
      </c>
      <c r="V9" s="850">
        <v>4105</v>
      </c>
      <c r="W9" s="849">
        <v>4251</v>
      </c>
      <c r="X9" s="849">
        <v>3719</v>
      </c>
      <c r="Y9" s="849">
        <v>3969</v>
      </c>
      <c r="Z9" s="850">
        <v>3987</v>
      </c>
      <c r="AA9" s="849">
        <v>3963</v>
      </c>
      <c r="AB9" s="849">
        <v>4356</v>
      </c>
      <c r="AC9" s="849">
        <v>4804</v>
      </c>
      <c r="AD9" s="850">
        <v>4987</v>
      </c>
      <c r="AE9" s="849">
        <v>5303</v>
      </c>
      <c r="AF9" s="849">
        <v>5885</v>
      </c>
      <c r="AG9" s="849">
        <v>6089</v>
      </c>
      <c r="AH9" s="850">
        <v>7100</v>
      </c>
      <c r="AI9" s="341"/>
      <c r="AJ9" s="89"/>
      <c r="AK9" s="89"/>
      <c r="AL9" s="89"/>
    </row>
    <row r="10" spans="1:38" ht="13">
      <c r="A10" s="567" t="s">
        <v>296</v>
      </c>
      <c r="B10" s="602">
        <v>8109</v>
      </c>
      <c r="C10" s="602">
        <v>7947</v>
      </c>
      <c r="D10" s="602">
        <v>9047.0275727111002</v>
      </c>
      <c r="E10" s="602">
        <v>9611</v>
      </c>
      <c r="F10" s="602">
        <v>10768</v>
      </c>
      <c r="G10" s="602">
        <v>9185</v>
      </c>
      <c r="H10" s="602">
        <f t="shared" si="0"/>
        <v>11025</v>
      </c>
      <c r="I10" s="602">
        <v>11795</v>
      </c>
      <c r="J10" s="341"/>
      <c r="K10" s="602">
        <v>2341.2545534702999</v>
      </c>
      <c r="L10" s="602">
        <v>2269.6157532337002</v>
      </c>
      <c r="M10" s="602">
        <v>2239.1572660071001</v>
      </c>
      <c r="N10" s="845">
        <v>2197</v>
      </c>
      <c r="O10" s="602">
        <v>2550</v>
      </c>
      <c r="P10" s="602">
        <v>2470</v>
      </c>
      <c r="Q10" s="602">
        <v>2285</v>
      </c>
      <c r="R10" s="845">
        <v>2306</v>
      </c>
      <c r="S10" s="602">
        <v>2760</v>
      </c>
      <c r="T10" s="602">
        <v>2826</v>
      </c>
      <c r="U10" s="602">
        <v>2665</v>
      </c>
      <c r="V10" s="845">
        <v>2517</v>
      </c>
      <c r="W10" s="602">
        <v>2619</v>
      </c>
      <c r="X10" s="602">
        <v>1980</v>
      </c>
      <c r="Y10" s="602">
        <v>2249</v>
      </c>
      <c r="Z10" s="845">
        <v>2337</v>
      </c>
      <c r="AA10" s="602">
        <v>2674</v>
      </c>
      <c r="AB10" s="602">
        <v>2678</v>
      </c>
      <c r="AC10" s="602">
        <v>2866</v>
      </c>
      <c r="AD10" s="845">
        <v>2807</v>
      </c>
      <c r="AE10" s="602">
        <v>3263</v>
      </c>
      <c r="AF10" s="602">
        <v>2825</v>
      </c>
      <c r="AG10" s="602">
        <v>2767</v>
      </c>
      <c r="AH10" s="845">
        <v>2940</v>
      </c>
      <c r="AI10" s="341"/>
      <c r="AJ10" s="89"/>
      <c r="AK10" s="89"/>
      <c r="AL10" s="89"/>
    </row>
    <row r="11" spans="1:38" ht="13">
      <c r="A11" s="567" t="s">
        <v>297</v>
      </c>
      <c r="B11" s="602">
        <v>229</v>
      </c>
      <c r="C11" s="602">
        <v>274</v>
      </c>
      <c r="D11" s="602">
        <v>210</v>
      </c>
      <c r="E11" s="602">
        <v>94</v>
      </c>
      <c r="F11" s="602">
        <v>215</v>
      </c>
      <c r="G11" s="602">
        <v>142</v>
      </c>
      <c r="H11" s="602">
        <f t="shared" si="0"/>
        <v>110</v>
      </c>
      <c r="I11" s="602">
        <v>-139</v>
      </c>
      <c r="J11" s="341"/>
      <c r="K11" s="602">
        <v>-21</v>
      </c>
      <c r="L11" s="602">
        <v>68.861974440200356</v>
      </c>
      <c r="M11" s="602">
        <v>89</v>
      </c>
      <c r="N11" s="845">
        <v>73</v>
      </c>
      <c r="O11" s="602">
        <v>44</v>
      </c>
      <c r="P11" s="602">
        <v>66</v>
      </c>
      <c r="Q11" s="602">
        <v>-62</v>
      </c>
      <c r="R11" s="845">
        <v>46</v>
      </c>
      <c r="S11" s="602">
        <v>55</v>
      </c>
      <c r="T11" s="602">
        <v>50</v>
      </c>
      <c r="U11" s="602">
        <v>61</v>
      </c>
      <c r="V11" s="845">
        <v>49</v>
      </c>
      <c r="W11" s="602">
        <v>52</v>
      </c>
      <c r="X11" s="602">
        <v>-4</v>
      </c>
      <c r="Y11" s="602">
        <v>56</v>
      </c>
      <c r="Z11" s="845">
        <v>38</v>
      </c>
      <c r="AA11" s="602">
        <v>25</v>
      </c>
      <c r="AB11" s="602">
        <v>5</v>
      </c>
      <c r="AC11" s="602">
        <v>43</v>
      </c>
      <c r="AD11" s="845">
        <v>37</v>
      </c>
      <c r="AE11" s="602">
        <v>8</v>
      </c>
      <c r="AF11" s="602">
        <v>-15</v>
      </c>
      <c r="AG11" s="602">
        <v>29</v>
      </c>
      <c r="AH11" s="845">
        <v>-161</v>
      </c>
      <c r="AI11" s="341"/>
      <c r="AJ11" s="89"/>
      <c r="AK11" s="89"/>
      <c r="AL11" s="89"/>
    </row>
    <row r="12" spans="1:38" ht="13">
      <c r="A12" s="811" t="s">
        <v>298</v>
      </c>
      <c r="B12" s="851">
        <v>27551</v>
      </c>
      <c r="C12" s="851">
        <v>27634</v>
      </c>
      <c r="D12" s="851">
        <v>33831</v>
      </c>
      <c r="E12" s="851">
        <v>39400</v>
      </c>
      <c r="F12" s="851">
        <v>39492</v>
      </c>
      <c r="G12" s="851">
        <v>36579</v>
      </c>
      <c r="H12" s="851">
        <f t="shared" si="0"/>
        <v>45648</v>
      </c>
      <c r="I12" s="851">
        <v>53222</v>
      </c>
      <c r="J12" s="341"/>
      <c r="K12" s="851">
        <v>8520</v>
      </c>
      <c r="L12" s="851">
        <v>8661.5155122188007</v>
      </c>
      <c r="M12" s="851">
        <v>8591.1572660070997</v>
      </c>
      <c r="N12" s="852">
        <v>8058</v>
      </c>
      <c r="O12" s="851">
        <v>10036</v>
      </c>
      <c r="P12" s="851">
        <v>10483</v>
      </c>
      <c r="Q12" s="851">
        <v>9413</v>
      </c>
      <c r="R12" s="852">
        <v>9468</v>
      </c>
      <c r="S12" s="851">
        <v>10063</v>
      </c>
      <c r="T12" s="851">
        <v>10553</v>
      </c>
      <c r="U12" s="851">
        <v>9600</v>
      </c>
      <c r="V12" s="852">
        <v>9276</v>
      </c>
      <c r="W12" s="851">
        <v>9772</v>
      </c>
      <c r="X12" s="851">
        <v>8105</v>
      </c>
      <c r="Y12" s="851">
        <v>9373</v>
      </c>
      <c r="Z12" s="852">
        <v>9329</v>
      </c>
      <c r="AA12" s="851">
        <v>10690</v>
      </c>
      <c r="AB12" s="851">
        <v>11070</v>
      </c>
      <c r="AC12" s="851">
        <v>12245</v>
      </c>
      <c r="AD12" s="852">
        <v>11643</v>
      </c>
      <c r="AE12" s="851">
        <v>13818</v>
      </c>
      <c r="AF12" s="851">
        <v>13377</v>
      </c>
      <c r="AG12" s="851">
        <v>12322</v>
      </c>
      <c r="AH12" s="852">
        <v>13705</v>
      </c>
      <c r="AI12" s="341"/>
      <c r="AJ12" s="89"/>
      <c r="AK12" s="89"/>
      <c r="AL12" s="89"/>
    </row>
    <row r="13" spans="1:38" ht="13">
      <c r="A13" s="839"/>
      <c r="B13" s="853"/>
      <c r="C13" s="853"/>
      <c r="D13" s="853"/>
      <c r="E13" s="853"/>
      <c r="F13" s="853"/>
      <c r="G13" s="853"/>
      <c r="H13" s="853"/>
      <c r="I13" s="853"/>
      <c r="J13" s="341"/>
      <c r="K13" s="853"/>
      <c r="L13" s="853"/>
      <c r="M13" s="853"/>
      <c r="N13" s="854"/>
      <c r="O13" s="853"/>
      <c r="P13" s="853"/>
      <c r="Q13" s="853"/>
      <c r="R13" s="854"/>
      <c r="S13" s="853"/>
      <c r="T13" s="853"/>
      <c r="U13" s="853"/>
      <c r="V13" s="854"/>
      <c r="W13" s="853"/>
      <c r="X13" s="853"/>
      <c r="Y13" s="853"/>
      <c r="Z13" s="854"/>
      <c r="AA13" s="853"/>
      <c r="AB13" s="853"/>
      <c r="AC13" s="853"/>
      <c r="AD13" s="854"/>
      <c r="AE13" s="853"/>
      <c r="AF13" s="853"/>
      <c r="AG13" s="853"/>
      <c r="AH13" s="854"/>
      <c r="AI13" s="341"/>
      <c r="AJ13" s="89"/>
      <c r="AK13" s="89"/>
      <c r="AL13" s="89"/>
    </row>
    <row r="14" spans="1:38" ht="13">
      <c r="A14" s="855"/>
      <c r="B14" s="853"/>
      <c r="C14" s="853"/>
      <c r="D14" s="853"/>
      <c r="E14" s="853"/>
      <c r="F14" s="853"/>
      <c r="G14" s="853"/>
      <c r="H14" s="853"/>
      <c r="I14" s="853"/>
      <c r="J14" s="341"/>
      <c r="K14" s="853"/>
      <c r="L14" s="853"/>
      <c r="M14" s="853"/>
      <c r="N14" s="854"/>
      <c r="O14" s="853"/>
      <c r="P14" s="853"/>
      <c r="Q14" s="853"/>
      <c r="R14" s="854"/>
      <c r="S14" s="853"/>
      <c r="T14" s="853"/>
      <c r="U14" s="853"/>
      <c r="V14" s="854"/>
      <c r="W14" s="853"/>
      <c r="X14" s="853"/>
      <c r="Y14" s="853"/>
      <c r="Z14" s="854"/>
      <c r="AA14" s="853"/>
      <c r="AB14" s="853"/>
      <c r="AC14" s="853"/>
      <c r="AD14" s="854"/>
      <c r="AE14" s="853"/>
      <c r="AF14" s="853"/>
      <c r="AG14" s="853"/>
      <c r="AH14" s="854"/>
      <c r="AI14" s="341"/>
      <c r="AJ14" s="89"/>
      <c r="AK14" s="89"/>
      <c r="AL14" s="89"/>
    </row>
    <row r="15" spans="1:38" ht="13">
      <c r="A15" s="855" t="s">
        <v>197</v>
      </c>
      <c r="B15" s="840">
        <v>2015</v>
      </c>
      <c r="C15" s="840">
        <v>2016</v>
      </c>
      <c r="D15" s="840">
        <v>2017</v>
      </c>
      <c r="E15" s="840">
        <v>2018</v>
      </c>
      <c r="F15" s="840">
        <v>2019</v>
      </c>
      <c r="G15" s="840">
        <v>2020</v>
      </c>
      <c r="H15" s="840">
        <f>SUM(AA15:AD15)</f>
        <v>2021</v>
      </c>
      <c r="I15" s="840">
        <v>2022</v>
      </c>
      <c r="J15" s="341"/>
      <c r="K15" s="840">
        <v>2017</v>
      </c>
      <c r="L15" s="840"/>
      <c r="M15" s="840"/>
      <c r="N15" s="841"/>
      <c r="O15" s="840">
        <v>2018</v>
      </c>
      <c r="P15" s="840"/>
      <c r="Q15" s="840"/>
      <c r="R15" s="841"/>
      <c r="S15" s="840">
        <v>2019</v>
      </c>
      <c r="T15" s="840"/>
      <c r="U15" s="840"/>
      <c r="V15" s="841"/>
      <c r="W15" s="840">
        <v>2020</v>
      </c>
      <c r="X15" s="840"/>
      <c r="Y15" s="840"/>
      <c r="Z15" s="841"/>
      <c r="AA15" s="840">
        <v>2021</v>
      </c>
      <c r="AB15" s="840"/>
      <c r="AC15" s="840"/>
      <c r="AD15" s="841" t="s">
        <v>302</v>
      </c>
      <c r="AE15" s="840">
        <v>2022</v>
      </c>
      <c r="AF15" s="840" t="s">
        <v>302</v>
      </c>
      <c r="AG15" s="840" t="s">
        <v>302</v>
      </c>
      <c r="AH15" s="841" t="s">
        <v>302</v>
      </c>
      <c r="AI15" s="341"/>
      <c r="AJ15" s="89"/>
      <c r="AK15" s="89"/>
      <c r="AL15" s="89"/>
    </row>
    <row r="16" spans="1:38" ht="13">
      <c r="A16" s="856" t="s">
        <v>261</v>
      </c>
      <c r="B16" s="857" t="s">
        <v>495</v>
      </c>
      <c r="C16" s="857" t="s">
        <v>495</v>
      </c>
      <c r="D16" s="857" t="s">
        <v>495</v>
      </c>
      <c r="E16" s="857" t="s">
        <v>495</v>
      </c>
      <c r="F16" s="857" t="s">
        <v>495</v>
      </c>
      <c r="G16" s="857" t="s">
        <v>495</v>
      </c>
      <c r="H16" s="857" t="s">
        <v>495</v>
      </c>
      <c r="I16" s="857" t="s">
        <v>495</v>
      </c>
      <c r="J16" s="341"/>
      <c r="K16" s="857" t="s">
        <v>497</v>
      </c>
      <c r="L16" s="857" t="s">
        <v>498</v>
      </c>
      <c r="M16" s="857" t="s">
        <v>499</v>
      </c>
      <c r="N16" s="858" t="s">
        <v>500</v>
      </c>
      <c r="O16" s="857" t="s">
        <v>497</v>
      </c>
      <c r="P16" s="857" t="s">
        <v>498</v>
      </c>
      <c r="Q16" s="857" t="s">
        <v>499</v>
      </c>
      <c r="R16" s="858" t="s">
        <v>500</v>
      </c>
      <c r="S16" s="857" t="s">
        <v>497</v>
      </c>
      <c r="T16" s="857" t="s">
        <v>498</v>
      </c>
      <c r="U16" s="857" t="s">
        <v>499</v>
      </c>
      <c r="V16" s="858" t="s">
        <v>500</v>
      </c>
      <c r="W16" s="857" t="s">
        <v>497</v>
      </c>
      <c r="X16" s="857" t="s">
        <v>498</v>
      </c>
      <c r="Y16" s="857" t="s">
        <v>499</v>
      </c>
      <c r="Z16" s="858" t="s">
        <v>500</v>
      </c>
      <c r="AA16" s="857" t="s">
        <v>497</v>
      </c>
      <c r="AB16" s="857" t="s">
        <v>498</v>
      </c>
      <c r="AC16" s="857" t="str">
        <f>+AC$6</f>
        <v>Q3</v>
      </c>
      <c r="AD16" s="858" t="s">
        <v>500</v>
      </c>
      <c r="AE16" s="857" t="s">
        <v>497</v>
      </c>
      <c r="AF16" s="857" t="s">
        <v>498</v>
      </c>
      <c r="AG16" s="857" t="s">
        <v>499</v>
      </c>
      <c r="AH16" s="858" t="s">
        <v>500</v>
      </c>
      <c r="AI16" s="341"/>
      <c r="AJ16" s="89"/>
      <c r="AK16" s="89"/>
      <c r="AL16" s="89"/>
    </row>
    <row r="17" spans="1:38" ht="13">
      <c r="A17" s="567" t="s">
        <v>293</v>
      </c>
      <c r="B17" s="602">
        <v>20317</v>
      </c>
      <c r="C17" s="602">
        <v>18898</v>
      </c>
      <c r="D17" s="602">
        <v>22383</v>
      </c>
      <c r="E17" s="602">
        <v>28540</v>
      </c>
      <c r="F17" s="602">
        <v>29891</v>
      </c>
      <c r="G17" s="602">
        <v>26927</v>
      </c>
      <c r="H17" s="602">
        <f t="shared" ref="H17:H22" si="1">SUM(AA17:AD17)</f>
        <v>29320</v>
      </c>
      <c r="I17" s="602">
        <v>37661</v>
      </c>
      <c r="J17" s="341"/>
      <c r="K17" s="602">
        <v>5220</v>
      </c>
      <c r="L17" s="602">
        <v>5495</v>
      </c>
      <c r="M17" s="602">
        <v>5406</v>
      </c>
      <c r="N17" s="845">
        <v>6262</v>
      </c>
      <c r="O17" s="602">
        <v>5943</v>
      </c>
      <c r="P17" s="602">
        <v>7325</v>
      </c>
      <c r="Q17" s="602">
        <v>7178</v>
      </c>
      <c r="R17" s="845">
        <v>8094</v>
      </c>
      <c r="S17" s="602">
        <v>7115</v>
      </c>
      <c r="T17" s="602">
        <v>7702</v>
      </c>
      <c r="U17" s="602">
        <v>7334</v>
      </c>
      <c r="V17" s="845">
        <v>7740</v>
      </c>
      <c r="W17" s="602">
        <v>6579</v>
      </c>
      <c r="X17" s="602">
        <v>6422</v>
      </c>
      <c r="Y17" s="602">
        <v>6471</v>
      </c>
      <c r="Z17" s="845">
        <v>7455</v>
      </c>
      <c r="AA17" s="602">
        <v>6391</v>
      </c>
      <c r="AB17" s="602">
        <v>7187</v>
      </c>
      <c r="AC17" s="602">
        <v>7242</v>
      </c>
      <c r="AD17" s="845">
        <v>8500</v>
      </c>
      <c r="AE17" s="602">
        <v>8196</v>
      </c>
      <c r="AF17" s="602">
        <v>8700</v>
      </c>
      <c r="AG17" s="602">
        <v>9747</v>
      </c>
      <c r="AH17" s="845">
        <v>11018</v>
      </c>
      <c r="AI17" s="341"/>
      <c r="AJ17" s="89"/>
      <c r="AK17" s="89"/>
      <c r="AL17" s="89"/>
    </row>
    <row r="18" spans="1:38" ht="13">
      <c r="A18" s="846" t="s">
        <v>294</v>
      </c>
      <c r="B18" s="847">
        <v>8510</v>
      </c>
      <c r="C18" s="847">
        <v>7710</v>
      </c>
      <c r="D18" s="847">
        <v>10276</v>
      </c>
      <c r="E18" s="847">
        <v>14238</v>
      </c>
      <c r="F18" s="847">
        <v>13862</v>
      </c>
      <c r="G18" s="847">
        <v>11382</v>
      </c>
      <c r="H18" s="847">
        <f t="shared" si="1"/>
        <v>12197</v>
      </c>
      <c r="I18" s="847">
        <v>15198</v>
      </c>
      <c r="J18" s="827"/>
      <c r="K18" s="847">
        <v>2219</v>
      </c>
      <c r="L18" s="847">
        <v>2469</v>
      </c>
      <c r="M18" s="847">
        <v>2414</v>
      </c>
      <c r="N18" s="848">
        <v>3174</v>
      </c>
      <c r="O18" s="847">
        <v>2678</v>
      </c>
      <c r="P18" s="847">
        <v>3640</v>
      </c>
      <c r="Q18" s="847">
        <v>3570</v>
      </c>
      <c r="R18" s="848">
        <v>4350</v>
      </c>
      <c r="S18" s="847">
        <v>3313</v>
      </c>
      <c r="T18" s="847">
        <v>3638</v>
      </c>
      <c r="U18" s="847">
        <v>3198</v>
      </c>
      <c r="V18" s="848">
        <v>3713</v>
      </c>
      <c r="W18" s="847">
        <v>2519</v>
      </c>
      <c r="X18" s="847">
        <v>2768</v>
      </c>
      <c r="Y18" s="847">
        <v>2688</v>
      </c>
      <c r="Z18" s="848">
        <v>3408</v>
      </c>
      <c r="AA18" s="847">
        <v>2562</v>
      </c>
      <c r="AB18" s="847">
        <v>3052</v>
      </c>
      <c r="AC18" s="847">
        <v>2792</v>
      </c>
      <c r="AD18" s="848">
        <v>3791</v>
      </c>
      <c r="AE18" s="847">
        <v>3410</v>
      </c>
      <c r="AF18" s="847">
        <v>3190</v>
      </c>
      <c r="AG18" s="847">
        <v>3832</v>
      </c>
      <c r="AH18" s="848">
        <v>4766</v>
      </c>
      <c r="AI18" s="341"/>
      <c r="AJ18" s="89"/>
      <c r="AK18" s="89"/>
      <c r="AL18" s="89"/>
    </row>
    <row r="19" spans="1:38" ht="13">
      <c r="A19" s="846" t="s">
        <v>295</v>
      </c>
      <c r="B19" s="849">
        <v>11807</v>
      </c>
      <c r="C19" s="849">
        <v>11188</v>
      </c>
      <c r="D19" s="849">
        <v>12106.760383407502</v>
      </c>
      <c r="E19" s="849">
        <v>14302</v>
      </c>
      <c r="F19" s="849">
        <v>16030</v>
      </c>
      <c r="G19" s="849">
        <v>15545</v>
      </c>
      <c r="H19" s="849">
        <f t="shared" si="1"/>
        <v>17123</v>
      </c>
      <c r="I19" s="849">
        <v>22463</v>
      </c>
      <c r="J19" s="859"/>
      <c r="K19" s="849">
        <v>3000.7719271698002</v>
      </c>
      <c r="L19" s="849">
        <v>3026</v>
      </c>
      <c r="M19" s="849">
        <v>2992</v>
      </c>
      <c r="N19" s="850">
        <v>3088.1511000085002</v>
      </c>
      <c r="O19" s="849">
        <v>3265</v>
      </c>
      <c r="P19" s="849">
        <v>3685</v>
      </c>
      <c r="Q19" s="849">
        <v>3608</v>
      </c>
      <c r="R19" s="850">
        <v>3744.3818536147</v>
      </c>
      <c r="S19" s="849">
        <v>3802</v>
      </c>
      <c r="T19" s="849">
        <v>4064</v>
      </c>
      <c r="U19" s="849">
        <v>4136</v>
      </c>
      <c r="V19" s="850">
        <v>4028</v>
      </c>
      <c r="W19" s="849">
        <v>4060</v>
      </c>
      <c r="X19" s="849">
        <v>3654</v>
      </c>
      <c r="Y19" s="849">
        <v>3783</v>
      </c>
      <c r="Z19" s="850">
        <v>4048</v>
      </c>
      <c r="AA19" s="849">
        <v>3829</v>
      </c>
      <c r="AB19" s="849">
        <v>4135</v>
      </c>
      <c r="AC19" s="849">
        <v>4450</v>
      </c>
      <c r="AD19" s="850">
        <v>4709</v>
      </c>
      <c r="AE19" s="849">
        <v>4786</v>
      </c>
      <c r="AF19" s="849">
        <v>5510</v>
      </c>
      <c r="AG19" s="849">
        <v>5915</v>
      </c>
      <c r="AH19" s="850">
        <v>6252</v>
      </c>
      <c r="AI19" s="341"/>
      <c r="AJ19" s="89"/>
      <c r="AK19" s="89"/>
      <c r="AL19" s="89"/>
    </row>
    <row r="20" spans="1:38" ht="13">
      <c r="A20" s="567" t="s">
        <v>296</v>
      </c>
      <c r="B20" s="602">
        <v>8088</v>
      </c>
      <c r="C20" s="602">
        <v>7925</v>
      </c>
      <c r="D20" s="602">
        <v>8738</v>
      </c>
      <c r="E20" s="602">
        <v>9519</v>
      </c>
      <c r="F20" s="602">
        <v>10799</v>
      </c>
      <c r="G20" s="602">
        <v>9024</v>
      </c>
      <c r="H20" s="602">
        <f t="shared" si="1"/>
        <v>10205</v>
      </c>
      <c r="I20" s="602">
        <v>12049</v>
      </c>
      <c r="J20" s="341"/>
      <c r="K20" s="602">
        <v>2161</v>
      </c>
      <c r="L20" s="602">
        <v>2297</v>
      </c>
      <c r="M20" s="602">
        <v>2141</v>
      </c>
      <c r="N20" s="845">
        <v>2139</v>
      </c>
      <c r="O20" s="602">
        <v>2245</v>
      </c>
      <c r="P20" s="602">
        <v>2452</v>
      </c>
      <c r="Q20" s="602">
        <v>2382</v>
      </c>
      <c r="R20" s="845">
        <v>2440</v>
      </c>
      <c r="S20" s="602">
        <v>2605</v>
      </c>
      <c r="T20" s="602">
        <v>2926</v>
      </c>
      <c r="U20" s="602">
        <v>2765</v>
      </c>
      <c r="V20" s="845">
        <v>2503</v>
      </c>
      <c r="W20" s="602">
        <v>2505</v>
      </c>
      <c r="X20" s="602">
        <v>2035</v>
      </c>
      <c r="Y20" s="602">
        <v>2196</v>
      </c>
      <c r="Z20" s="845">
        <v>2288</v>
      </c>
      <c r="AA20" s="602">
        <v>2345</v>
      </c>
      <c r="AB20" s="602">
        <v>2517</v>
      </c>
      <c r="AC20" s="602">
        <v>2699</v>
      </c>
      <c r="AD20" s="845">
        <v>2644</v>
      </c>
      <c r="AE20" s="602">
        <v>2877</v>
      </c>
      <c r="AF20" s="602">
        <v>3154</v>
      </c>
      <c r="AG20" s="602">
        <v>3034</v>
      </c>
      <c r="AH20" s="845">
        <v>2984</v>
      </c>
      <c r="AI20" s="341"/>
      <c r="AJ20" s="89"/>
      <c r="AK20" s="89"/>
      <c r="AL20" s="89"/>
    </row>
    <row r="21" spans="1:38" ht="13">
      <c r="A21" s="567" t="s">
        <v>297</v>
      </c>
      <c r="B21" s="602">
        <v>258</v>
      </c>
      <c r="C21" s="602">
        <v>279</v>
      </c>
      <c r="D21" s="602">
        <v>243.24751847849984</v>
      </c>
      <c r="E21" s="602">
        <v>226</v>
      </c>
      <c r="F21" s="602">
        <v>159</v>
      </c>
      <c r="G21" s="602">
        <v>171</v>
      </c>
      <c r="H21" s="602">
        <f t="shared" si="1"/>
        <v>120</v>
      </c>
      <c r="I21" s="602">
        <v>-16</v>
      </c>
      <c r="J21" s="341"/>
      <c r="K21" s="602">
        <v>30.247518478499842</v>
      </c>
      <c r="L21" s="602">
        <v>87</v>
      </c>
      <c r="M21" s="602">
        <v>63</v>
      </c>
      <c r="N21" s="845">
        <v>63</v>
      </c>
      <c r="O21" s="602">
        <v>45</v>
      </c>
      <c r="P21" s="602">
        <v>66</v>
      </c>
      <c r="Q21" s="602">
        <v>91</v>
      </c>
      <c r="R21" s="845">
        <v>24</v>
      </c>
      <c r="S21" s="602">
        <v>65</v>
      </c>
      <c r="T21" s="602">
        <v>-2</v>
      </c>
      <c r="U21" s="602">
        <v>59</v>
      </c>
      <c r="V21" s="845">
        <v>37</v>
      </c>
      <c r="W21" s="602">
        <v>50</v>
      </c>
      <c r="X21" s="602">
        <v>1</v>
      </c>
      <c r="Y21" s="602">
        <v>57</v>
      </c>
      <c r="Z21" s="845">
        <v>63</v>
      </c>
      <c r="AA21" s="602">
        <v>37</v>
      </c>
      <c r="AB21" s="602">
        <v>29</v>
      </c>
      <c r="AC21" s="602">
        <v>25</v>
      </c>
      <c r="AD21" s="845">
        <v>29</v>
      </c>
      <c r="AE21" s="602">
        <v>15</v>
      </c>
      <c r="AF21" s="602">
        <v>14</v>
      </c>
      <c r="AG21" s="602">
        <v>21</v>
      </c>
      <c r="AH21" s="845">
        <v>-66</v>
      </c>
      <c r="AI21" s="341"/>
      <c r="AJ21" s="89"/>
      <c r="AK21" s="89"/>
      <c r="AL21" s="89"/>
    </row>
    <row r="22" spans="1:38" ht="13">
      <c r="A22" s="811" t="s">
        <v>298</v>
      </c>
      <c r="B22" s="851">
        <v>28663</v>
      </c>
      <c r="C22" s="851">
        <v>27102</v>
      </c>
      <c r="D22" s="851">
        <v>31364.2475184785</v>
      </c>
      <c r="E22" s="851">
        <v>38285</v>
      </c>
      <c r="F22" s="851">
        <v>40849</v>
      </c>
      <c r="G22" s="851">
        <v>36122</v>
      </c>
      <c r="H22" s="851">
        <f t="shared" si="1"/>
        <v>39645</v>
      </c>
      <c r="I22" s="851">
        <v>49694</v>
      </c>
      <c r="J22" s="341"/>
      <c r="K22" s="851">
        <v>7411.2475184784998</v>
      </c>
      <c r="L22" s="851">
        <v>7879</v>
      </c>
      <c r="M22" s="851">
        <v>7610</v>
      </c>
      <c r="N22" s="852">
        <v>8464</v>
      </c>
      <c r="O22" s="851">
        <v>8233</v>
      </c>
      <c r="P22" s="851">
        <v>9843</v>
      </c>
      <c r="Q22" s="851">
        <v>9651</v>
      </c>
      <c r="R22" s="852">
        <v>10558</v>
      </c>
      <c r="S22" s="851">
        <v>9785</v>
      </c>
      <c r="T22" s="851">
        <v>10626</v>
      </c>
      <c r="U22" s="851">
        <v>10158</v>
      </c>
      <c r="V22" s="852">
        <v>10280</v>
      </c>
      <c r="W22" s="851">
        <v>9134</v>
      </c>
      <c r="X22" s="851">
        <v>8458</v>
      </c>
      <c r="Y22" s="851">
        <v>8724</v>
      </c>
      <c r="Z22" s="852">
        <v>9806</v>
      </c>
      <c r="AA22" s="851">
        <v>8773</v>
      </c>
      <c r="AB22" s="851">
        <v>9733</v>
      </c>
      <c r="AC22" s="851">
        <v>9966</v>
      </c>
      <c r="AD22" s="852">
        <v>11173</v>
      </c>
      <c r="AE22" s="851">
        <v>11088</v>
      </c>
      <c r="AF22" s="851">
        <v>11868</v>
      </c>
      <c r="AG22" s="851">
        <v>12802</v>
      </c>
      <c r="AH22" s="852">
        <v>13936</v>
      </c>
      <c r="AI22" s="341"/>
      <c r="AJ22" s="89"/>
      <c r="AK22" s="89"/>
      <c r="AL22" s="89"/>
    </row>
    <row r="23" spans="1:38" ht="13">
      <c r="A23" s="846" t="s">
        <v>301</v>
      </c>
      <c r="B23" s="853"/>
      <c r="C23" s="860">
        <v>-0.05</v>
      </c>
      <c r="D23" s="860">
        <v>0.16</v>
      </c>
      <c r="E23" s="860">
        <v>0.22</v>
      </c>
      <c r="F23" s="860">
        <v>7.0000000000000007E-2</v>
      </c>
      <c r="G23" s="860">
        <v>-0.12</v>
      </c>
      <c r="H23" s="860">
        <f>H22/G22-1</f>
        <v>9.7530590775704473E-2</v>
      </c>
      <c r="I23" s="860">
        <f>I22/H22-1</f>
        <v>0.25347458695926339</v>
      </c>
      <c r="J23" s="341"/>
      <c r="K23" s="853"/>
      <c r="L23" s="853"/>
      <c r="M23" s="853"/>
      <c r="N23" s="854"/>
      <c r="O23" s="853"/>
      <c r="P23" s="853"/>
      <c r="Q23" s="853"/>
      <c r="R23" s="854"/>
      <c r="S23" s="853"/>
      <c r="T23" s="853"/>
      <c r="U23" s="853"/>
      <c r="V23" s="854"/>
      <c r="W23" s="853"/>
      <c r="X23" s="853"/>
      <c r="Y23" s="853"/>
      <c r="Z23" s="854"/>
      <c r="AA23" s="853"/>
      <c r="AB23" s="853"/>
      <c r="AC23" s="853"/>
      <c r="AD23" s="854"/>
      <c r="AE23" s="853"/>
      <c r="AF23" s="853"/>
      <c r="AG23" s="853"/>
      <c r="AH23" s="854"/>
      <c r="AI23" s="341"/>
      <c r="AJ23" s="89"/>
      <c r="AK23" s="89"/>
      <c r="AL23" s="89"/>
    </row>
    <row r="24" spans="1:38" ht="13">
      <c r="A24" s="846" t="s">
        <v>1230</v>
      </c>
      <c r="B24" s="853"/>
      <c r="C24" s="861">
        <f t="shared" ref="C24:I24" si="2">($H$22/$B$22)^(1/6)-1</f>
        <v>5.5547536297333666E-2</v>
      </c>
      <c r="D24" s="861">
        <f t="shared" si="2"/>
        <v>5.5547536297333666E-2</v>
      </c>
      <c r="E24" s="861">
        <f t="shared" si="2"/>
        <v>5.5547536297333666E-2</v>
      </c>
      <c r="F24" s="861">
        <f t="shared" si="2"/>
        <v>5.5547536297333666E-2</v>
      </c>
      <c r="G24" s="861">
        <f t="shared" si="2"/>
        <v>5.5547536297333666E-2</v>
      </c>
      <c r="H24" s="861">
        <f t="shared" si="2"/>
        <v>5.5547536297333666E-2</v>
      </c>
      <c r="I24" s="861">
        <f t="shared" si="2"/>
        <v>5.5547536297333666E-2</v>
      </c>
      <c r="J24" s="341"/>
      <c r="K24" s="853"/>
      <c r="L24" s="853"/>
      <c r="M24" s="853"/>
      <c r="N24" s="854"/>
      <c r="O24" s="853"/>
      <c r="P24" s="853"/>
      <c r="Q24" s="853"/>
      <c r="R24" s="854"/>
      <c r="S24" s="853"/>
      <c r="T24" s="853"/>
      <c r="U24" s="853"/>
      <c r="V24" s="854"/>
      <c r="W24" s="853"/>
      <c r="X24" s="853"/>
      <c r="Y24" s="853"/>
      <c r="Z24" s="854"/>
      <c r="AA24" s="853"/>
      <c r="AB24" s="853"/>
      <c r="AC24" s="853"/>
      <c r="AD24" s="854"/>
      <c r="AE24" s="853"/>
      <c r="AF24" s="853"/>
      <c r="AG24" s="853"/>
      <c r="AH24" s="854"/>
      <c r="AI24" s="341"/>
      <c r="AJ24" s="89"/>
      <c r="AK24" s="89"/>
      <c r="AL24" s="89"/>
    </row>
    <row r="25" spans="1:38" ht="13">
      <c r="A25" s="839"/>
      <c r="B25" s="853"/>
      <c r="C25" s="853"/>
      <c r="D25" s="853"/>
      <c r="E25" s="853"/>
      <c r="F25" s="853"/>
      <c r="G25" s="862"/>
      <c r="H25" s="862"/>
      <c r="I25" s="862"/>
      <c r="J25" s="341"/>
      <c r="K25" s="853"/>
      <c r="L25" s="853"/>
      <c r="M25" s="853"/>
      <c r="N25" s="854"/>
      <c r="O25" s="853"/>
      <c r="P25" s="853"/>
      <c r="Q25" s="853"/>
      <c r="R25" s="854"/>
      <c r="S25" s="853"/>
      <c r="T25" s="853"/>
      <c r="U25" s="853"/>
      <c r="V25" s="854"/>
      <c r="W25" s="853"/>
      <c r="X25" s="853"/>
      <c r="Y25" s="853"/>
      <c r="Z25" s="854"/>
      <c r="AA25" s="853"/>
      <c r="AB25" s="853"/>
      <c r="AC25" s="853"/>
      <c r="AD25" s="854"/>
      <c r="AE25" s="853"/>
      <c r="AF25" s="853"/>
      <c r="AG25" s="853"/>
      <c r="AH25" s="854"/>
      <c r="AI25" s="341"/>
      <c r="AJ25" s="89"/>
      <c r="AK25" s="89"/>
      <c r="AL25" s="89"/>
    </row>
    <row r="26" spans="1:38" ht="13">
      <c r="A26" s="839" t="s">
        <v>1231</v>
      </c>
      <c r="B26" s="840">
        <v>2015</v>
      </c>
      <c r="C26" s="840">
        <v>2016</v>
      </c>
      <c r="D26" s="840">
        <v>2017</v>
      </c>
      <c r="E26" s="840">
        <v>2018</v>
      </c>
      <c r="F26" s="840">
        <v>2019</v>
      </c>
      <c r="G26" s="840">
        <v>2020</v>
      </c>
      <c r="H26" s="840">
        <f>SUM(AA26:AD26)</f>
        <v>2021</v>
      </c>
      <c r="I26" s="840">
        <f>SUM(AB26:AE26)</f>
        <v>2022</v>
      </c>
      <c r="J26" s="341"/>
      <c r="K26" s="840">
        <v>2017</v>
      </c>
      <c r="L26" s="840"/>
      <c r="M26" s="840"/>
      <c r="N26" s="841"/>
      <c r="O26" s="840">
        <v>2018</v>
      </c>
      <c r="P26" s="840"/>
      <c r="Q26" s="840"/>
      <c r="R26" s="841"/>
      <c r="S26" s="840">
        <v>2019</v>
      </c>
      <c r="T26" s="840"/>
      <c r="U26" s="840"/>
      <c r="V26" s="841"/>
      <c r="W26" s="840">
        <v>2020</v>
      </c>
      <c r="X26" s="840"/>
      <c r="Y26" s="840"/>
      <c r="Z26" s="841"/>
      <c r="AA26" s="840">
        <v>2021</v>
      </c>
      <c r="AB26" s="840"/>
      <c r="AC26" s="840"/>
      <c r="AD26" s="841" t="s">
        <v>302</v>
      </c>
      <c r="AE26" s="840">
        <v>2022</v>
      </c>
      <c r="AF26" s="840" t="s">
        <v>302</v>
      </c>
      <c r="AG26" s="840" t="s">
        <v>302</v>
      </c>
      <c r="AH26" s="841" t="s">
        <v>302</v>
      </c>
      <c r="AI26" s="341"/>
      <c r="AJ26" s="89"/>
      <c r="AK26" s="89"/>
      <c r="AL26" s="89"/>
    </row>
    <row r="27" spans="1:38" ht="13">
      <c r="A27" s="856" t="s">
        <v>261</v>
      </c>
      <c r="B27" s="857" t="s">
        <v>495</v>
      </c>
      <c r="C27" s="857" t="s">
        <v>495</v>
      </c>
      <c r="D27" s="857" t="s">
        <v>495</v>
      </c>
      <c r="E27" s="857" t="s">
        <v>495</v>
      </c>
      <c r="F27" s="857" t="s">
        <v>495</v>
      </c>
      <c r="G27" s="857" t="s">
        <v>495</v>
      </c>
      <c r="H27" s="857" t="s">
        <v>495</v>
      </c>
      <c r="I27" s="857" t="s">
        <v>495</v>
      </c>
      <c r="J27" s="341"/>
      <c r="K27" s="857" t="s">
        <v>497</v>
      </c>
      <c r="L27" s="857" t="s">
        <v>498</v>
      </c>
      <c r="M27" s="857" t="s">
        <v>499</v>
      </c>
      <c r="N27" s="858" t="s">
        <v>500</v>
      </c>
      <c r="O27" s="857" t="s">
        <v>497</v>
      </c>
      <c r="P27" s="857" t="s">
        <v>498</v>
      </c>
      <c r="Q27" s="857" t="s">
        <v>499</v>
      </c>
      <c r="R27" s="858" t="s">
        <v>500</v>
      </c>
      <c r="S27" s="857" t="s">
        <v>497</v>
      </c>
      <c r="T27" s="857" t="s">
        <v>498</v>
      </c>
      <c r="U27" s="857" t="s">
        <v>499</v>
      </c>
      <c r="V27" s="858" t="s">
        <v>500</v>
      </c>
      <c r="W27" s="857" t="s">
        <v>497</v>
      </c>
      <c r="X27" s="857" t="s">
        <v>498</v>
      </c>
      <c r="Y27" s="857" t="s">
        <v>499</v>
      </c>
      <c r="Z27" s="858" t="s">
        <v>500</v>
      </c>
      <c r="AA27" s="857" t="s">
        <v>497</v>
      </c>
      <c r="AB27" s="857" t="s">
        <v>498</v>
      </c>
      <c r="AC27" s="857" t="str">
        <f>+AC$6</f>
        <v>Q3</v>
      </c>
      <c r="AD27" s="858" t="s">
        <v>500</v>
      </c>
      <c r="AE27" s="857" t="s">
        <v>497</v>
      </c>
      <c r="AF27" s="857" t="s">
        <v>498</v>
      </c>
      <c r="AG27" s="857" t="s">
        <v>499</v>
      </c>
      <c r="AH27" s="858" t="s">
        <v>500</v>
      </c>
      <c r="AI27" s="341"/>
      <c r="AJ27" s="89"/>
      <c r="AK27" s="89"/>
      <c r="AL27" s="89"/>
    </row>
    <row r="28" spans="1:38" ht="13">
      <c r="A28" s="567" t="s">
        <v>547</v>
      </c>
      <c r="B28" s="602">
        <v>4370</v>
      </c>
      <c r="C28" s="602">
        <v>3802</v>
      </c>
      <c r="D28" s="804">
        <v>5107</v>
      </c>
      <c r="E28" s="804">
        <v>6713</v>
      </c>
      <c r="F28" s="602">
        <v>7436</v>
      </c>
      <c r="G28" s="602">
        <v>6639</v>
      </c>
      <c r="H28" s="602">
        <f t="shared" ref="H28:H33" si="3">SUM(AA28:AD28)</f>
        <v>7808</v>
      </c>
      <c r="I28" s="602">
        <v>9277</v>
      </c>
      <c r="J28" s="341"/>
      <c r="K28" s="804">
        <v>1166</v>
      </c>
      <c r="L28" s="804">
        <v>1242</v>
      </c>
      <c r="M28" s="804">
        <v>1261</v>
      </c>
      <c r="N28" s="805">
        <v>1438</v>
      </c>
      <c r="O28" s="804">
        <v>1351</v>
      </c>
      <c r="P28" s="804">
        <v>1741</v>
      </c>
      <c r="Q28" s="804">
        <v>1755</v>
      </c>
      <c r="R28" s="805">
        <v>1866</v>
      </c>
      <c r="S28" s="804">
        <v>1707</v>
      </c>
      <c r="T28" s="804">
        <v>1961</v>
      </c>
      <c r="U28" s="804">
        <v>1923</v>
      </c>
      <c r="V28" s="805">
        <v>1845</v>
      </c>
      <c r="W28" s="804">
        <v>1586</v>
      </c>
      <c r="X28" s="804">
        <v>1441</v>
      </c>
      <c r="Y28" s="804">
        <v>1646</v>
      </c>
      <c r="Z28" s="805">
        <v>1966</v>
      </c>
      <c r="AA28" s="804">
        <v>1696</v>
      </c>
      <c r="AB28" s="804">
        <v>1880</v>
      </c>
      <c r="AC28" s="804">
        <v>1909</v>
      </c>
      <c r="AD28" s="805">
        <v>2323</v>
      </c>
      <c r="AE28" s="804">
        <v>2142</v>
      </c>
      <c r="AF28" s="804">
        <v>1891</v>
      </c>
      <c r="AG28" s="804">
        <v>2417</v>
      </c>
      <c r="AH28" s="805">
        <v>2827</v>
      </c>
      <c r="AI28" s="341"/>
      <c r="AJ28" s="89"/>
      <c r="AK28" s="89"/>
      <c r="AL28" s="89"/>
    </row>
    <row r="29" spans="1:38" ht="13">
      <c r="A29" s="567" t="s">
        <v>296</v>
      </c>
      <c r="B29" s="847">
        <v>957</v>
      </c>
      <c r="C29" s="847">
        <v>937</v>
      </c>
      <c r="D29" s="602">
        <v>1146.0051558893001</v>
      </c>
      <c r="E29" s="602">
        <v>1239</v>
      </c>
      <c r="F29" s="602">
        <v>1252</v>
      </c>
      <c r="G29" s="602">
        <v>1097</v>
      </c>
      <c r="H29" s="602">
        <f t="shared" si="3"/>
        <v>1784</v>
      </c>
      <c r="I29" s="602">
        <v>2114</v>
      </c>
      <c r="J29" s="341"/>
      <c r="K29" s="602">
        <v>321</v>
      </c>
      <c r="L29" s="602">
        <v>328</v>
      </c>
      <c r="M29" s="602">
        <v>279</v>
      </c>
      <c r="N29" s="845">
        <v>218.0051558893</v>
      </c>
      <c r="O29" s="602">
        <v>287</v>
      </c>
      <c r="P29" s="602">
        <v>304</v>
      </c>
      <c r="Q29" s="602">
        <v>324</v>
      </c>
      <c r="R29" s="845">
        <v>324</v>
      </c>
      <c r="S29" s="602">
        <v>371</v>
      </c>
      <c r="T29" s="602">
        <v>429</v>
      </c>
      <c r="U29" s="602">
        <v>157</v>
      </c>
      <c r="V29" s="845">
        <v>295</v>
      </c>
      <c r="W29" s="602">
        <v>337</v>
      </c>
      <c r="X29" s="602">
        <v>143</v>
      </c>
      <c r="Y29" s="602">
        <v>254</v>
      </c>
      <c r="Z29" s="845">
        <v>363</v>
      </c>
      <c r="AA29" s="602">
        <v>386</v>
      </c>
      <c r="AB29" s="602">
        <v>416</v>
      </c>
      <c r="AC29" s="602">
        <v>502</v>
      </c>
      <c r="AD29" s="845">
        <v>480</v>
      </c>
      <c r="AE29" s="602">
        <v>520</v>
      </c>
      <c r="AF29" s="602">
        <v>500</v>
      </c>
      <c r="AG29" s="602">
        <v>571</v>
      </c>
      <c r="AH29" s="845">
        <v>523</v>
      </c>
      <c r="AI29" s="341"/>
      <c r="AJ29" s="89"/>
      <c r="AK29" s="89"/>
      <c r="AL29" s="89"/>
    </row>
    <row r="30" spans="1:38" ht="13">
      <c r="A30" s="567" t="s">
        <v>1232</v>
      </c>
      <c r="B30" s="849">
        <v>-152</v>
      </c>
      <c r="C30" s="849">
        <v>-191</v>
      </c>
      <c r="D30" s="804">
        <v>-323</v>
      </c>
      <c r="E30" s="602">
        <v>-567</v>
      </c>
      <c r="F30" s="602">
        <v>-552</v>
      </c>
      <c r="G30" s="602">
        <v>-354</v>
      </c>
      <c r="H30" s="602">
        <f t="shared" si="3"/>
        <v>-597</v>
      </c>
      <c r="I30" s="602">
        <v>-244</v>
      </c>
      <c r="J30" s="341"/>
      <c r="K30" s="804">
        <v>-73</v>
      </c>
      <c r="L30" s="804">
        <v>-102</v>
      </c>
      <c r="M30" s="804">
        <v>-20</v>
      </c>
      <c r="N30" s="805">
        <v>-128</v>
      </c>
      <c r="O30" s="804">
        <v>-123</v>
      </c>
      <c r="P30" s="804">
        <v>-235</v>
      </c>
      <c r="Q30" s="804">
        <v>-181</v>
      </c>
      <c r="R30" s="805">
        <v>-28</v>
      </c>
      <c r="S30" s="804">
        <v>-148</v>
      </c>
      <c r="T30" s="804">
        <v>-127</v>
      </c>
      <c r="U30" s="804">
        <v>-153</v>
      </c>
      <c r="V30" s="805">
        <v>-124</v>
      </c>
      <c r="W30" s="804">
        <v>9</v>
      </c>
      <c r="X30" s="804">
        <v>-166</v>
      </c>
      <c r="Y30" s="804">
        <v>-80</v>
      </c>
      <c r="Z30" s="805">
        <v>-117</v>
      </c>
      <c r="AA30" s="804">
        <v>-215</v>
      </c>
      <c r="AB30" s="804">
        <v>-114</v>
      </c>
      <c r="AC30" s="804">
        <v>-59</v>
      </c>
      <c r="AD30" s="805">
        <v>-209</v>
      </c>
      <c r="AE30" s="804">
        <v>-31</v>
      </c>
      <c r="AF30" s="804">
        <v>-10</v>
      </c>
      <c r="AG30" s="804">
        <v>-88</v>
      </c>
      <c r="AH30" s="805">
        <v>-115</v>
      </c>
      <c r="AI30" s="341"/>
      <c r="AJ30" s="89"/>
      <c r="AK30" s="89"/>
      <c r="AL30" s="89"/>
    </row>
    <row r="31" spans="1:38" ht="13">
      <c r="A31" s="811" t="s">
        <v>189</v>
      </c>
      <c r="B31" s="851">
        <v>5175</v>
      </c>
      <c r="C31" s="851">
        <v>4548</v>
      </c>
      <c r="D31" s="851">
        <v>5930.0051558893001</v>
      </c>
      <c r="E31" s="851">
        <v>7385</v>
      </c>
      <c r="F31" s="851">
        <v>8136</v>
      </c>
      <c r="G31" s="851">
        <v>7382</v>
      </c>
      <c r="H31" s="851">
        <f t="shared" si="3"/>
        <v>8995</v>
      </c>
      <c r="I31" s="851">
        <v>11147</v>
      </c>
      <c r="J31" s="341"/>
      <c r="K31" s="851">
        <v>1414</v>
      </c>
      <c r="L31" s="851">
        <v>1468</v>
      </c>
      <c r="M31" s="851">
        <v>1520</v>
      </c>
      <c r="N31" s="852">
        <v>1528.0051558893001</v>
      </c>
      <c r="O31" s="851">
        <v>1515</v>
      </c>
      <c r="P31" s="851">
        <v>1810</v>
      </c>
      <c r="Q31" s="851">
        <v>1898</v>
      </c>
      <c r="R31" s="852">
        <v>2162</v>
      </c>
      <c r="S31" s="851">
        <v>1930</v>
      </c>
      <c r="T31" s="851">
        <v>2263</v>
      </c>
      <c r="U31" s="851">
        <v>1927</v>
      </c>
      <c r="V31" s="852">
        <v>2016</v>
      </c>
      <c r="W31" s="851">
        <v>1932</v>
      </c>
      <c r="X31" s="851">
        <v>1418</v>
      </c>
      <c r="Y31" s="851">
        <v>1820</v>
      </c>
      <c r="Z31" s="852">
        <v>2212</v>
      </c>
      <c r="AA31" s="851">
        <v>1867</v>
      </c>
      <c r="AB31" s="851">
        <v>2182</v>
      </c>
      <c r="AC31" s="851">
        <v>2352</v>
      </c>
      <c r="AD31" s="852">
        <v>2594</v>
      </c>
      <c r="AE31" s="851">
        <v>2631</v>
      </c>
      <c r="AF31" s="851">
        <v>2381</v>
      </c>
      <c r="AG31" s="851">
        <v>2900</v>
      </c>
      <c r="AH31" s="852">
        <v>3235</v>
      </c>
      <c r="AI31" s="341"/>
      <c r="AJ31" s="89"/>
      <c r="AK31" s="89"/>
      <c r="AL31" s="89"/>
    </row>
    <row r="32" spans="1:38" ht="13">
      <c r="A32" s="567" t="s">
        <v>280</v>
      </c>
      <c r="B32" s="602">
        <v>-220</v>
      </c>
      <c r="C32" s="602">
        <v>-137</v>
      </c>
      <c r="D32" s="602">
        <v>-137</v>
      </c>
      <c r="E32" s="602">
        <v>-184</v>
      </c>
      <c r="F32" s="602">
        <v>-293</v>
      </c>
      <c r="G32" s="602">
        <v>-295</v>
      </c>
      <c r="H32" s="602">
        <f t="shared" si="3"/>
        <v>-31</v>
      </c>
      <c r="I32" s="602">
        <v>-369</v>
      </c>
      <c r="J32" s="341"/>
      <c r="K32" s="602">
        <v>-23</v>
      </c>
      <c r="L32" s="602">
        <v>-10</v>
      </c>
      <c r="M32" s="602">
        <v>-19</v>
      </c>
      <c r="N32" s="845">
        <v>-85</v>
      </c>
      <c r="O32" s="602">
        <v>-57</v>
      </c>
      <c r="P32" s="602">
        <v>-44</v>
      </c>
      <c r="Q32" s="602">
        <v>-36.982705969999984</v>
      </c>
      <c r="R32" s="845">
        <v>-46.017294030000016</v>
      </c>
      <c r="S32" s="602">
        <v>-100</v>
      </c>
      <c r="T32" s="602">
        <v>-38</v>
      </c>
      <c r="U32" s="602">
        <v>-61</v>
      </c>
      <c r="V32" s="845">
        <v>-94</v>
      </c>
      <c r="W32" s="602">
        <v>-46</v>
      </c>
      <c r="X32" s="602">
        <v>-51</v>
      </c>
      <c r="Y32" s="602">
        <v>-76</v>
      </c>
      <c r="Z32" s="845">
        <v>-122</v>
      </c>
      <c r="AA32" s="602">
        <v>-33</v>
      </c>
      <c r="AB32" s="602">
        <v>-44</v>
      </c>
      <c r="AC32" s="602">
        <v>73</v>
      </c>
      <c r="AD32" s="845">
        <v>-27</v>
      </c>
      <c r="AE32" s="602">
        <v>-67</v>
      </c>
      <c r="AF32" s="602">
        <v>-89</v>
      </c>
      <c r="AG32" s="602">
        <v>-24</v>
      </c>
      <c r="AH32" s="845">
        <v>-189</v>
      </c>
      <c r="AI32" s="341"/>
      <c r="AJ32" s="89"/>
      <c r="AK32" s="89"/>
      <c r="AL32" s="89"/>
    </row>
    <row r="33" spans="1:38" ht="13">
      <c r="A33" s="811" t="s">
        <v>282</v>
      </c>
      <c r="B33" s="851">
        <v>4955</v>
      </c>
      <c r="C33" s="851">
        <v>4411</v>
      </c>
      <c r="D33" s="851">
        <v>5793</v>
      </c>
      <c r="E33" s="851">
        <v>7201</v>
      </c>
      <c r="F33" s="851">
        <v>7843</v>
      </c>
      <c r="G33" s="851">
        <v>7087</v>
      </c>
      <c r="H33" s="851">
        <f t="shared" si="3"/>
        <v>8964</v>
      </c>
      <c r="I33" s="851">
        <v>10778</v>
      </c>
      <c r="J33" s="341"/>
      <c r="K33" s="851">
        <v>1391</v>
      </c>
      <c r="L33" s="851">
        <v>1458</v>
      </c>
      <c r="M33" s="851">
        <v>1501</v>
      </c>
      <c r="N33" s="852">
        <v>1443</v>
      </c>
      <c r="O33" s="851">
        <v>1458</v>
      </c>
      <c r="P33" s="851">
        <v>1766</v>
      </c>
      <c r="Q33" s="851">
        <v>1861.0172940299999</v>
      </c>
      <c r="R33" s="852">
        <v>2116.1874796013699</v>
      </c>
      <c r="S33" s="851">
        <v>1830</v>
      </c>
      <c r="T33" s="851">
        <v>2225</v>
      </c>
      <c r="U33" s="851">
        <v>1866</v>
      </c>
      <c r="V33" s="852">
        <v>1922</v>
      </c>
      <c r="W33" s="851">
        <v>1886</v>
      </c>
      <c r="X33" s="851">
        <v>1367</v>
      </c>
      <c r="Y33" s="851">
        <v>1744</v>
      </c>
      <c r="Z33" s="852">
        <v>2090</v>
      </c>
      <c r="AA33" s="851">
        <v>1834</v>
      </c>
      <c r="AB33" s="851">
        <v>2138</v>
      </c>
      <c r="AC33" s="851">
        <v>2425</v>
      </c>
      <c r="AD33" s="852">
        <v>2567</v>
      </c>
      <c r="AE33" s="851">
        <v>2564</v>
      </c>
      <c r="AF33" s="851">
        <v>2292</v>
      </c>
      <c r="AG33" s="851">
        <v>2876</v>
      </c>
      <c r="AH33" s="852">
        <v>3046</v>
      </c>
      <c r="AI33" s="341"/>
      <c r="AJ33" s="89"/>
      <c r="AK33" s="89"/>
      <c r="AL33" s="89"/>
    </row>
    <row r="34" spans="1:38" ht="13">
      <c r="A34" s="839"/>
      <c r="B34" s="863"/>
      <c r="C34" s="864"/>
      <c r="D34" s="863"/>
      <c r="E34" s="863"/>
      <c r="F34" s="863"/>
      <c r="G34" s="863"/>
      <c r="H34" s="863"/>
      <c r="I34" s="863"/>
      <c r="J34" s="341"/>
      <c r="K34" s="863"/>
      <c r="L34" s="863"/>
      <c r="M34" s="863"/>
      <c r="N34" s="865"/>
      <c r="O34" s="863"/>
      <c r="P34" s="863"/>
      <c r="Q34" s="863"/>
      <c r="R34" s="865"/>
      <c r="S34" s="863"/>
      <c r="T34" s="863"/>
      <c r="U34" s="863"/>
      <c r="V34" s="865"/>
      <c r="W34" s="863"/>
      <c r="X34" s="863"/>
      <c r="Y34" s="863"/>
      <c r="Z34" s="865"/>
      <c r="AA34" s="863"/>
      <c r="AB34" s="863"/>
      <c r="AC34" s="863"/>
      <c r="AD34" s="865"/>
      <c r="AE34" s="863"/>
      <c r="AF34" s="863"/>
      <c r="AG34" s="863"/>
      <c r="AH34" s="865"/>
      <c r="AI34" s="341"/>
      <c r="AJ34" s="89"/>
      <c r="AK34" s="89"/>
      <c r="AL34" s="89"/>
    </row>
    <row r="35" spans="1:38" ht="13">
      <c r="A35" s="839"/>
      <c r="B35" s="863"/>
      <c r="C35" s="863"/>
      <c r="D35" s="863"/>
      <c r="E35" s="863"/>
      <c r="F35" s="863"/>
      <c r="G35" s="863"/>
      <c r="H35" s="863"/>
      <c r="I35" s="863"/>
      <c r="J35" s="341"/>
      <c r="K35" s="863"/>
      <c r="L35" s="863"/>
      <c r="M35" s="863"/>
      <c r="N35" s="865"/>
      <c r="O35" s="863"/>
      <c r="P35" s="863"/>
      <c r="Q35" s="863"/>
      <c r="R35" s="865"/>
      <c r="S35" s="863"/>
      <c r="T35" s="863"/>
      <c r="U35" s="863"/>
      <c r="V35" s="865"/>
      <c r="W35" s="863"/>
      <c r="X35" s="863"/>
      <c r="Y35" s="863"/>
      <c r="Z35" s="865"/>
      <c r="AA35" s="863"/>
      <c r="AB35" s="863"/>
      <c r="AC35" s="863"/>
      <c r="AD35" s="865"/>
      <c r="AE35" s="863"/>
      <c r="AF35" s="863"/>
      <c r="AG35" s="863"/>
      <c r="AH35" s="865"/>
      <c r="AI35" s="341"/>
      <c r="AJ35" s="89"/>
      <c r="AK35" s="89"/>
      <c r="AL35" s="89"/>
    </row>
    <row r="36" spans="1:38" ht="13">
      <c r="A36" s="839" t="s">
        <v>276</v>
      </c>
      <c r="B36" s="840">
        <v>2015</v>
      </c>
      <c r="C36" s="840">
        <v>2016</v>
      </c>
      <c r="D36" s="840">
        <v>2017</v>
      </c>
      <c r="E36" s="840">
        <v>2018</v>
      </c>
      <c r="F36" s="840">
        <v>2019</v>
      </c>
      <c r="G36" s="840">
        <v>2020</v>
      </c>
      <c r="H36" s="840">
        <v>2021</v>
      </c>
      <c r="I36" s="840">
        <f>SUM(AB36:AE36)</f>
        <v>2022</v>
      </c>
      <c r="J36" s="341"/>
      <c r="K36" s="840">
        <v>2017</v>
      </c>
      <c r="L36" s="840"/>
      <c r="M36" s="840"/>
      <c r="N36" s="841"/>
      <c r="O36" s="840">
        <v>2018</v>
      </c>
      <c r="P36" s="840"/>
      <c r="Q36" s="840"/>
      <c r="R36" s="841"/>
      <c r="S36" s="840">
        <v>2019</v>
      </c>
      <c r="T36" s="840"/>
      <c r="U36" s="840"/>
      <c r="V36" s="841"/>
      <c r="W36" s="840">
        <v>2020</v>
      </c>
      <c r="X36" s="840"/>
      <c r="Y36" s="840"/>
      <c r="Z36" s="841"/>
      <c r="AA36" s="840">
        <v>2021</v>
      </c>
      <c r="AB36" s="840"/>
      <c r="AC36" s="840"/>
      <c r="AD36" s="841" t="s">
        <v>302</v>
      </c>
      <c r="AE36" s="840">
        <v>2022</v>
      </c>
      <c r="AF36" s="840" t="s">
        <v>302</v>
      </c>
      <c r="AG36" s="840" t="s">
        <v>302</v>
      </c>
      <c r="AH36" s="841" t="s">
        <v>302</v>
      </c>
      <c r="AI36" s="341"/>
      <c r="AJ36" s="89"/>
      <c r="AK36" s="89"/>
      <c r="AL36" s="89"/>
    </row>
    <row r="37" spans="1:38" ht="13">
      <c r="A37" s="856" t="s">
        <v>261</v>
      </c>
      <c r="B37" s="857" t="s">
        <v>495</v>
      </c>
      <c r="C37" s="857" t="s">
        <v>495</v>
      </c>
      <c r="D37" s="857" t="s">
        <v>495</v>
      </c>
      <c r="E37" s="857" t="s">
        <v>495</v>
      </c>
      <c r="F37" s="857" t="s">
        <v>495</v>
      </c>
      <c r="G37" s="857" t="s">
        <v>495</v>
      </c>
      <c r="H37" s="857" t="s">
        <v>496</v>
      </c>
      <c r="I37" s="857" t="s">
        <v>495</v>
      </c>
      <c r="J37" s="341"/>
      <c r="K37" s="857" t="s">
        <v>497</v>
      </c>
      <c r="L37" s="857" t="s">
        <v>498</v>
      </c>
      <c r="M37" s="857" t="s">
        <v>499</v>
      </c>
      <c r="N37" s="858" t="s">
        <v>500</v>
      </c>
      <c r="O37" s="857" t="s">
        <v>497</v>
      </c>
      <c r="P37" s="857" t="s">
        <v>498</v>
      </c>
      <c r="Q37" s="857" t="s">
        <v>499</v>
      </c>
      <c r="R37" s="858" t="s">
        <v>500</v>
      </c>
      <c r="S37" s="857" t="s">
        <v>497</v>
      </c>
      <c r="T37" s="857" t="s">
        <v>498</v>
      </c>
      <c r="U37" s="857" t="s">
        <v>499</v>
      </c>
      <c r="V37" s="858" t="s">
        <v>500</v>
      </c>
      <c r="W37" s="857" t="s">
        <v>497</v>
      </c>
      <c r="X37" s="857" t="s">
        <v>498</v>
      </c>
      <c r="Y37" s="857" t="s">
        <v>499</v>
      </c>
      <c r="Z37" s="858" t="s">
        <v>500</v>
      </c>
      <c r="AA37" s="857" t="s">
        <v>497</v>
      </c>
      <c r="AB37" s="857" t="s">
        <v>498</v>
      </c>
      <c r="AC37" s="857" t="str">
        <f>+AC$6</f>
        <v>Q3</v>
      </c>
      <c r="AD37" s="858" t="s">
        <v>500</v>
      </c>
      <c r="AE37" s="857" t="s">
        <v>497</v>
      </c>
      <c r="AF37" s="857" t="s">
        <v>498</v>
      </c>
      <c r="AG37" s="857" t="s">
        <v>499</v>
      </c>
      <c r="AH37" s="858" t="s">
        <v>500</v>
      </c>
      <c r="AI37" s="341"/>
      <c r="AJ37" s="89"/>
      <c r="AK37" s="89"/>
      <c r="AL37" s="89"/>
    </row>
    <row r="38" spans="1:38" ht="13">
      <c r="A38" s="567" t="s">
        <v>547</v>
      </c>
      <c r="B38" s="866">
        <v>0.21509081065117883</v>
      </c>
      <c r="C38" s="866">
        <v>0.20118531061487988</v>
      </c>
      <c r="D38" s="866">
        <v>0.22816423178304965</v>
      </c>
      <c r="E38" s="867">
        <v>0.23524877365101612</v>
      </c>
      <c r="F38" s="866">
        <v>0.249</v>
      </c>
      <c r="G38" s="866">
        <v>0.247</v>
      </c>
      <c r="H38" s="866">
        <f>H28/H17</f>
        <v>0.26630286493860844</v>
      </c>
      <c r="I38" s="866">
        <v>0.246</v>
      </c>
      <c r="J38" s="341"/>
      <c r="K38" s="866">
        <v>0.223</v>
      </c>
      <c r="L38" s="866">
        <v>0.22600000000000001</v>
      </c>
      <c r="M38" s="866">
        <v>0.23300000000000001</v>
      </c>
      <c r="N38" s="868">
        <v>0.23</v>
      </c>
      <c r="O38" s="866">
        <v>0.22700000000000001</v>
      </c>
      <c r="P38" s="866">
        <v>0.23799999999999999</v>
      </c>
      <c r="Q38" s="866">
        <v>0.245</v>
      </c>
      <c r="R38" s="868">
        <v>0.23100000000000001</v>
      </c>
      <c r="S38" s="866">
        <v>0.24</v>
      </c>
      <c r="T38" s="866">
        <v>0.255</v>
      </c>
      <c r="U38" s="866">
        <v>0.26200000000000001</v>
      </c>
      <c r="V38" s="868">
        <v>0.23799999999999999</v>
      </c>
      <c r="W38" s="866">
        <v>0.24099999999999999</v>
      </c>
      <c r="X38" s="866">
        <v>0.22438492681407701</v>
      </c>
      <c r="Y38" s="866">
        <v>0.25436563127800998</v>
      </c>
      <c r="Z38" s="868">
        <v>0.26400000000000001</v>
      </c>
      <c r="AA38" s="866">
        <v>0.26536999999999999</v>
      </c>
      <c r="AB38" s="866">
        <v>0.26200000000000001</v>
      </c>
      <c r="AC38" s="866">
        <v>0.26400000000000001</v>
      </c>
      <c r="AD38" s="868">
        <v>0.27300000000000002</v>
      </c>
      <c r="AE38" s="866">
        <v>0.26100000000000001</v>
      </c>
      <c r="AF38" s="866">
        <v>0.217</v>
      </c>
      <c r="AG38" s="866">
        <v>0.24797373550836199</v>
      </c>
      <c r="AH38" s="868">
        <v>0.256580141586495</v>
      </c>
      <c r="AI38" s="341"/>
      <c r="AJ38" s="89"/>
      <c r="AK38" s="89"/>
      <c r="AL38" s="89"/>
    </row>
    <row r="39" spans="1:38" ht="13">
      <c r="A39" s="567" t="s">
        <v>296</v>
      </c>
      <c r="B39" s="869">
        <v>0.11832344213649852</v>
      </c>
      <c r="C39" s="869">
        <v>0.11823343848580442</v>
      </c>
      <c r="D39" s="869">
        <v>0.13114847827369075</v>
      </c>
      <c r="E39" s="869">
        <v>0.13011790000000001</v>
      </c>
      <c r="F39" s="869">
        <v>0.11600000000000001</v>
      </c>
      <c r="G39" s="869">
        <v>0.122</v>
      </c>
      <c r="H39" s="869">
        <f>H29/H20</f>
        <v>0.17481626653601176</v>
      </c>
      <c r="I39" s="869">
        <v>0.17499999999999999</v>
      </c>
      <c r="J39" s="341"/>
      <c r="K39" s="869">
        <v>0.14799999999999999</v>
      </c>
      <c r="L39" s="869">
        <v>0.14299999999999999</v>
      </c>
      <c r="M39" s="869">
        <v>0.13</v>
      </c>
      <c r="N39" s="870">
        <v>0.10199999999999999</v>
      </c>
      <c r="O39" s="869">
        <v>0.128</v>
      </c>
      <c r="P39" s="869">
        <v>0.124</v>
      </c>
      <c r="Q39" s="869">
        <v>0.13598930000000001</v>
      </c>
      <c r="R39" s="870">
        <v>0.13259570000000001</v>
      </c>
      <c r="S39" s="869">
        <v>0.14237610000000001</v>
      </c>
      <c r="T39" s="869">
        <v>0.14649909999999999</v>
      </c>
      <c r="U39" s="869">
        <v>5.6908899999999998E-2</v>
      </c>
      <c r="V39" s="870">
        <v>0.11799999999999999</v>
      </c>
      <c r="W39" s="869">
        <v>0.13500000000000001</v>
      </c>
      <c r="X39" s="869">
        <v>7.0270270270270302E-2</v>
      </c>
      <c r="Y39" s="869">
        <v>0.115664845173042</v>
      </c>
      <c r="Z39" s="870">
        <v>0.159</v>
      </c>
      <c r="AA39" s="869">
        <v>0.16461000000000001</v>
      </c>
      <c r="AB39" s="869">
        <v>0.16500000000000001</v>
      </c>
      <c r="AC39" s="869">
        <v>0.186</v>
      </c>
      <c r="AD39" s="870">
        <v>0.182</v>
      </c>
      <c r="AE39" s="869">
        <v>0.18099999999999999</v>
      </c>
      <c r="AF39" s="869">
        <v>0.159</v>
      </c>
      <c r="AG39" s="869">
        <v>0.188200395517469</v>
      </c>
      <c r="AH39" s="870">
        <v>0.17526809651474501</v>
      </c>
      <c r="AI39" s="341"/>
      <c r="AJ39" s="89"/>
      <c r="AK39" s="89"/>
      <c r="AL39" s="89"/>
    </row>
    <row r="40" spans="1:38" ht="13">
      <c r="A40" s="811" t="s">
        <v>298</v>
      </c>
      <c r="B40" s="871">
        <v>0.18054634895161009</v>
      </c>
      <c r="C40" s="871">
        <v>0.16781049369050255</v>
      </c>
      <c r="D40" s="871">
        <v>0.189</v>
      </c>
      <c r="E40" s="871">
        <v>0.19289538983936266</v>
      </c>
      <c r="F40" s="871">
        <v>0.19900000000000001</v>
      </c>
      <c r="G40" s="871">
        <v>0.20399999999999999</v>
      </c>
      <c r="H40" s="871">
        <f>H31/H22</f>
        <v>0.22688863665027115</v>
      </c>
      <c r="I40" s="871">
        <v>0.224</v>
      </c>
      <c r="J40" s="341"/>
      <c r="K40" s="871">
        <v>0.191</v>
      </c>
      <c r="L40" s="871">
        <v>0.186</v>
      </c>
      <c r="M40" s="871">
        <v>0.2</v>
      </c>
      <c r="N40" s="872">
        <v>0.18099999999999999</v>
      </c>
      <c r="O40" s="871">
        <v>0.18415860000000001</v>
      </c>
      <c r="P40" s="871">
        <v>0.184</v>
      </c>
      <c r="Q40" s="871">
        <v>0.19666355818049944</v>
      </c>
      <c r="R40" s="872">
        <v>0.20477363136957757</v>
      </c>
      <c r="S40" s="871">
        <v>0.19721749999999999</v>
      </c>
      <c r="T40" s="871">
        <v>0.2130041</v>
      </c>
      <c r="U40" s="871">
        <v>0.1896526</v>
      </c>
      <c r="V40" s="872">
        <v>0.19600000000000001</v>
      </c>
      <c r="W40" s="871">
        <v>0.21199999999999999</v>
      </c>
      <c r="X40" s="871">
        <v>0.167651927169544</v>
      </c>
      <c r="Y40" s="871">
        <v>0.20861989912883999</v>
      </c>
      <c r="Z40" s="872">
        <v>0.22600000000000001</v>
      </c>
      <c r="AA40" s="871">
        <v>0.21281</v>
      </c>
      <c r="AB40" s="871">
        <v>0.224</v>
      </c>
      <c r="AC40" s="871">
        <v>0.23599999999999999</v>
      </c>
      <c r="AD40" s="872">
        <v>0.23200000000000001</v>
      </c>
      <c r="AE40" s="871">
        <v>0.23699999999999999</v>
      </c>
      <c r="AF40" s="871">
        <v>0.20100000000000001</v>
      </c>
      <c r="AG40" s="871">
        <v>0.22652710513982199</v>
      </c>
      <c r="AH40" s="872">
        <v>0.23213260619977</v>
      </c>
      <c r="AI40" s="341"/>
      <c r="AJ40" s="89"/>
      <c r="AK40" s="89"/>
      <c r="AL40" s="89"/>
    </row>
    <row r="41" spans="1:38" ht="13">
      <c r="A41" s="839"/>
      <c r="B41" s="873"/>
      <c r="C41" s="873"/>
      <c r="D41" s="873"/>
      <c r="E41" s="873"/>
      <c r="F41" s="873"/>
      <c r="G41" s="873"/>
      <c r="H41" s="873"/>
      <c r="I41" s="873"/>
      <c r="J41" s="341"/>
      <c r="K41" s="873"/>
      <c r="L41" s="873"/>
      <c r="M41" s="873"/>
      <c r="N41" s="874"/>
      <c r="O41" s="873"/>
      <c r="P41" s="873"/>
      <c r="Q41" s="873"/>
      <c r="R41" s="874"/>
      <c r="S41" s="873"/>
      <c r="T41" s="873"/>
      <c r="U41" s="873"/>
      <c r="V41" s="874"/>
      <c r="W41" s="873"/>
      <c r="X41" s="873"/>
      <c r="Y41" s="873"/>
      <c r="Z41" s="874"/>
      <c r="AA41" s="873"/>
      <c r="AB41" s="873"/>
      <c r="AC41" s="873"/>
      <c r="AD41" s="874"/>
      <c r="AE41" s="873"/>
      <c r="AF41" s="873"/>
      <c r="AG41" s="873"/>
      <c r="AH41" s="874"/>
      <c r="AI41" s="341"/>
      <c r="AJ41" s="89"/>
      <c r="AK41" s="89"/>
      <c r="AL41" s="89"/>
    </row>
    <row r="42" spans="1:38" ht="13">
      <c r="A42" s="839"/>
      <c r="B42" s="873"/>
      <c r="C42" s="873"/>
      <c r="D42" s="873"/>
      <c r="E42" s="873"/>
      <c r="F42" s="873"/>
      <c r="G42" s="873"/>
      <c r="H42" s="873"/>
      <c r="I42" s="873"/>
      <c r="J42" s="341"/>
      <c r="K42" s="873"/>
      <c r="L42" s="873"/>
      <c r="M42" s="873"/>
      <c r="N42" s="874"/>
      <c r="O42" s="873"/>
      <c r="P42" s="873"/>
      <c r="Q42" s="873"/>
      <c r="R42" s="874"/>
      <c r="S42" s="873"/>
      <c r="T42" s="873"/>
      <c r="U42" s="873"/>
      <c r="V42" s="874"/>
      <c r="W42" s="873"/>
      <c r="X42" s="873"/>
      <c r="Y42" s="873"/>
      <c r="Z42" s="874"/>
      <c r="AA42" s="873"/>
      <c r="AB42" s="873"/>
      <c r="AC42" s="873"/>
      <c r="AD42" s="874"/>
      <c r="AE42" s="873"/>
      <c r="AF42" s="873"/>
      <c r="AG42" s="873"/>
      <c r="AH42" s="874"/>
      <c r="AI42" s="341"/>
      <c r="AJ42" s="89"/>
      <c r="AK42" s="89"/>
      <c r="AL42" s="89"/>
    </row>
    <row r="43" spans="1:38" ht="13">
      <c r="A43" s="839" t="s">
        <v>1233</v>
      </c>
      <c r="B43" s="840">
        <v>2015</v>
      </c>
      <c r="C43" s="840">
        <v>2016</v>
      </c>
      <c r="D43" s="840">
        <v>2017</v>
      </c>
      <c r="E43" s="840">
        <v>2018</v>
      </c>
      <c r="F43" s="840">
        <v>2019</v>
      </c>
      <c r="G43" s="840">
        <v>2020</v>
      </c>
      <c r="H43" s="840">
        <v>2021</v>
      </c>
      <c r="I43" s="840">
        <f>SUM(AB43:AE43)</f>
        <v>2022</v>
      </c>
      <c r="J43" s="341"/>
      <c r="K43" s="840">
        <v>2017</v>
      </c>
      <c r="L43" s="840"/>
      <c r="M43" s="840"/>
      <c r="N43" s="841"/>
      <c r="O43" s="840">
        <v>2018</v>
      </c>
      <c r="P43" s="840"/>
      <c r="Q43" s="840"/>
      <c r="R43" s="841"/>
      <c r="S43" s="840">
        <v>2019</v>
      </c>
      <c r="T43" s="840"/>
      <c r="U43" s="840"/>
      <c r="V43" s="841"/>
      <c r="W43" s="840">
        <v>2020</v>
      </c>
      <c r="X43" s="840"/>
      <c r="Y43" s="840"/>
      <c r="Z43" s="841"/>
      <c r="AA43" s="840">
        <v>2021</v>
      </c>
      <c r="AB43" s="840"/>
      <c r="AC43" s="840"/>
      <c r="AD43" s="841" t="s">
        <v>302</v>
      </c>
      <c r="AE43" s="840">
        <v>2022</v>
      </c>
      <c r="AF43" s="840" t="s">
        <v>302</v>
      </c>
      <c r="AG43" s="840" t="s">
        <v>302</v>
      </c>
      <c r="AH43" s="841" t="s">
        <v>302</v>
      </c>
      <c r="AI43" s="341"/>
      <c r="AJ43" s="89"/>
      <c r="AK43" s="89"/>
      <c r="AL43" s="89"/>
    </row>
    <row r="44" spans="1:38" ht="13">
      <c r="A44" s="856" t="s">
        <v>261</v>
      </c>
      <c r="B44" s="857" t="s">
        <v>495</v>
      </c>
      <c r="C44" s="857" t="s">
        <v>495</v>
      </c>
      <c r="D44" s="857" t="s">
        <v>495</v>
      </c>
      <c r="E44" s="857" t="s">
        <v>495</v>
      </c>
      <c r="F44" s="857" t="s">
        <v>495</v>
      </c>
      <c r="G44" s="857" t="s">
        <v>495</v>
      </c>
      <c r="H44" s="857" t="s">
        <v>496</v>
      </c>
      <c r="I44" s="857" t="s">
        <v>495</v>
      </c>
      <c r="J44" s="341"/>
      <c r="K44" s="857" t="s">
        <v>497</v>
      </c>
      <c r="L44" s="857" t="s">
        <v>498</v>
      </c>
      <c r="M44" s="857" t="s">
        <v>499</v>
      </c>
      <c r="N44" s="858" t="s">
        <v>500</v>
      </c>
      <c r="O44" s="857" t="s">
        <v>497</v>
      </c>
      <c r="P44" s="857" t="s">
        <v>498</v>
      </c>
      <c r="Q44" s="857" t="s">
        <v>499</v>
      </c>
      <c r="R44" s="858" t="s">
        <v>500</v>
      </c>
      <c r="S44" s="857" t="s">
        <v>497</v>
      </c>
      <c r="T44" s="857" t="s">
        <v>498</v>
      </c>
      <c r="U44" s="857" t="s">
        <v>499</v>
      </c>
      <c r="V44" s="858" t="s">
        <v>500</v>
      </c>
      <c r="W44" s="857" t="s">
        <v>497</v>
      </c>
      <c r="X44" s="857" t="s">
        <v>498</v>
      </c>
      <c r="Y44" s="857" t="s">
        <v>499</v>
      </c>
      <c r="Z44" s="858" t="s">
        <v>500</v>
      </c>
      <c r="AA44" s="857" t="s">
        <v>497</v>
      </c>
      <c r="AB44" s="857" t="s">
        <v>498</v>
      </c>
      <c r="AC44" s="857" t="str">
        <f>+AC$6</f>
        <v>Q3</v>
      </c>
      <c r="AD44" s="858" t="s">
        <v>500</v>
      </c>
      <c r="AE44" s="857" t="s">
        <v>497</v>
      </c>
      <c r="AF44" s="857" t="s">
        <v>498</v>
      </c>
      <c r="AG44" s="857" t="s">
        <v>499</v>
      </c>
      <c r="AH44" s="858" t="s">
        <v>500</v>
      </c>
      <c r="AI44" s="341"/>
      <c r="AJ44" s="89"/>
      <c r="AK44" s="89"/>
      <c r="AL44" s="89"/>
    </row>
    <row r="45" spans="1:38" ht="13">
      <c r="A45" s="567" t="s">
        <v>315</v>
      </c>
      <c r="B45" s="587" t="s">
        <v>192</v>
      </c>
      <c r="C45" s="587" t="s">
        <v>192</v>
      </c>
      <c r="D45" s="587">
        <v>-163</v>
      </c>
      <c r="E45" s="587">
        <v>-66</v>
      </c>
      <c r="F45" s="587">
        <v>-194</v>
      </c>
      <c r="G45" s="587">
        <v>-99</v>
      </c>
      <c r="H45" s="587">
        <v>-270</v>
      </c>
      <c r="I45" s="587">
        <v>37</v>
      </c>
      <c r="J45" s="341"/>
      <c r="K45" s="587">
        <v>-45</v>
      </c>
      <c r="L45" s="587">
        <v>-53</v>
      </c>
      <c r="M45" s="587">
        <v>-15</v>
      </c>
      <c r="N45" s="875">
        <v>-50</v>
      </c>
      <c r="O45" s="587">
        <v>0</v>
      </c>
      <c r="P45" s="587">
        <v>-77</v>
      </c>
      <c r="Q45" s="587">
        <v>-56</v>
      </c>
      <c r="R45" s="875">
        <v>67</v>
      </c>
      <c r="S45" s="587">
        <v>-59</v>
      </c>
      <c r="T45" s="587">
        <v>-39</v>
      </c>
      <c r="U45" s="587">
        <v>-54</v>
      </c>
      <c r="V45" s="875">
        <v>-42</v>
      </c>
      <c r="W45" s="587">
        <v>65</v>
      </c>
      <c r="X45" s="587">
        <v>-91</v>
      </c>
      <c r="Y45" s="587">
        <v>-21</v>
      </c>
      <c r="Z45" s="875">
        <v>-52</v>
      </c>
      <c r="AA45" s="587">
        <v>-149</v>
      </c>
      <c r="AB45" s="587">
        <v>-15</v>
      </c>
      <c r="AC45" s="587">
        <v>21</v>
      </c>
      <c r="AD45" s="875">
        <v>-127</v>
      </c>
      <c r="AE45" s="587">
        <v>43</v>
      </c>
      <c r="AF45" s="587">
        <v>75</v>
      </c>
      <c r="AG45" s="587">
        <v>-14</v>
      </c>
      <c r="AH45" s="875">
        <v>-67</v>
      </c>
      <c r="AI45" s="341"/>
      <c r="AJ45" s="89"/>
      <c r="AK45" s="89"/>
      <c r="AL45" s="89"/>
    </row>
    <row r="46" spans="1:38" ht="13">
      <c r="A46" s="567" t="s">
        <v>316</v>
      </c>
      <c r="B46" s="587" t="s">
        <v>192</v>
      </c>
      <c r="C46" s="587" t="s">
        <v>192</v>
      </c>
      <c r="D46" s="587" t="s">
        <v>192</v>
      </c>
      <c r="E46" s="587" t="s">
        <v>192</v>
      </c>
      <c r="F46" s="587">
        <v>-28</v>
      </c>
      <c r="G46" s="876" t="s">
        <v>192</v>
      </c>
      <c r="H46" s="876" t="s">
        <v>192</v>
      </c>
      <c r="I46" s="876" t="s">
        <v>192</v>
      </c>
      <c r="J46" s="341"/>
      <c r="K46" s="587" t="s">
        <v>192</v>
      </c>
      <c r="L46" s="587" t="s">
        <v>192</v>
      </c>
      <c r="M46" s="587" t="s">
        <v>192</v>
      </c>
      <c r="N46" s="875" t="s">
        <v>192</v>
      </c>
      <c r="O46" s="587" t="s">
        <v>192</v>
      </c>
      <c r="P46" s="587" t="s">
        <v>192</v>
      </c>
      <c r="Q46" s="587" t="s">
        <v>192</v>
      </c>
      <c r="R46" s="875" t="s">
        <v>192</v>
      </c>
      <c r="S46" s="587" t="s">
        <v>192</v>
      </c>
      <c r="T46" s="587" t="s">
        <v>192</v>
      </c>
      <c r="U46" s="587" t="s">
        <v>192</v>
      </c>
      <c r="V46" s="875" t="s">
        <v>192</v>
      </c>
      <c r="W46" s="587" t="s">
        <v>192</v>
      </c>
      <c r="X46" s="587" t="s">
        <v>192</v>
      </c>
      <c r="Y46" s="587" t="s">
        <v>192</v>
      </c>
      <c r="Z46" s="875" t="s">
        <v>192</v>
      </c>
      <c r="AA46" s="587" t="s">
        <v>192</v>
      </c>
      <c r="AB46" s="587" t="s">
        <v>192</v>
      </c>
      <c r="AC46" s="587" t="s">
        <v>192</v>
      </c>
      <c r="AD46" s="875" t="s">
        <v>192</v>
      </c>
      <c r="AE46" s="587" t="s">
        <v>192</v>
      </c>
      <c r="AF46" s="587" t="s">
        <v>192</v>
      </c>
      <c r="AG46" s="587" t="s">
        <v>192</v>
      </c>
      <c r="AH46" s="875" t="s">
        <v>192</v>
      </c>
      <c r="AI46" s="341"/>
      <c r="AJ46" s="89"/>
      <c r="AK46" s="89"/>
      <c r="AL46" s="89"/>
    </row>
    <row r="47" spans="1:38" ht="13">
      <c r="A47" s="877" t="s">
        <v>317</v>
      </c>
      <c r="B47" s="587" t="s">
        <v>192</v>
      </c>
      <c r="C47" s="587" t="s">
        <v>192</v>
      </c>
      <c r="D47" s="587" t="s">
        <v>192</v>
      </c>
      <c r="E47" s="587">
        <v>-328</v>
      </c>
      <c r="F47" s="587" t="s">
        <v>192</v>
      </c>
      <c r="G47" s="876" t="s">
        <v>192</v>
      </c>
      <c r="H47" s="876" t="s">
        <v>192</v>
      </c>
      <c r="I47" s="876" t="s">
        <v>192</v>
      </c>
      <c r="J47" s="341"/>
      <c r="K47" s="587" t="s">
        <v>192</v>
      </c>
      <c r="L47" s="587" t="s">
        <v>192</v>
      </c>
      <c r="M47" s="587" t="s">
        <v>192</v>
      </c>
      <c r="N47" s="875" t="s">
        <v>192</v>
      </c>
      <c r="O47" s="587">
        <v>-95</v>
      </c>
      <c r="P47" s="587">
        <v>-104</v>
      </c>
      <c r="Q47" s="587">
        <v>-70</v>
      </c>
      <c r="R47" s="875">
        <v>-59</v>
      </c>
      <c r="S47" s="587" t="s">
        <v>192</v>
      </c>
      <c r="T47" s="587" t="s">
        <v>192</v>
      </c>
      <c r="U47" s="587" t="s">
        <v>192</v>
      </c>
      <c r="V47" s="875" t="s">
        <v>192</v>
      </c>
      <c r="W47" s="587" t="s">
        <v>192</v>
      </c>
      <c r="X47" s="587" t="s">
        <v>192</v>
      </c>
      <c r="Y47" s="587" t="s">
        <v>192</v>
      </c>
      <c r="Z47" s="875" t="s">
        <v>192</v>
      </c>
      <c r="AA47" s="587" t="s">
        <v>192</v>
      </c>
      <c r="AB47" s="587" t="s">
        <v>192</v>
      </c>
      <c r="AC47" s="587" t="s">
        <v>192</v>
      </c>
      <c r="AD47" s="875" t="s">
        <v>192</v>
      </c>
      <c r="AE47" s="587" t="s">
        <v>192</v>
      </c>
      <c r="AF47" s="587" t="s">
        <v>192</v>
      </c>
      <c r="AG47" s="587" t="s">
        <v>192</v>
      </c>
      <c r="AH47" s="875" t="s">
        <v>192</v>
      </c>
      <c r="AI47" s="341"/>
      <c r="AJ47" s="89"/>
      <c r="AK47" s="89"/>
      <c r="AL47" s="89"/>
    </row>
    <row r="48" spans="1:38" ht="13">
      <c r="A48" s="877" t="s">
        <v>318</v>
      </c>
      <c r="B48" s="587" t="s">
        <v>192</v>
      </c>
      <c r="C48" s="587" t="s">
        <v>192</v>
      </c>
      <c r="D48" s="587" t="s">
        <v>192</v>
      </c>
      <c r="E48" s="587" t="s">
        <v>192</v>
      </c>
      <c r="F48" s="587">
        <v>-28</v>
      </c>
      <c r="G48" s="587">
        <v>-84</v>
      </c>
      <c r="H48" s="587">
        <v>167</v>
      </c>
      <c r="I48" s="587">
        <v>-560</v>
      </c>
      <c r="J48" s="369"/>
      <c r="K48" s="587" t="s">
        <v>192</v>
      </c>
      <c r="L48" s="587" t="s">
        <v>192</v>
      </c>
      <c r="M48" s="587" t="s">
        <v>192</v>
      </c>
      <c r="N48" s="875" t="s">
        <v>192</v>
      </c>
      <c r="O48" s="587" t="s">
        <v>192</v>
      </c>
      <c r="P48" s="587" t="s">
        <v>192</v>
      </c>
      <c r="Q48" s="587" t="s">
        <v>192</v>
      </c>
      <c r="R48" s="875" t="s">
        <v>192</v>
      </c>
      <c r="S48" s="587" t="s">
        <v>192</v>
      </c>
      <c r="T48" s="587" t="s">
        <v>192</v>
      </c>
      <c r="U48" s="587" t="s">
        <v>192</v>
      </c>
      <c r="V48" s="875">
        <v>-28</v>
      </c>
      <c r="W48" s="587">
        <v>-34</v>
      </c>
      <c r="X48" s="587">
        <v>-17</v>
      </c>
      <c r="Y48" s="587">
        <v>-33</v>
      </c>
      <c r="Z48" s="875" t="s">
        <v>192</v>
      </c>
      <c r="AA48" s="587" t="s">
        <v>192</v>
      </c>
      <c r="AB48" s="587" t="s">
        <v>192</v>
      </c>
      <c r="AC48" s="587" t="s">
        <v>192</v>
      </c>
      <c r="AD48" s="875">
        <v>167</v>
      </c>
      <c r="AE48" s="587" t="s">
        <v>192</v>
      </c>
      <c r="AF48" s="587">
        <v>-422</v>
      </c>
      <c r="AG48" s="587">
        <v>-138</v>
      </c>
      <c r="AH48" s="875" t="s">
        <v>192</v>
      </c>
      <c r="AI48" s="369"/>
      <c r="AJ48" s="221"/>
      <c r="AK48" s="221"/>
      <c r="AL48" s="221"/>
    </row>
    <row r="49" spans="1:38" ht="13">
      <c r="A49" s="567" t="s">
        <v>319</v>
      </c>
      <c r="B49" s="587" t="s">
        <v>192</v>
      </c>
      <c r="C49" s="587" t="s">
        <v>192</v>
      </c>
      <c r="D49" s="587" t="s">
        <v>192</v>
      </c>
      <c r="E49" s="587" t="s">
        <v>192</v>
      </c>
      <c r="F49" s="587">
        <v>-196</v>
      </c>
      <c r="G49" s="587">
        <v>-104</v>
      </c>
      <c r="H49" s="876" t="s">
        <v>192</v>
      </c>
      <c r="I49" s="876">
        <v>-85</v>
      </c>
      <c r="J49" s="341"/>
      <c r="K49" s="587" t="s">
        <v>192</v>
      </c>
      <c r="L49" s="587" t="s">
        <v>192</v>
      </c>
      <c r="M49" s="587" t="s">
        <v>192</v>
      </c>
      <c r="N49" s="875" t="s">
        <v>192</v>
      </c>
      <c r="O49" s="587" t="s">
        <v>192</v>
      </c>
      <c r="P49" s="587" t="s">
        <v>192</v>
      </c>
      <c r="Q49" s="587" t="s">
        <v>192</v>
      </c>
      <c r="R49" s="875" t="s">
        <v>192</v>
      </c>
      <c r="S49" s="587" t="s">
        <v>192</v>
      </c>
      <c r="T49" s="587" t="s">
        <v>192</v>
      </c>
      <c r="U49" s="587">
        <v>-179</v>
      </c>
      <c r="V49" s="875">
        <v>-17</v>
      </c>
      <c r="W49" s="587">
        <v>-10</v>
      </c>
      <c r="X49" s="587">
        <v>-57</v>
      </c>
      <c r="Y49" s="587">
        <v>-22</v>
      </c>
      <c r="Z49" s="875">
        <v>-15</v>
      </c>
      <c r="AA49" s="587" t="s">
        <v>192</v>
      </c>
      <c r="AB49" s="587" t="s">
        <v>192</v>
      </c>
      <c r="AC49" s="587" t="s">
        <v>192</v>
      </c>
      <c r="AD49" s="875" t="s">
        <v>192</v>
      </c>
      <c r="AE49" s="587" t="s">
        <v>192</v>
      </c>
      <c r="AF49" s="587">
        <v>-73</v>
      </c>
      <c r="AG49" s="587">
        <v>-12</v>
      </c>
      <c r="AH49" s="875" t="s">
        <v>192</v>
      </c>
      <c r="AI49" s="341"/>
      <c r="AJ49" s="89"/>
      <c r="AK49" s="89"/>
      <c r="AL49" s="89"/>
    </row>
    <row r="50" spans="1:38" ht="13">
      <c r="A50" s="811" t="s">
        <v>298</v>
      </c>
      <c r="B50" s="878"/>
      <c r="C50" s="878"/>
      <c r="D50" s="851">
        <v>-163</v>
      </c>
      <c r="E50" s="851">
        <v>-394</v>
      </c>
      <c r="F50" s="851">
        <v>-446</v>
      </c>
      <c r="G50" s="851">
        <v>-287</v>
      </c>
      <c r="H50" s="851">
        <v>-103</v>
      </c>
      <c r="I50" s="851">
        <v>-608</v>
      </c>
      <c r="J50" s="341"/>
      <c r="K50" s="851">
        <v>-45</v>
      </c>
      <c r="L50" s="851">
        <v>-53</v>
      </c>
      <c r="M50" s="851">
        <v>-15</v>
      </c>
      <c r="N50" s="852">
        <v>-50</v>
      </c>
      <c r="O50" s="851">
        <v>-95</v>
      </c>
      <c r="P50" s="851">
        <v>-181</v>
      </c>
      <c r="Q50" s="851">
        <v>-126</v>
      </c>
      <c r="R50" s="852">
        <v>8</v>
      </c>
      <c r="S50" s="851">
        <v>-59</v>
      </c>
      <c r="T50" s="851">
        <v>-39</v>
      </c>
      <c r="U50" s="851">
        <v>-233</v>
      </c>
      <c r="V50" s="852">
        <v>-115</v>
      </c>
      <c r="W50" s="851">
        <v>21</v>
      </c>
      <c r="X50" s="851">
        <v>-164.6</v>
      </c>
      <c r="Y50" s="851">
        <v>-75.8</v>
      </c>
      <c r="Z50" s="852">
        <v>-67</v>
      </c>
      <c r="AA50" s="851">
        <v>-149</v>
      </c>
      <c r="AB50" s="851">
        <v>-15</v>
      </c>
      <c r="AC50" s="851">
        <v>21</v>
      </c>
      <c r="AD50" s="852">
        <v>40</v>
      </c>
      <c r="AE50" s="851">
        <v>43</v>
      </c>
      <c r="AF50" s="851">
        <v>-420</v>
      </c>
      <c r="AG50" s="851">
        <v>-164</v>
      </c>
      <c r="AH50" s="852">
        <v>-67</v>
      </c>
      <c r="AI50" s="341"/>
      <c r="AJ50" s="89"/>
      <c r="AK50" s="89"/>
      <c r="AL50" s="89"/>
    </row>
    <row r="51" spans="1:38" ht="13">
      <c r="A51" s="839"/>
      <c r="B51" s="873"/>
      <c r="C51" s="873"/>
      <c r="D51" s="873"/>
      <c r="E51" s="873"/>
      <c r="F51" s="873"/>
      <c r="G51" s="873"/>
      <c r="H51" s="873"/>
      <c r="I51" s="873"/>
      <c r="J51" s="341"/>
      <c r="K51" s="873"/>
      <c r="L51" s="873"/>
      <c r="M51" s="873"/>
      <c r="N51" s="874"/>
      <c r="O51" s="873"/>
      <c r="P51" s="873"/>
      <c r="Q51" s="873"/>
      <c r="R51" s="874"/>
      <c r="S51" s="873"/>
      <c r="T51" s="873"/>
      <c r="U51" s="873"/>
      <c r="V51" s="874"/>
      <c r="W51" s="873"/>
      <c r="X51" s="873"/>
      <c r="Y51" s="873"/>
      <c r="Z51" s="874"/>
      <c r="AA51" s="873"/>
      <c r="AB51" s="873"/>
      <c r="AC51" s="873"/>
      <c r="AD51" s="874"/>
      <c r="AE51" s="873"/>
      <c r="AF51" s="873"/>
      <c r="AG51" s="873"/>
      <c r="AH51" s="874"/>
      <c r="AI51" s="341"/>
      <c r="AJ51" s="89"/>
      <c r="AK51" s="89"/>
      <c r="AL51" s="89"/>
    </row>
    <row r="52" spans="1:38" ht="13">
      <c r="A52" s="839"/>
      <c r="B52" s="879"/>
      <c r="C52" s="879"/>
      <c r="D52" s="879"/>
      <c r="E52" s="879"/>
      <c r="F52" s="879"/>
      <c r="G52" s="879"/>
      <c r="H52" s="879"/>
      <c r="I52" s="879"/>
      <c r="J52" s="341"/>
      <c r="K52" s="879"/>
      <c r="L52" s="879"/>
      <c r="M52" s="879"/>
      <c r="N52" s="880"/>
      <c r="O52" s="879"/>
      <c r="P52" s="879"/>
      <c r="Q52" s="879"/>
      <c r="R52" s="880"/>
      <c r="S52" s="879"/>
      <c r="T52" s="879"/>
      <c r="U52" s="879"/>
      <c r="V52" s="880"/>
      <c r="W52" s="879"/>
      <c r="X52" s="879"/>
      <c r="Y52" s="879"/>
      <c r="Z52" s="880"/>
      <c r="AA52" s="879"/>
      <c r="AB52" s="879"/>
      <c r="AC52" s="879"/>
      <c r="AD52" s="880"/>
      <c r="AE52" s="879"/>
      <c r="AF52" s="879"/>
      <c r="AG52" s="879"/>
      <c r="AH52" s="880"/>
      <c r="AI52" s="341"/>
      <c r="AJ52" s="89"/>
      <c r="AK52" s="89"/>
      <c r="AL52" s="89"/>
    </row>
    <row r="53" spans="1:38" ht="13">
      <c r="A53" s="839" t="s">
        <v>40</v>
      </c>
      <c r="B53" s="840">
        <v>2015</v>
      </c>
      <c r="C53" s="840">
        <v>2016</v>
      </c>
      <c r="D53" s="840">
        <v>2017</v>
      </c>
      <c r="E53" s="840">
        <v>2018</v>
      </c>
      <c r="F53" s="840">
        <v>2019</v>
      </c>
      <c r="G53" s="840">
        <v>2020</v>
      </c>
      <c r="H53" s="840">
        <v>2021</v>
      </c>
      <c r="I53" s="840">
        <f>SUM(AB53:AE53)</f>
        <v>2022</v>
      </c>
      <c r="J53" s="341"/>
      <c r="K53" s="840">
        <v>2017</v>
      </c>
      <c r="L53" s="840"/>
      <c r="M53" s="840"/>
      <c r="N53" s="841"/>
      <c r="O53" s="840">
        <v>2018</v>
      </c>
      <c r="P53" s="840"/>
      <c r="Q53" s="840"/>
      <c r="R53" s="841"/>
      <c r="S53" s="840">
        <v>2019</v>
      </c>
      <c r="T53" s="840"/>
      <c r="U53" s="840"/>
      <c r="V53" s="841"/>
      <c r="W53" s="840">
        <v>2020</v>
      </c>
      <c r="X53" s="840"/>
      <c r="Y53" s="840"/>
      <c r="Z53" s="841"/>
      <c r="AA53" s="840">
        <v>2021</v>
      </c>
      <c r="AB53" s="840"/>
      <c r="AC53" s="840"/>
      <c r="AD53" s="841" t="s">
        <v>302</v>
      </c>
      <c r="AE53" s="840">
        <v>2022</v>
      </c>
      <c r="AF53" s="840" t="s">
        <v>302</v>
      </c>
      <c r="AG53" s="840" t="s">
        <v>302</v>
      </c>
      <c r="AH53" s="841" t="s">
        <v>302</v>
      </c>
      <c r="AI53" s="341"/>
      <c r="AJ53" s="89"/>
      <c r="AK53" s="89"/>
      <c r="AL53" s="89"/>
    </row>
    <row r="54" spans="1:38" ht="13">
      <c r="A54" s="856" t="s">
        <v>261</v>
      </c>
      <c r="B54" s="857" t="s">
        <v>495</v>
      </c>
      <c r="C54" s="857" t="s">
        <v>495</v>
      </c>
      <c r="D54" s="857" t="s">
        <v>495</v>
      </c>
      <c r="E54" s="857" t="s">
        <v>495</v>
      </c>
      <c r="F54" s="857" t="s">
        <v>495</v>
      </c>
      <c r="G54" s="857" t="s">
        <v>495</v>
      </c>
      <c r="H54" s="857" t="s">
        <v>495</v>
      </c>
      <c r="I54" s="857" t="s">
        <v>495</v>
      </c>
      <c r="J54" s="341"/>
      <c r="K54" s="857" t="s">
        <v>497</v>
      </c>
      <c r="L54" s="857" t="s">
        <v>498</v>
      </c>
      <c r="M54" s="857" t="s">
        <v>499</v>
      </c>
      <c r="N54" s="858" t="s">
        <v>500</v>
      </c>
      <c r="O54" s="857" t="s">
        <v>497</v>
      </c>
      <c r="P54" s="857" t="s">
        <v>498</v>
      </c>
      <c r="Q54" s="857" t="s">
        <v>499</v>
      </c>
      <c r="R54" s="858" t="s">
        <v>500</v>
      </c>
      <c r="S54" s="857" t="s">
        <v>497</v>
      </c>
      <c r="T54" s="857" t="s">
        <v>498</v>
      </c>
      <c r="U54" s="857" t="s">
        <v>499</v>
      </c>
      <c r="V54" s="858" t="s">
        <v>500</v>
      </c>
      <c r="W54" s="857" t="s">
        <v>497</v>
      </c>
      <c r="X54" s="857" t="s">
        <v>498</v>
      </c>
      <c r="Y54" s="857" t="s">
        <v>499</v>
      </c>
      <c r="Z54" s="858" t="s">
        <v>500</v>
      </c>
      <c r="AA54" s="857" t="s">
        <v>497</v>
      </c>
      <c r="AB54" s="857" t="s">
        <v>498</v>
      </c>
      <c r="AC54" s="857" t="str">
        <f>+AC$6</f>
        <v>Q3</v>
      </c>
      <c r="AD54" s="858" t="s">
        <v>500</v>
      </c>
      <c r="AE54" s="857" t="s">
        <v>497</v>
      </c>
      <c r="AF54" s="857" t="s">
        <v>498</v>
      </c>
      <c r="AG54" s="857" t="s">
        <v>499</v>
      </c>
      <c r="AH54" s="858" t="s">
        <v>500</v>
      </c>
      <c r="AI54" s="341"/>
      <c r="AJ54" s="89"/>
      <c r="AK54" s="89"/>
      <c r="AL54" s="89"/>
    </row>
    <row r="55" spans="1:38" ht="13">
      <c r="A55" s="567" t="s">
        <v>547</v>
      </c>
      <c r="B55" s="804">
        <v>4370</v>
      </c>
      <c r="C55" s="804">
        <v>3802</v>
      </c>
      <c r="D55" s="804">
        <v>5107</v>
      </c>
      <c r="E55" s="804">
        <v>6713</v>
      </c>
      <c r="F55" s="804">
        <v>7464</v>
      </c>
      <c r="G55" s="804">
        <v>6723</v>
      </c>
      <c r="H55" s="804">
        <v>7641</v>
      </c>
      <c r="I55" s="804">
        <v>9837</v>
      </c>
      <c r="J55" s="592"/>
      <c r="K55" s="804">
        <v>1166</v>
      </c>
      <c r="L55" s="804">
        <v>1242</v>
      </c>
      <c r="M55" s="804">
        <v>1261</v>
      </c>
      <c r="N55" s="805">
        <v>1438</v>
      </c>
      <c r="O55" s="804">
        <v>1351</v>
      </c>
      <c r="P55" s="804">
        <v>1741</v>
      </c>
      <c r="Q55" s="804">
        <v>1755</v>
      </c>
      <c r="R55" s="805">
        <v>1866</v>
      </c>
      <c r="S55" s="804">
        <v>1707</v>
      </c>
      <c r="T55" s="804">
        <v>1961</v>
      </c>
      <c r="U55" s="804">
        <v>1923</v>
      </c>
      <c r="V55" s="805">
        <v>1873</v>
      </c>
      <c r="W55" s="804">
        <v>1620</v>
      </c>
      <c r="X55" s="804">
        <v>1458</v>
      </c>
      <c r="Y55" s="804">
        <v>1679</v>
      </c>
      <c r="Z55" s="805">
        <v>1966</v>
      </c>
      <c r="AA55" s="804">
        <v>1696</v>
      </c>
      <c r="AB55" s="804">
        <v>1880</v>
      </c>
      <c r="AC55" s="804">
        <v>1909</v>
      </c>
      <c r="AD55" s="805">
        <v>2156</v>
      </c>
      <c r="AE55" s="804">
        <v>2142</v>
      </c>
      <c r="AF55" s="804">
        <v>2313</v>
      </c>
      <c r="AG55" s="804">
        <v>2555</v>
      </c>
      <c r="AH55" s="805">
        <v>2827</v>
      </c>
      <c r="AI55" s="341"/>
      <c r="AJ55" s="89"/>
      <c r="AK55" s="89"/>
      <c r="AL55" s="89"/>
    </row>
    <row r="56" spans="1:38" ht="13">
      <c r="A56" s="567" t="s">
        <v>296</v>
      </c>
      <c r="B56" s="804">
        <v>957</v>
      </c>
      <c r="C56" s="804">
        <v>937</v>
      </c>
      <c r="D56" s="804">
        <v>1146.0051558893001</v>
      </c>
      <c r="E56" s="804">
        <v>1239</v>
      </c>
      <c r="F56" s="804">
        <v>1448</v>
      </c>
      <c r="G56" s="804">
        <v>1201</v>
      </c>
      <c r="H56" s="804">
        <v>1784</v>
      </c>
      <c r="I56" s="804">
        <v>2199</v>
      </c>
      <c r="J56" s="592"/>
      <c r="K56" s="804">
        <v>321</v>
      </c>
      <c r="L56" s="804">
        <v>328</v>
      </c>
      <c r="M56" s="804">
        <v>279</v>
      </c>
      <c r="N56" s="805">
        <v>218.0051558893</v>
      </c>
      <c r="O56" s="804">
        <v>287</v>
      </c>
      <c r="P56" s="804">
        <v>304</v>
      </c>
      <c r="Q56" s="804">
        <v>324</v>
      </c>
      <c r="R56" s="805">
        <v>324</v>
      </c>
      <c r="S56" s="804">
        <v>371</v>
      </c>
      <c r="T56" s="804">
        <v>429</v>
      </c>
      <c r="U56" s="804">
        <v>336</v>
      </c>
      <c r="V56" s="805">
        <v>312</v>
      </c>
      <c r="W56" s="804">
        <v>347</v>
      </c>
      <c r="X56" s="804">
        <v>200</v>
      </c>
      <c r="Y56" s="804">
        <v>276</v>
      </c>
      <c r="Z56" s="805">
        <v>378</v>
      </c>
      <c r="AA56" s="804">
        <v>386</v>
      </c>
      <c r="AB56" s="804">
        <v>416</v>
      </c>
      <c r="AC56" s="804">
        <v>502</v>
      </c>
      <c r="AD56" s="805">
        <v>480</v>
      </c>
      <c r="AE56" s="804">
        <v>520</v>
      </c>
      <c r="AF56" s="804">
        <v>573</v>
      </c>
      <c r="AG56" s="804">
        <v>583</v>
      </c>
      <c r="AH56" s="805">
        <v>523</v>
      </c>
      <c r="AI56" s="341"/>
      <c r="AJ56" s="89"/>
      <c r="AK56" s="89"/>
      <c r="AL56" s="89"/>
    </row>
    <row r="57" spans="1:38" ht="13">
      <c r="A57" s="811" t="s">
        <v>298</v>
      </c>
      <c r="B57" s="851">
        <v>5175</v>
      </c>
      <c r="C57" s="851">
        <v>4548</v>
      </c>
      <c r="D57" s="851">
        <v>6093.0051558893001</v>
      </c>
      <c r="E57" s="851">
        <v>7779</v>
      </c>
      <c r="F57" s="851">
        <v>8582</v>
      </c>
      <c r="G57" s="851">
        <v>7669</v>
      </c>
      <c r="H57" s="851">
        <v>9098</v>
      </c>
      <c r="I57" s="851">
        <v>11755</v>
      </c>
      <c r="J57" s="592"/>
      <c r="K57" s="851">
        <v>1459</v>
      </c>
      <c r="L57" s="851">
        <v>1521</v>
      </c>
      <c r="M57" s="851">
        <v>1535</v>
      </c>
      <c r="N57" s="852">
        <v>1578.0051558893001</v>
      </c>
      <c r="O57" s="851">
        <v>1610</v>
      </c>
      <c r="P57" s="851">
        <v>1991</v>
      </c>
      <c r="Q57" s="851">
        <v>2024</v>
      </c>
      <c r="R57" s="852">
        <v>2154</v>
      </c>
      <c r="S57" s="851">
        <v>1989</v>
      </c>
      <c r="T57" s="851">
        <v>2302</v>
      </c>
      <c r="U57" s="851">
        <v>2160</v>
      </c>
      <c r="V57" s="852">
        <v>2131</v>
      </c>
      <c r="W57" s="851">
        <v>1911</v>
      </c>
      <c r="X57" s="851">
        <v>1582.6</v>
      </c>
      <c r="Y57" s="851">
        <v>1895.8</v>
      </c>
      <c r="Z57" s="852">
        <v>2279</v>
      </c>
      <c r="AA57" s="851">
        <v>2016</v>
      </c>
      <c r="AB57" s="851">
        <v>2197</v>
      </c>
      <c r="AC57" s="851">
        <v>2331</v>
      </c>
      <c r="AD57" s="852">
        <v>2554</v>
      </c>
      <c r="AE57" s="851">
        <v>2588</v>
      </c>
      <c r="AF57" s="851">
        <v>2801</v>
      </c>
      <c r="AG57" s="851">
        <v>3064</v>
      </c>
      <c r="AH57" s="852">
        <v>3302</v>
      </c>
      <c r="AI57" s="341"/>
      <c r="AJ57" s="89"/>
      <c r="AK57" s="89"/>
      <c r="AL57" s="89"/>
    </row>
    <row r="58" spans="1:38" ht="13">
      <c r="A58" s="839"/>
      <c r="B58" s="873"/>
      <c r="C58" s="873"/>
      <c r="D58" s="873"/>
      <c r="E58" s="873"/>
      <c r="F58" s="873"/>
      <c r="G58" s="873"/>
      <c r="H58" s="873"/>
      <c r="I58" s="873"/>
      <c r="J58" s="341"/>
      <c r="K58" s="873"/>
      <c r="L58" s="873"/>
      <c r="M58" s="873"/>
      <c r="N58" s="874"/>
      <c r="O58" s="873"/>
      <c r="P58" s="873"/>
      <c r="Q58" s="873"/>
      <c r="R58" s="874"/>
      <c r="S58" s="873"/>
      <c r="T58" s="873"/>
      <c r="U58" s="873"/>
      <c r="V58" s="874"/>
      <c r="W58" s="873"/>
      <c r="X58" s="873"/>
      <c r="Y58" s="873"/>
      <c r="Z58" s="874"/>
      <c r="AA58" s="881"/>
      <c r="AB58" s="881"/>
      <c r="AC58" s="881"/>
      <c r="AD58" s="874"/>
      <c r="AE58" s="881"/>
      <c r="AF58" s="873"/>
      <c r="AG58" s="873"/>
      <c r="AH58" s="874"/>
      <c r="AI58" s="341"/>
      <c r="AJ58" s="89"/>
      <c r="AK58" s="89"/>
      <c r="AL58" s="89"/>
    </row>
    <row r="59" spans="1:38" ht="13">
      <c r="A59" s="839"/>
      <c r="B59" s="873"/>
      <c r="C59" s="873"/>
      <c r="D59" s="873"/>
      <c r="E59" s="873"/>
      <c r="F59" s="873"/>
      <c r="G59" s="873"/>
      <c r="H59" s="873"/>
      <c r="I59" s="873"/>
      <c r="J59" s="341"/>
      <c r="K59" s="873"/>
      <c r="L59" s="873"/>
      <c r="M59" s="873"/>
      <c r="N59" s="874"/>
      <c r="O59" s="873"/>
      <c r="P59" s="873"/>
      <c r="Q59" s="873"/>
      <c r="R59" s="874"/>
      <c r="S59" s="873"/>
      <c r="T59" s="873"/>
      <c r="U59" s="873"/>
      <c r="V59" s="874"/>
      <c r="W59" s="873"/>
      <c r="X59" s="873"/>
      <c r="Y59" s="873"/>
      <c r="Z59" s="874"/>
      <c r="AA59" s="873"/>
      <c r="AB59" s="873"/>
      <c r="AC59" s="873"/>
      <c r="AD59" s="874"/>
      <c r="AE59" s="873"/>
      <c r="AF59" s="873"/>
      <c r="AG59" s="873"/>
      <c r="AH59" s="874"/>
      <c r="AI59" s="341"/>
      <c r="AJ59" s="89"/>
      <c r="AK59" s="89"/>
      <c r="AL59" s="89"/>
    </row>
    <row r="60" spans="1:38" ht="13">
      <c r="A60" s="839" t="s">
        <v>1234</v>
      </c>
      <c r="B60" s="840">
        <v>2015</v>
      </c>
      <c r="C60" s="840">
        <v>2016</v>
      </c>
      <c r="D60" s="840">
        <v>2017</v>
      </c>
      <c r="E60" s="840">
        <v>2018</v>
      </c>
      <c r="F60" s="840">
        <v>2019</v>
      </c>
      <c r="G60" s="840">
        <v>2020</v>
      </c>
      <c r="H60" s="840">
        <v>2021</v>
      </c>
      <c r="I60" s="840">
        <f>SUM(AB60:AE60)</f>
        <v>2022</v>
      </c>
      <c r="J60" s="341"/>
      <c r="K60" s="840">
        <v>2017</v>
      </c>
      <c r="L60" s="840"/>
      <c r="M60" s="840"/>
      <c r="N60" s="841"/>
      <c r="O60" s="840">
        <v>2018</v>
      </c>
      <c r="P60" s="840"/>
      <c r="Q60" s="840"/>
      <c r="R60" s="841"/>
      <c r="S60" s="840">
        <v>2019</v>
      </c>
      <c r="T60" s="840"/>
      <c r="U60" s="840"/>
      <c r="V60" s="841"/>
      <c r="W60" s="840">
        <v>2020</v>
      </c>
      <c r="X60" s="840"/>
      <c r="Y60" s="840"/>
      <c r="Z60" s="841"/>
      <c r="AA60" s="840">
        <v>2021</v>
      </c>
      <c r="AB60" s="840"/>
      <c r="AC60" s="840"/>
      <c r="AD60" s="841" t="s">
        <v>302</v>
      </c>
      <c r="AE60" s="840">
        <v>2022</v>
      </c>
      <c r="AF60" s="840" t="s">
        <v>302</v>
      </c>
      <c r="AG60" s="840"/>
      <c r="AH60" s="841" t="s">
        <v>302</v>
      </c>
      <c r="AI60" s="341"/>
      <c r="AJ60" s="89"/>
      <c r="AK60" s="89"/>
      <c r="AL60" s="89"/>
    </row>
    <row r="61" spans="1:38" ht="13">
      <c r="A61" s="856" t="s">
        <v>261</v>
      </c>
      <c r="B61" s="857" t="s">
        <v>495</v>
      </c>
      <c r="C61" s="857" t="s">
        <v>495</v>
      </c>
      <c r="D61" s="857" t="s">
        <v>495</v>
      </c>
      <c r="E61" s="857" t="s">
        <v>495</v>
      </c>
      <c r="F61" s="857" t="s">
        <v>495</v>
      </c>
      <c r="G61" s="857" t="s">
        <v>495</v>
      </c>
      <c r="H61" s="857" t="s">
        <v>496</v>
      </c>
      <c r="I61" s="857" t="s">
        <v>495</v>
      </c>
      <c r="J61" s="341"/>
      <c r="K61" s="857" t="s">
        <v>497</v>
      </c>
      <c r="L61" s="857" t="s">
        <v>498</v>
      </c>
      <c r="M61" s="857" t="s">
        <v>499</v>
      </c>
      <c r="N61" s="858" t="s">
        <v>500</v>
      </c>
      <c r="O61" s="857" t="s">
        <v>497</v>
      </c>
      <c r="P61" s="857" t="s">
        <v>498</v>
      </c>
      <c r="Q61" s="857" t="s">
        <v>499</v>
      </c>
      <c r="R61" s="858" t="s">
        <v>500</v>
      </c>
      <c r="S61" s="857" t="s">
        <v>497</v>
      </c>
      <c r="T61" s="857" t="s">
        <v>498</v>
      </c>
      <c r="U61" s="857" t="s">
        <v>499</v>
      </c>
      <c r="V61" s="858" t="s">
        <v>500</v>
      </c>
      <c r="W61" s="857" t="s">
        <v>497</v>
      </c>
      <c r="X61" s="857" t="s">
        <v>498</v>
      </c>
      <c r="Y61" s="857" t="s">
        <v>499</v>
      </c>
      <c r="Z61" s="858" t="s">
        <v>500</v>
      </c>
      <c r="AA61" s="857" t="s">
        <v>497</v>
      </c>
      <c r="AB61" s="857" t="s">
        <v>498</v>
      </c>
      <c r="AC61" s="857" t="str">
        <f>+AC$6</f>
        <v>Q3</v>
      </c>
      <c r="AD61" s="858" t="s">
        <v>500</v>
      </c>
      <c r="AE61" s="857" t="s">
        <v>497</v>
      </c>
      <c r="AF61" s="857" t="s">
        <v>498</v>
      </c>
      <c r="AG61" s="857" t="s">
        <v>499</v>
      </c>
      <c r="AH61" s="858" t="s">
        <v>500</v>
      </c>
      <c r="AI61" s="341"/>
      <c r="AJ61" s="89"/>
      <c r="AK61" s="89"/>
      <c r="AL61" s="89"/>
    </row>
    <row r="62" spans="1:38" ht="13">
      <c r="A62" s="877" t="s">
        <v>1235</v>
      </c>
      <c r="B62" s="867">
        <v>0.21509081065117883</v>
      </c>
      <c r="C62" s="867">
        <v>0.20118531061487988</v>
      </c>
      <c r="D62" s="866">
        <v>0.22816423178304965</v>
      </c>
      <c r="E62" s="867">
        <v>0.23524877365101612</v>
      </c>
      <c r="F62" s="866">
        <v>0.25</v>
      </c>
      <c r="G62" s="866">
        <v>0.25</v>
      </c>
      <c r="H62" s="866">
        <f>H55/H17</f>
        <v>0.26060709413369715</v>
      </c>
      <c r="I62" s="866">
        <v>0.26100000000000001</v>
      </c>
      <c r="J62" s="341"/>
      <c r="K62" s="866">
        <v>0.223</v>
      </c>
      <c r="L62" s="866">
        <v>0.22600000000000001</v>
      </c>
      <c r="M62" s="866">
        <v>0.23300000000000001</v>
      </c>
      <c r="N62" s="868">
        <v>0.23</v>
      </c>
      <c r="O62" s="866">
        <v>0.22700000000000001</v>
      </c>
      <c r="P62" s="866">
        <v>0.23799999999999999</v>
      </c>
      <c r="Q62" s="866">
        <v>0.245</v>
      </c>
      <c r="R62" s="868">
        <v>0.23100000000000001</v>
      </c>
      <c r="S62" s="866">
        <v>0.24</v>
      </c>
      <c r="T62" s="866">
        <v>0.255</v>
      </c>
      <c r="U62" s="866">
        <v>0.26200000000000001</v>
      </c>
      <c r="V62" s="868">
        <v>0.24199999999999999</v>
      </c>
      <c r="W62" s="866">
        <v>0.246</v>
      </c>
      <c r="X62" s="866">
        <v>0.22709436312675199</v>
      </c>
      <c r="Y62" s="866">
        <v>0.259465306753207</v>
      </c>
      <c r="Z62" s="868">
        <v>0.26400000000000001</v>
      </c>
      <c r="AA62" s="866">
        <v>0.26500000000000001</v>
      </c>
      <c r="AB62" s="866">
        <v>0.26200000000000001</v>
      </c>
      <c r="AC62" s="866">
        <v>0.26400000000000001</v>
      </c>
      <c r="AD62" s="868">
        <v>0.254</v>
      </c>
      <c r="AE62" s="866">
        <v>0.26100000000000001</v>
      </c>
      <c r="AF62" s="866">
        <v>0.26600000000000001</v>
      </c>
      <c r="AG62" s="866">
        <v>0.26200000000000001</v>
      </c>
      <c r="AH62" s="868">
        <v>0.25700000000000001</v>
      </c>
      <c r="AI62" s="341"/>
      <c r="AJ62" s="89"/>
      <c r="AK62" s="89"/>
      <c r="AL62" s="89"/>
    </row>
    <row r="63" spans="1:38" ht="13">
      <c r="A63" s="341" t="s">
        <v>323</v>
      </c>
      <c r="B63" s="866">
        <v>0.11832344213649852</v>
      </c>
      <c r="C63" s="866">
        <v>0.11823343848580442</v>
      </c>
      <c r="D63" s="866">
        <v>0.13114847827369075</v>
      </c>
      <c r="E63" s="866">
        <v>0.13011790000000001</v>
      </c>
      <c r="F63" s="866">
        <v>0.13400000000000001</v>
      </c>
      <c r="G63" s="866">
        <v>0.13284879315943299</v>
      </c>
      <c r="H63" s="866">
        <f>H56/H20</f>
        <v>0.17481626653601176</v>
      </c>
      <c r="I63" s="866">
        <v>0.183</v>
      </c>
      <c r="J63" s="341"/>
      <c r="K63" s="866">
        <v>0.14799999999999999</v>
      </c>
      <c r="L63" s="866">
        <v>0.14299999999999999</v>
      </c>
      <c r="M63" s="866">
        <v>0.13</v>
      </c>
      <c r="N63" s="868">
        <v>0.10199999999999999</v>
      </c>
      <c r="O63" s="866">
        <v>0.12767809999999999</v>
      </c>
      <c r="P63" s="866">
        <v>0.124</v>
      </c>
      <c r="Q63" s="866">
        <v>0.13600000000000001</v>
      </c>
      <c r="R63" s="868">
        <v>0.13300000000000001</v>
      </c>
      <c r="S63" s="866">
        <v>0.14237610000000001</v>
      </c>
      <c r="T63" s="866">
        <v>0.14599999999999999</v>
      </c>
      <c r="U63" s="866">
        <v>0.122</v>
      </c>
      <c r="V63" s="868">
        <v>0.125</v>
      </c>
      <c r="W63" s="866">
        <v>0.13900000000000001</v>
      </c>
      <c r="X63" s="866">
        <v>9.7985257985258006E-2</v>
      </c>
      <c r="Y63" s="866">
        <v>0.12568306010929001</v>
      </c>
      <c r="Z63" s="868">
        <v>0.16500000000000001</v>
      </c>
      <c r="AA63" s="866">
        <v>0.16500000000000001</v>
      </c>
      <c r="AB63" s="866">
        <v>0.16500000000000001</v>
      </c>
      <c r="AC63" s="866">
        <v>0.186</v>
      </c>
      <c r="AD63" s="868">
        <v>0.182</v>
      </c>
      <c r="AE63" s="866">
        <v>0.18099999999999999</v>
      </c>
      <c r="AF63" s="866">
        <v>0.182</v>
      </c>
      <c r="AG63" s="866">
        <v>0.192</v>
      </c>
      <c r="AH63" s="868">
        <v>0.17499999999999999</v>
      </c>
      <c r="AI63" s="341"/>
      <c r="AJ63" s="89"/>
      <c r="AK63" s="89"/>
      <c r="AL63" s="89"/>
    </row>
    <row r="64" spans="1:38" ht="13">
      <c r="A64" s="842" t="s">
        <v>1236</v>
      </c>
      <c r="B64" s="882">
        <v>0.18054634895161009</v>
      </c>
      <c r="C64" s="882">
        <v>0.16781049369050255</v>
      </c>
      <c r="D64" s="882">
        <v>0.19426594412314713</v>
      </c>
      <c r="E64" s="882">
        <v>0.20318662661616821</v>
      </c>
      <c r="F64" s="882">
        <v>0.21009082229675144</v>
      </c>
      <c r="G64" s="882">
        <v>0.21230828857759815</v>
      </c>
      <c r="H64" s="882">
        <v>0.22900000000000001</v>
      </c>
      <c r="I64" s="882">
        <v>0.23699999999999999</v>
      </c>
      <c r="J64" s="341"/>
      <c r="K64" s="882">
        <v>0.19686294329831355</v>
      </c>
      <c r="L64" s="882">
        <v>0.19304480263992893</v>
      </c>
      <c r="M64" s="882">
        <v>0.20170827858081472</v>
      </c>
      <c r="N64" s="883">
        <v>0.18643728212302696</v>
      </c>
      <c r="O64" s="882">
        <v>0.19600000000000001</v>
      </c>
      <c r="P64" s="882">
        <v>0.20200000000000001</v>
      </c>
      <c r="Q64" s="882">
        <v>0.21</v>
      </c>
      <c r="R64" s="883">
        <v>0.20399999999999999</v>
      </c>
      <c r="S64" s="882">
        <v>0.20327031170158405</v>
      </c>
      <c r="T64" s="882">
        <v>0.21663843402973837</v>
      </c>
      <c r="U64" s="882">
        <v>0.21264028352037803</v>
      </c>
      <c r="V64" s="883">
        <v>0.20729571984435799</v>
      </c>
      <c r="W64" s="882">
        <v>0.20899999999999999</v>
      </c>
      <c r="X64" s="882">
        <v>0.18711279262236899</v>
      </c>
      <c r="Y64" s="882">
        <v>0.21730857404860199</v>
      </c>
      <c r="Z64" s="883">
        <v>0.23200000000000001</v>
      </c>
      <c r="AA64" s="882">
        <v>0.23</v>
      </c>
      <c r="AB64" s="882">
        <v>0.22600000000000001</v>
      </c>
      <c r="AC64" s="882">
        <v>0.23400000000000001</v>
      </c>
      <c r="AD64" s="883">
        <v>0.22900000000000001</v>
      </c>
      <c r="AE64" s="882">
        <v>0.23300000000000001</v>
      </c>
      <c r="AF64" s="882">
        <v>0.23599999999999999</v>
      </c>
      <c r="AG64" s="882">
        <v>0.23899999999999999</v>
      </c>
      <c r="AH64" s="883">
        <v>0.23699999999999999</v>
      </c>
      <c r="AI64" s="341"/>
      <c r="AJ64" s="89"/>
      <c r="AK64" s="89"/>
      <c r="AL64" s="89"/>
    </row>
    <row r="65" spans="1:38" ht="13">
      <c r="A65" s="567"/>
      <c r="B65" s="587"/>
      <c r="C65" s="587"/>
      <c r="D65" s="587"/>
      <c r="E65" s="587"/>
      <c r="F65" s="587"/>
      <c r="G65" s="587"/>
      <c r="H65" s="587"/>
      <c r="I65" s="587"/>
      <c r="J65" s="341"/>
      <c r="K65" s="587"/>
      <c r="L65" s="587"/>
      <c r="M65" s="587"/>
      <c r="N65" s="875"/>
      <c r="O65" s="587"/>
      <c r="P65" s="587"/>
      <c r="Q65" s="587"/>
      <c r="R65" s="875"/>
      <c r="S65" s="587"/>
      <c r="T65" s="587"/>
      <c r="U65" s="587"/>
      <c r="V65" s="875"/>
      <c r="W65" s="587"/>
      <c r="X65" s="587"/>
      <c r="Y65" s="587"/>
      <c r="Z65" s="875"/>
      <c r="AA65" s="587"/>
      <c r="AB65" s="587"/>
      <c r="AC65" s="587"/>
      <c r="AD65" s="875"/>
      <c r="AE65" s="587"/>
      <c r="AF65" s="587"/>
      <c r="AG65" s="587"/>
      <c r="AH65" s="875"/>
      <c r="AI65" s="341"/>
      <c r="AJ65" s="89"/>
      <c r="AK65" s="89"/>
      <c r="AL65" s="89"/>
    </row>
    <row r="66" spans="1:38" ht="13">
      <c r="A66" s="839"/>
      <c r="B66" s="879"/>
      <c r="C66" s="879"/>
      <c r="D66" s="879"/>
      <c r="E66" s="879"/>
      <c r="F66" s="879"/>
      <c r="G66" s="879"/>
      <c r="H66" s="879"/>
      <c r="I66" s="879"/>
      <c r="J66" s="341"/>
      <c r="K66" s="879"/>
      <c r="L66" s="879"/>
      <c r="M66" s="879"/>
      <c r="N66" s="880"/>
      <c r="O66" s="879"/>
      <c r="P66" s="879"/>
      <c r="Q66" s="879"/>
      <c r="R66" s="880"/>
      <c r="S66" s="879"/>
      <c r="T66" s="879"/>
      <c r="U66" s="879"/>
      <c r="V66" s="880"/>
      <c r="W66" s="879"/>
      <c r="X66" s="879"/>
      <c r="Y66" s="879"/>
      <c r="Z66" s="880"/>
      <c r="AA66" s="879"/>
      <c r="AB66" s="879"/>
      <c r="AC66" s="879"/>
      <c r="AD66" s="880"/>
      <c r="AE66" s="879"/>
      <c r="AF66" s="879"/>
      <c r="AG66" s="879"/>
      <c r="AH66" s="880"/>
      <c r="AI66" s="341"/>
      <c r="AJ66" s="89"/>
      <c r="AK66" s="89"/>
      <c r="AL66" s="89"/>
    </row>
    <row r="67" spans="1:38" ht="13">
      <c r="A67" s="839" t="s">
        <v>1237</v>
      </c>
      <c r="B67" s="840">
        <v>2015</v>
      </c>
      <c r="C67" s="840">
        <v>2016</v>
      </c>
      <c r="D67" s="840">
        <v>2017</v>
      </c>
      <c r="E67" s="840">
        <v>2018</v>
      </c>
      <c r="F67" s="840">
        <v>2019</v>
      </c>
      <c r="G67" s="840">
        <v>2020</v>
      </c>
      <c r="H67" s="840">
        <v>2021</v>
      </c>
      <c r="I67" s="840">
        <f>SUM(AB67:AE67)</f>
        <v>2022</v>
      </c>
      <c r="J67" s="341"/>
      <c r="K67" s="840">
        <v>2017</v>
      </c>
      <c r="L67" s="840"/>
      <c r="M67" s="840"/>
      <c r="N67" s="841"/>
      <c r="O67" s="840">
        <v>2018</v>
      </c>
      <c r="P67" s="840"/>
      <c r="Q67" s="840"/>
      <c r="R67" s="841"/>
      <c r="S67" s="840">
        <v>2019</v>
      </c>
      <c r="T67" s="840"/>
      <c r="U67" s="840"/>
      <c r="V67" s="841"/>
      <c r="W67" s="840">
        <v>2020</v>
      </c>
      <c r="X67" s="840"/>
      <c r="Y67" s="840"/>
      <c r="Z67" s="841"/>
      <c r="AA67" s="840">
        <v>2021</v>
      </c>
      <c r="AB67" s="840"/>
      <c r="AC67" s="840"/>
      <c r="AD67" s="841" t="s">
        <v>302</v>
      </c>
      <c r="AE67" s="840">
        <v>2022</v>
      </c>
      <c r="AF67" s="840" t="s">
        <v>302</v>
      </c>
      <c r="AG67" s="840" t="s">
        <v>302</v>
      </c>
      <c r="AH67" s="841" t="s">
        <v>302</v>
      </c>
      <c r="AI67" s="341"/>
      <c r="AJ67" s="89"/>
      <c r="AK67" s="89"/>
      <c r="AL67" s="89"/>
    </row>
    <row r="68" spans="1:38" ht="13">
      <c r="A68" s="856" t="s">
        <v>261</v>
      </c>
      <c r="B68" s="857" t="s">
        <v>495</v>
      </c>
      <c r="C68" s="857" t="s">
        <v>495</v>
      </c>
      <c r="D68" s="857" t="s">
        <v>495</v>
      </c>
      <c r="E68" s="857" t="s">
        <v>495</v>
      </c>
      <c r="F68" s="857" t="s">
        <v>495</v>
      </c>
      <c r="G68" s="857" t="s">
        <v>495</v>
      </c>
      <c r="H68" s="857" t="s">
        <v>496</v>
      </c>
      <c r="I68" s="857" t="s">
        <v>495</v>
      </c>
      <c r="J68" s="341"/>
      <c r="K68" s="857" t="s">
        <v>497</v>
      </c>
      <c r="L68" s="857" t="s">
        <v>498</v>
      </c>
      <c r="M68" s="857" t="s">
        <v>499</v>
      </c>
      <c r="N68" s="858" t="s">
        <v>500</v>
      </c>
      <c r="O68" s="857" t="s">
        <v>497</v>
      </c>
      <c r="P68" s="857" t="s">
        <v>498</v>
      </c>
      <c r="Q68" s="857" t="s">
        <v>499</v>
      </c>
      <c r="R68" s="858" t="s">
        <v>500</v>
      </c>
      <c r="S68" s="857" t="s">
        <v>497</v>
      </c>
      <c r="T68" s="857" t="s">
        <v>498</v>
      </c>
      <c r="U68" s="857" t="s">
        <v>499</v>
      </c>
      <c r="V68" s="858" t="s">
        <v>500</v>
      </c>
      <c r="W68" s="857" t="s">
        <v>497</v>
      </c>
      <c r="X68" s="857" t="s">
        <v>498</v>
      </c>
      <c r="Y68" s="857" t="s">
        <v>499</v>
      </c>
      <c r="Z68" s="858" t="s">
        <v>500</v>
      </c>
      <c r="AA68" s="857" t="s">
        <v>497</v>
      </c>
      <c r="AB68" s="857" t="s">
        <v>498</v>
      </c>
      <c r="AC68" s="857" t="str">
        <f>+AC$6</f>
        <v>Q3</v>
      </c>
      <c r="AD68" s="858" t="s">
        <v>500</v>
      </c>
      <c r="AE68" s="857" t="s">
        <v>497</v>
      </c>
      <c r="AF68" s="857" t="s">
        <v>498</v>
      </c>
      <c r="AG68" s="857" t="s">
        <v>499</v>
      </c>
      <c r="AH68" s="858" t="s">
        <v>500</v>
      </c>
      <c r="AI68" s="341"/>
      <c r="AJ68" s="89"/>
      <c r="AK68" s="89"/>
      <c r="AL68" s="89"/>
    </row>
    <row r="69" spans="1:38" ht="24">
      <c r="A69" s="877" t="s">
        <v>326</v>
      </c>
      <c r="B69" s="884" t="s">
        <v>192</v>
      </c>
      <c r="C69" s="884" t="s">
        <v>192</v>
      </c>
      <c r="D69" s="885">
        <v>-163</v>
      </c>
      <c r="E69" s="885">
        <v>-66</v>
      </c>
      <c r="F69" s="885">
        <v>-194</v>
      </c>
      <c r="G69" s="885">
        <v>-99</v>
      </c>
      <c r="H69" s="885">
        <v>-270</v>
      </c>
      <c r="I69" s="885">
        <v>37</v>
      </c>
      <c r="J69" s="369"/>
      <c r="K69" s="885">
        <v>-45</v>
      </c>
      <c r="L69" s="885">
        <v>-53</v>
      </c>
      <c r="M69" s="885">
        <v>-15</v>
      </c>
      <c r="N69" s="886">
        <v>-50</v>
      </c>
      <c r="O69" s="885">
        <v>0</v>
      </c>
      <c r="P69" s="885">
        <v>-77</v>
      </c>
      <c r="Q69" s="885">
        <v>-56</v>
      </c>
      <c r="R69" s="886">
        <v>67</v>
      </c>
      <c r="S69" s="885">
        <v>-59</v>
      </c>
      <c r="T69" s="885">
        <v>-39</v>
      </c>
      <c r="U69" s="885">
        <v>-54</v>
      </c>
      <c r="V69" s="886">
        <v>-42</v>
      </c>
      <c r="W69" s="885">
        <f>W45</f>
        <v>65</v>
      </c>
      <c r="X69" s="885">
        <v>-91</v>
      </c>
      <c r="Y69" s="887">
        <v>-21</v>
      </c>
      <c r="Z69" s="886">
        <v>-52</v>
      </c>
      <c r="AA69" s="885">
        <v>-149</v>
      </c>
      <c r="AB69" s="885">
        <v>-15</v>
      </c>
      <c r="AC69" s="885">
        <v>21</v>
      </c>
      <c r="AD69" s="886">
        <v>-127</v>
      </c>
      <c r="AE69" s="885">
        <v>43</v>
      </c>
      <c r="AF69" s="885">
        <v>75</v>
      </c>
      <c r="AG69" s="885">
        <v>-14</v>
      </c>
      <c r="AH69" s="886">
        <v>-67</v>
      </c>
      <c r="AI69" s="369"/>
      <c r="AJ69" s="221"/>
      <c r="AK69" s="221"/>
      <c r="AL69" s="221"/>
    </row>
    <row r="70" spans="1:38" ht="13">
      <c r="A70" s="567" t="s">
        <v>317</v>
      </c>
      <c r="B70" s="587" t="s">
        <v>192</v>
      </c>
      <c r="C70" s="587" t="s">
        <v>192</v>
      </c>
      <c r="D70" s="587" t="s">
        <v>192</v>
      </c>
      <c r="E70" s="587">
        <v>-328</v>
      </c>
      <c r="F70" s="650">
        <v>-62</v>
      </c>
      <c r="G70" s="650">
        <v>-18</v>
      </c>
      <c r="H70" s="587" t="s">
        <v>192</v>
      </c>
      <c r="I70" s="587" t="s">
        <v>192</v>
      </c>
      <c r="J70" s="341"/>
      <c r="K70" s="587" t="s">
        <v>192</v>
      </c>
      <c r="L70" s="587" t="s">
        <v>192</v>
      </c>
      <c r="M70" s="587" t="s">
        <v>192</v>
      </c>
      <c r="N70" s="875" t="s">
        <v>192</v>
      </c>
      <c r="O70" s="587">
        <v>-95</v>
      </c>
      <c r="P70" s="587">
        <v>-104</v>
      </c>
      <c r="Q70" s="587">
        <v>-70</v>
      </c>
      <c r="R70" s="875">
        <v>-59</v>
      </c>
      <c r="S70" s="587">
        <v>-17</v>
      </c>
      <c r="T70" s="587">
        <v>-23</v>
      </c>
      <c r="U70" s="587">
        <v>-11</v>
      </c>
      <c r="V70" s="875">
        <v>-11</v>
      </c>
      <c r="W70" s="587">
        <v>-6</v>
      </c>
      <c r="X70" s="587">
        <v>-11</v>
      </c>
      <c r="Y70" s="587">
        <v>-1</v>
      </c>
      <c r="Z70" s="875" t="s">
        <v>192</v>
      </c>
      <c r="AA70" s="587" t="s">
        <v>192</v>
      </c>
      <c r="AB70" s="587" t="s">
        <v>192</v>
      </c>
      <c r="AC70" s="587" t="s">
        <v>192</v>
      </c>
      <c r="AD70" s="875" t="s">
        <v>192</v>
      </c>
      <c r="AE70" s="587" t="s">
        <v>192</v>
      </c>
      <c r="AF70" s="587" t="s">
        <v>192</v>
      </c>
      <c r="AG70" s="587" t="s">
        <v>192</v>
      </c>
      <c r="AH70" s="875" t="s">
        <v>192</v>
      </c>
      <c r="AI70" s="341"/>
      <c r="AJ70" s="89"/>
      <c r="AK70" s="89"/>
      <c r="AL70" s="89"/>
    </row>
    <row r="71" spans="1:38" ht="13">
      <c r="A71" s="811" t="s">
        <v>298</v>
      </c>
      <c r="B71" s="878" t="s">
        <v>192</v>
      </c>
      <c r="C71" s="878" t="s">
        <v>192</v>
      </c>
      <c r="D71" s="851">
        <v>-163</v>
      </c>
      <c r="E71" s="851">
        <v>-394</v>
      </c>
      <c r="F71" s="851">
        <f>SUM(S71:V71)</f>
        <v>-256.16971000000001</v>
      </c>
      <c r="G71" s="851">
        <f>SUM(W71:Z71)</f>
        <v>-117</v>
      </c>
      <c r="H71" s="851">
        <v>-270</v>
      </c>
      <c r="I71" s="851">
        <v>37</v>
      </c>
      <c r="J71" s="341"/>
      <c r="K71" s="851">
        <v>-45</v>
      </c>
      <c r="L71" s="851">
        <v>-53</v>
      </c>
      <c r="M71" s="851">
        <v>-15</v>
      </c>
      <c r="N71" s="852">
        <v>-50</v>
      </c>
      <c r="O71" s="851">
        <v>-95</v>
      </c>
      <c r="P71" s="851">
        <v>-181</v>
      </c>
      <c r="Q71" s="851">
        <v>-126</v>
      </c>
      <c r="R71" s="852">
        <v>8</v>
      </c>
      <c r="S71" s="851">
        <v>-76</v>
      </c>
      <c r="T71" s="851">
        <v>-62</v>
      </c>
      <c r="U71" s="851">
        <v>-65.169709999999995</v>
      </c>
      <c r="V71" s="852">
        <v>-53</v>
      </c>
      <c r="W71" s="851">
        <f t="shared" ref="W71:AB71" si="4">SUM(W69:W70)</f>
        <v>59</v>
      </c>
      <c r="X71" s="851">
        <f t="shared" si="4"/>
        <v>-102</v>
      </c>
      <c r="Y71" s="851">
        <f t="shared" si="4"/>
        <v>-22</v>
      </c>
      <c r="Z71" s="852">
        <f t="shared" si="4"/>
        <v>-52</v>
      </c>
      <c r="AA71" s="851">
        <f t="shared" si="4"/>
        <v>-149</v>
      </c>
      <c r="AB71" s="851">
        <f t="shared" si="4"/>
        <v>-15</v>
      </c>
      <c r="AC71" s="851">
        <v>21</v>
      </c>
      <c r="AD71" s="852">
        <v>-127</v>
      </c>
      <c r="AE71" s="851">
        <v>43</v>
      </c>
      <c r="AF71" s="851">
        <v>75</v>
      </c>
      <c r="AG71" s="851">
        <v>-14</v>
      </c>
      <c r="AH71" s="852">
        <v>-67</v>
      </c>
      <c r="AI71" s="341"/>
      <c r="AJ71" s="89"/>
      <c r="AK71" s="89"/>
      <c r="AL71" s="89"/>
    </row>
    <row r="72" spans="1:38" ht="13">
      <c r="A72" s="839"/>
      <c r="B72" s="853"/>
      <c r="C72" s="853"/>
      <c r="D72" s="853"/>
      <c r="E72" s="853"/>
      <c r="F72" s="853"/>
      <c r="G72" s="840"/>
      <c r="H72" s="840"/>
      <c r="I72" s="840"/>
      <c r="J72" s="341"/>
      <c r="K72" s="853"/>
      <c r="L72" s="853"/>
      <c r="M72" s="853"/>
      <c r="N72" s="854"/>
      <c r="O72" s="853"/>
      <c r="P72" s="853"/>
      <c r="Q72" s="853"/>
      <c r="R72" s="854"/>
      <c r="S72" s="853"/>
      <c r="T72" s="853"/>
      <c r="U72" s="853"/>
      <c r="V72" s="854"/>
      <c r="W72" s="853"/>
      <c r="X72" s="853"/>
      <c r="Y72" s="853"/>
      <c r="Z72" s="854"/>
      <c r="AA72" s="853"/>
      <c r="AB72" s="853"/>
      <c r="AC72" s="853"/>
      <c r="AD72" s="854"/>
      <c r="AE72" s="853"/>
      <c r="AF72" s="853"/>
      <c r="AG72" s="853"/>
      <c r="AH72" s="854"/>
      <c r="AI72" s="341"/>
      <c r="AJ72" s="89"/>
      <c r="AK72" s="89"/>
      <c r="AL72" s="89"/>
    </row>
    <row r="73" spans="1:38" ht="13">
      <c r="A73" s="839"/>
      <c r="B73" s="853"/>
      <c r="C73" s="853"/>
      <c r="D73" s="853"/>
      <c r="E73" s="853"/>
      <c r="F73" s="853"/>
      <c r="G73" s="853"/>
      <c r="H73" s="853"/>
      <c r="I73" s="853"/>
      <c r="J73" s="341"/>
      <c r="K73" s="853"/>
      <c r="L73" s="853"/>
      <c r="M73" s="853"/>
      <c r="N73" s="854"/>
      <c r="O73" s="853"/>
      <c r="P73" s="853"/>
      <c r="Q73" s="853"/>
      <c r="R73" s="854"/>
      <c r="S73" s="853"/>
      <c r="T73" s="853"/>
      <c r="U73" s="853"/>
      <c r="V73" s="854"/>
      <c r="W73" s="853"/>
      <c r="X73" s="853"/>
      <c r="Y73" s="853"/>
      <c r="Z73" s="854"/>
      <c r="AA73" s="853"/>
      <c r="AB73" s="853"/>
      <c r="AC73" s="853"/>
      <c r="AD73" s="854"/>
      <c r="AE73" s="853"/>
      <c r="AF73" s="853"/>
      <c r="AG73" s="853"/>
      <c r="AH73" s="854"/>
      <c r="AI73" s="341"/>
      <c r="AJ73" s="89"/>
      <c r="AK73" s="89"/>
      <c r="AL73" s="89"/>
    </row>
    <row r="74" spans="1:38" ht="13">
      <c r="A74" s="855" t="s">
        <v>1238</v>
      </c>
      <c r="B74" s="840">
        <v>2015</v>
      </c>
      <c r="C74" s="840">
        <v>2016</v>
      </c>
      <c r="D74" s="840">
        <v>2017</v>
      </c>
      <c r="E74" s="840">
        <v>2018</v>
      </c>
      <c r="F74" s="840">
        <v>2019</v>
      </c>
      <c r="G74" s="840">
        <v>2020</v>
      </c>
      <c r="H74" s="840">
        <v>2021</v>
      </c>
      <c r="I74" s="840">
        <f>SUM(AB74:AE74)</f>
        <v>2022</v>
      </c>
      <c r="J74" s="341"/>
      <c r="K74" s="840">
        <v>2017</v>
      </c>
      <c r="L74" s="840"/>
      <c r="M74" s="840"/>
      <c r="N74" s="841"/>
      <c r="O74" s="840">
        <v>2018</v>
      </c>
      <c r="P74" s="840"/>
      <c r="Q74" s="840"/>
      <c r="R74" s="841"/>
      <c r="S74" s="840">
        <v>2019</v>
      </c>
      <c r="T74" s="840"/>
      <c r="U74" s="840"/>
      <c r="V74" s="841"/>
      <c r="W74" s="840">
        <v>2020</v>
      </c>
      <c r="X74" s="840"/>
      <c r="Y74" s="840"/>
      <c r="Z74" s="841"/>
      <c r="AA74" s="840">
        <v>2021</v>
      </c>
      <c r="AB74" s="840"/>
      <c r="AC74" s="840"/>
      <c r="AD74" s="841" t="s">
        <v>302</v>
      </c>
      <c r="AE74" s="840">
        <v>2022</v>
      </c>
      <c r="AF74" s="840" t="s">
        <v>302</v>
      </c>
      <c r="AG74" s="840"/>
      <c r="AH74" s="841" t="s">
        <v>302</v>
      </c>
      <c r="AI74" s="341"/>
      <c r="AJ74" s="89"/>
      <c r="AK74" s="89"/>
      <c r="AL74" s="89"/>
    </row>
    <row r="75" spans="1:38" ht="13">
      <c r="A75" s="856" t="s">
        <v>1239</v>
      </c>
      <c r="B75" s="857" t="s">
        <v>495</v>
      </c>
      <c r="C75" s="857" t="s">
        <v>495</v>
      </c>
      <c r="D75" s="857" t="s">
        <v>495</v>
      </c>
      <c r="E75" s="857" t="s">
        <v>495</v>
      </c>
      <c r="F75" s="857" t="s">
        <v>495</v>
      </c>
      <c r="G75" s="857" t="s">
        <v>495</v>
      </c>
      <c r="H75" s="857" t="s">
        <v>495</v>
      </c>
      <c r="I75" s="857" t="s">
        <v>495</v>
      </c>
      <c r="J75" s="341"/>
      <c r="K75" s="857" t="s">
        <v>497</v>
      </c>
      <c r="L75" s="857" t="s">
        <v>498</v>
      </c>
      <c r="M75" s="857" t="s">
        <v>499</v>
      </c>
      <c r="N75" s="858" t="s">
        <v>500</v>
      </c>
      <c r="O75" s="857" t="s">
        <v>497</v>
      </c>
      <c r="P75" s="857" t="s">
        <v>498</v>
      </c>
      <c r="Q75" s="857" t="s">
        <v>499</v>
      </c>
      <c r="R75" s="858" t="s">
        <v>500</v>
      </c>
      <c r="S75" s="857" t="s">
        <v>497</v>
      </c>
      <c r="T75" s="857" t="s">
        <v>498</v>
      </c>
      <c r="U75" s="857" t="s">
        <v>499</v>
      </c>
      <c r="V75" s="858" t="s">
        <v>500</v>
      </c>
      <c r="W75" s="857" t="s">
        <v>497</v>
      </c>
      <c r="X75" s="857" t="s">
        <v>498</v>
      </c>
      <c r="Y75" s="857" t="s">
        <v>499</v>
      </c>
      <c r="Z75" s="858" t="s">
        <v>500</v>
      </c>
      <c r="AA75" s="857" t="s">
        <v>497</v>
      </c>
      <c r="AB75" s="857" t="s">
        <v>498</v>
      </c>
      <c r="AC75" s="857" t="str">
        <f>+AC$6</f>
        <v>Q3</v>
      </c>
      <c r="AD75" s="858" t="s">
        <v>500</v>
      </c>
      <c r="AE75" s="857" t="s">
        <v>497</v>
      </c>
      <c r="AF75" s="857" t="s">
        <v>498</v>
      </c>
      <c r="AG75" s="857" t="s">
        <v>499</v>
      </c>
      <c r="AH75" s="858" t="s">
        <v>500</v>
      </c>
      <c r="AI75" s="341"/>
      <c r="AJ75" s="89"/>
      <c r="AK75" s="89"/>
      <c r="AL75" s="89"/>
    </row>
    <row r="76" spans="1:38" ht="13">
      <c r="A76" s="567" t="s">
        <v>293</v>
      </c>
      <c r="B76" s="888">
        <v>0.71526139764126029</v>
      </c>
      <c r="C76" s="888">
        <v>0.70454460724005519</v>
      </c>
      <c r="D76" s="889">
        <v>0.71922496063751162</v>
      </c>
      <c r="E76" s="889">
        <v>0.74988833127512544</v>
      </c>
      <c r="F76" s="889">
        <v>0.73460309658392731</v>
      </c>
      <c r="G76" s="889">
        <v>0.75</v>
      </c>
      <c r="H76" s="889">
        <f>H17/SUM(H17+H20)</f>
        <v>0.74180898165717901</v>
      </c>
      <c r="I76" s="889">
        <f>I17/SUM(I17+I20)</f>
        <v>0.75761416214041444</v>
      </c>
      <c r="J76" s="341"/>
      <c r="K76" s="889">
        <v>0.70722124373391138</v>
      </c>
      <c r="L76" s="889">
        <v>0.70521047227926081</v>
      </c>
      <c r="M76" s="889">
        <v>0.7163111170001325</v>
      </c>
      <c r="N76" s="890">
        <v>0.74538745387453875</v>
      </c>
      <c r="O76" s="889">
        <v>0.72581827063996096</v>
      </c>
      <c r="P76" s="889">
        <v>0.74920732330980877</v>
      </c>
      <c r="Q76" s="889">
        <v>0.75083682008368202</v>
      </c>
      <c r="R76" s="890">
        <v>0.76836909056388836</v>
      </c>
      <c r="S76" s="889">
        <v>0.73199588477366251</v>
      </c>
      <c r="T76" s="889">
        <v>0.72468949943545347</v>
      </c>
      <c r="U76" s="889">
        <v>0.72621051589266261</v>
      </c>
      <c r="V76" s="890">
        <v>0.75563799668066001</v>
      </c>
      <c r="W76" s="889">
        <v>0.72424042272126821</v>
      </c>
      <c r="X76" s="889">
        <v>0.75937093531985334</v>
      </c>
      <c r="Y76" s="889">
        <v>0.75</v>
      </c>
      <c r="Z76" s="890">
        <v>0.77</v>
      </c>
      <c r="AA76" s="889">
        <v>0.75</v>
      </c>
      <c r="AB76" s="889">
        <v>0.74</v>
      </c>
      <c r="AC76" s="889">
        <v>0.73</v>
      </c>
      <c r="AD76" s="890">
        <v>0.76076255258211756</v>
      </c>
      <c r="AE76" s="889">
        <v>0.73917748917748916</v>
      </c>
      <c r="AF76" s="889">
        <v>0.73306370070778559</v>
      </c>
      <c r="AG76" s="889">
        <v>0.76136541165442895</v>
      </c>
      <c r="AH76" s="890">
        <v>0.79061423650975893</v>
      </c>
      <c r="AI76" s="341"/>
      <c r="AJ76" s="89"/>
      <c r="AK76" s="89"/>
      <c r="AL76" s="89"/>
    </row>
    <row r="77" spans="1:38" ht="13">
      <c r="A77" s="567" t="s">
        <v>296</v>
      </c>
      <c r="B77" s="888">
        <v>0.28473860235873966</v>
      </c>
      <c r="C77" s="888">
        <v>0.29545539275994481</v>
      </c>
      <c r="D77" s="889">
        <v>0.28077503936248838</v>
      </c>
      <c r="E77" s="889">
        <v>0.25011166872487456</v>
      </c>
      <c r="F77" s="889">
        <v>0.26539690341607275</v>
      </c>
      <c r="G77" s="889">
        <v>0.25</v>
      </c>
      <c r="H77" s="889">
        <f>100%-H76</f>
        <v>0.25819101834282099</v>
      </c>
      <c r="I77" s="889">
        <f>100%-I76</f>
        <v>0.24238583785958556</v>
      </c>
      <c r="J77" s="341"/>
      <c r="K77" s="889">
        <v>0.29277875626608862</v>
      </c>
      <c r="L77" s="889">
        <v>0.29478952772073924</v>
      </c>
      <c r="M77" s="889">
        <v>0.2836888829998675</v>
      </c>
      <c r="N77" s="890">
        <v>0.25461254612546125</v>
      </c>
      <c r="O77" s="889">
        <v>0.27418172936003909</v>
      </c>
      <c r="P77" s="889">
        <v>0.25079267669019129</v>
      </c>
      <c r="Q77" s="889">
        <v>0.24916317991631798</v>
      </c>
      <c r="R77" s="890">
        <v>0.23163090943611164</v>
      </c>
      <c r="S77" s="889">
        <v>0.26800411522633744</v>
      </c>
      <c r="T77" s="889">
        <v>0.27531050056454648</v>
      </c>
      <c r="U77" s="889">
        <v>0.27378948410733733</v>
      </c>
      <c r="V77" s="890">
        <v>0.24436200331934005</v>
      </c>
      <c r="W77" s="889">
        <v>0.27575957727873185</v>
      </c>
      <c r="X77" s="889">
        <v>0.24062906468014664</v>
      </c>
      <c r="Y77" s="889">
        <v>0.25</v>
      </c>
      <c r="Z77" s="890">
        <v>0.23</v>
      </c>
      <c r="AA77" s="889">
        <v>0.25</v>
      </c>
      <c r="AB77" s="889">
        <v>0.26</v>
      </c>
      <c r="AC77" s="889">
        <v>0.27</v>
      </c>
      <c r="AD77" s="890">
        <v>0.23664190459142576</v>
      </c>
      <c r="AE77" s="889">
        <v>0.25946969696969696</v>
      </c>
      <c r="AF77" s="889">
        <v>0.26575665655544323</v>
      </c>
      <c r="AG77" s="889">
        <v>0.23699421965317918</v>
      </c>
      <c r="AH77" s="890">
        <v>0.21412169919632607</v>
      </c>
      <c r="AI77" s="341"/>
      <c r="AJ77" s="89"/>
      <c r="AK77" s="89"/>
      <c r="AL77" s="89"/>
    </row>
    <row r="78" spans="1:38" ht="13">
      <c r="A78" s="341"/>
      <c r="B78" s="341"/>
      <c r="C78" s="341"/>
      <c r="D78" s="341"/>
      <c r="E78" s="341"/>
      <c r="F78" s="341"/>
      <c r="G78" s="341"/>
      <c r="H78" s="341"/>
      <c r="I78" s="341"/>
      <c r="J78" s="341"/>
      <c r="K78" s="341"/>
      <c r="L78" s="341"/>
      <c r="M78" s="341"/>
      <c r="N78" s="346"/>
      <c r="O78" s="341"/>
      <c r="P78" s="341"/>
      <c r="Q78" s="341"/>
      <c r="R78" s="346"/>
      <c r="S78" s="341"/>
      <c r="T78" s="341"/>
      <c r="U78" s="341"/>
      <c r="V78" s="346"/>
      <c r="W78" s="341"/>
      <c r="X78" s="341"/>
      <c r="Y78" s="341"/>
      <c r="Z78" s="346"/>
      <c r="AA78" s="341"/>
      <c r="AB78" s="341"/>
      <c r="AC78" s="341"/>
      <c r="AD78" s="346"/>
      <c r="AE78" s="341"/>
      <c r="AF78" s="341"/>
      <c r="AG78" s="341"/>
      <c r="AH78" s="346"/>
      <c r="AI78" s="341"/>
      <c r="AJ78" s="89"/>
      <c r="AK78" s="89"/>
      <c r="AL78" s="89"/>
    </row>
    <row r="79" spans="1:38" ht="13">
      <c r="A79" s="341"/>
      <c r="B79" s="341"/>
      <c r="C79" s="341"/>
      <c r="D79" s="341"/>
      <c r="E79" s="341"/>
      <c r="F79" s="341"/>
      <c r="G79" s="341"/>
      <c r="H79" s="341"/>
      <c r="I79" s="341"/>
      <c r="J79" s="341"/>
      <c r="K79" s="341"/>
      <c r="L79" s="341"/>
      <c r="M79" s="341"/>
      <c r="N79" s="346"/>
      <c r="O79" s="341"/>
      <c r="P79" s="341"/>
      <c r="Q79" s="341"/>
      <c r="R79" s="346"/>
      <c r="S79" s="341"/>
      <c r="T79" s="341"/>
      <c r="U79" s="341"/>
      <c r="V79" s="346"/>
      <c r="W79" s="341"/>
      <c r="X79" s="341"/>
      <c r="Y79" s="341"/>
      <c r="Z79" s="346"/>
      <c r="AA79" s="341"/>
      <c r="AB79" s="341"/>
      <c r="AC79" s="341"/>
      <c r="AD79" s="346"/>
      <c r="AE79" s="341"/>
      <c r="AF79" s="341"/>
      <c r="AG79" s="341"/>
      <c r="AH79" s="346"/>
      <c r="AI79" s="341"/>
      <c r="AJ79" s="89"/>
      <c r="AK79" s="89"/>
      <c r="AL79" s="89"/>
    </row>
    <row r="80" spans="1:38" ht="13">
      <c r="A80" s="855" t="s">
        <v>1240</v>
      </c>
      <c r="B80" s="840">
        <v>2015</v>
      </c>
      <c r="C80" s="840">
        <v>2016</v>
      </c>
      <c r="D80" s="840">
        <v>2017</v>
      </c>
      <c r="E80" s="840">
        <v>2018</v>
      </c>
      <c r="F80" s="840">
        <v>2019</v>
      </c>
      <c r="G80" s="840">
        <v>2020</v>
      </c>
      <c r="H80" s="840">
        <v>2021</v>
      </c>
      <c r="I80" s="840">
        <f>SUM(AB80:AE80)</f>
        <v>2022</v>
      </c>
      <c r="J80" s="341"/>
      <c r="K80" s="840">
        <v>2017</v>
      </c>
      <c r="L80" s="840"/>
      <c r="M80" s="840"/>
      <c r="N80" s="841"/>
      <c r="O80" s="840">
        <v>2018</v>
      </c>
      <c r="P80" s="840"/>
      <c r="Q80" s="840"/>
      <c r="R80" s="841"/>
      <c r="S80" s="840">
        <v>2019</v>
      </c>
      <c r="T80" s="840"/>
      <c r="U80" s="840"/>
      <c r="V80" s="841"/>
      <c r="W80" s="840">
        <v>2020</v>
      </c>
      <c r="X80" s="840"/>
      <c r="Y80" s="840"/>
      <c r="Z80" s="841"/>
      <c r="AA80" s="840">
        <v>2021</v>
      </c>
      <c r="AB80" s="840"/>
      <c r="AC80" s="840"/>
      <c r="AD80" s="841" t="s">
        <v>302</v>
      </c>
      <c r="AE80" s="840">
        <v>2022</v>
      </c>
      <c r="AF80" s="840" t="s">
        <v>302</v>
      </c>
      <c r="AG80" s="840"/>
      <c r="AH80" s="841" t="s">
        <v>302</v>
      </c>
      <c r="AI80" s="341"/>
      <c r="AJ80" s="89"/>
      <c r="AK80" s="89"/>
      <c r="AL80" s="89"/>
    </row>
    <row r="81" spans="1:38" ht="13">
      <c r="A81" s="856" t="s">
        <v>1241</v>
      </c>
      <c r="B81" s="857" t="s">
        <v>495</v>
      </c>
      <c r="C81" s="857" t="s">
        <v>495</v>
      </c>
      <c r="D81" s="857" t="s">
        <v>495</v>
      </c>
      <c r="E81" s="857" t="s">
        <v>495</v>
      </c>
      <c r="F81" s="857" t="s">
        <v>495</v>
      </c>
      <c r="G81" s="857" t="s">
        <v>495</v>
      </c>
      <c r="H81" s="857" t="s">
        <v>495</v>
      </c>
      <c r="I81" s="857" t="s">
        <v>495</v>
      </c>
      <c r="J81" s="341"/>
      <c r="K81" s="857" t="s">
        <v>497</v>
      </c>
      <c r="L81" s="857" t="s">
        <v>498</v>
      </c>
      <c r="M81" s="857" t="s">
        <v>499</v>
      </c>
      <c r="N81" s="858" t="s">
        <v>500</v>
      </c>
      <c r="O81" s="857" t="s">
        <v>497</v>
      </c>
      <c r="P81" s="857" t="s">
        <v>498</v>
      </c>
      <c r="Q81" s="857" t="s">
        <v>499</v>
      </c>
      <c r="R81" s="858" t="s">
        <v>500</v>
      </c>
      <c r="S81" s="857" t="s">
        <v>497</v>
      </c>
      <c r="T81" s="857" t="s">
        <v>498</v>
      </c>
      <c r="U81" s="857" t="s">
        <v>499</v>
      </c>
      <c r="V81" s="858" t="s">
        <v>500</v>
      </c>
      <c r="W81" s="857" t="s">
        <v>497</v>
      </c>
      <c r="X81" s="857" t="s">
        <v>498</v>
      </c>
      <c r="Y81" s="857" t="s">
        <v>499</v>
      </c>
      <c r="Z81" s="858" t="s">
        <v>500</v>
      </c>
      <c r="AA81" s="857" t="s">
        <v>497</v>
      </c>
      <c r="AB81" s="857" t="s">
        <v>498</v>
      </c>
      <c r="AC81" s="857" t="str">
        <f>+AC$6</f>
        <v>Q3</v>
      </c>
      <c r="AD81" s="858" t="s">
        <v>500</v>
      </c>
      <c r="AE81" s="857" t="s">
        <v>497</v>
      </c>
      <c r="AF81" s="857" t="s">
        <v>498</v>
      </c>
      <c r="AG81" s="857" t="s">
        <v>499</v>
      </c>
      <c r="AH81" s="858" t="s">
        <v>500</v>
      </c>
      <c r="AI81" s="341"/>
      <c r="AJ81" s="89"/>
      <c r="AK81" s="89"/>
      <c r="AL81" s="89"/>
    </row>
    <row r="82" spans="1:38" ht="13">
      <c r="A82" s="567" t="s">
        <v>329</v>
      </c>
      <c r="B82" s="888">
        <v>0.3</v>
      </c>
      <c r="C82" s="888">
        <v>0.28999999999999998</v>
      </c>
      <c r="D82" s="888">
        <v>0.33</v>
      </c>
      <c r="E82" s="889">
        <v>0.37</v>
      </c>
      <c r="F82" s="889">
        <v>0.34</v>
      </c>
      <c r="G82" s="889">
        <v>0.32064963924172174</v>
      </c>
      <c r="H82" s="889">
        <f>H84/(H84+H85)</f>
        <v>0.30858950031625554</v>
      </c>
      <c r="I82" s="889">
        <f>I84/(I84+I85)</f>
        <v>0.30573325286662645</v>
      </c>
      <c r="J82" s="341"/>
      <c r="K82" s="889">
        <v>0.3</v>
      </c>
      <c r="L82" s="889">
        <v>0.32</v>
      </c>
      <c r="M82" s="889">
        <v>0.32</v>
      </c>
      <c r="N82" s="890">
        <v>0.38</v>
      </c>
      <c r="O82" s="889">
        <v>0.33</v>
      </c>
      <c r="P82" s="889">
        <v>0.37</v>
      </c>
      <c r="Q82" s="889">
        <v>0.37</v>
      </c>
      <c r="R82" s="890">
        <v>0.41</v>
      </c>
      <c r="S82" s="889">
        <v>0.34392486011191048</v>
      </c>
      <c r="T82" s="889">
        <v>0.34085499381129203</v>
      </c>
      <c r="U82" s="889">
        <v>0.32</v>
      </c>
      <c r="V82" s="890">
        <v>0.36</v>
      </c>
      <c r="W82" s="889">
        <v>0.28000000000000003</v>
      </c>
      <c r="X82" s="889">
        <v>0.33</v>
      </c>
      <c r="Y82" s="889">
        <v>0.31</v>
      </c>
      <c r="Z82" s="890">
        <v>0.35</v>
      </c>
      <c r="AA82" s="889">
        <v>0.28999999999999998</v>
      </c>
      <c r="AB82" s="889">
        <v>0.31</v>
      </c>
      <c r="AC82" s="889">
        <v>0.28000000000000003</v>
      </c>
      <c r="AD82" s="890">
        <v>0.33930009845162445</v>
      </c>
      <c r="AE82" s="889">
        <v>0.30753968253968256</v>
      </c>
      <c r="AF82" s="889">
        <v>0.26879002359285475</v>
      </c>
      <c r="AG82" s="889">
        <v>0.2994063427589439</v>
      </c>
      <c r="AH82" s="890">
        <v>0.35</v>
      </c>
      <c r="AI82" s="341"/>
      <c r="AJ82" s="89"/>
      <c r="AK82" s="89"/>
      <c r="AL82" s="89"/>
    </row>
    <row r="83" spans="1:38" ht="13">
      <c r="A83" s="567" t="s">
        <v>330</v>
      </c>
      <c r="B83" s="888">
        <v>0.7</v>
      </c>
      <c r="C83" s="888">
        <v>0.71</v>
      </c>
      <c r="D83" s="888">
        <v>0.67</v>
      </c>
      <c r="E83" s="889">
        <v>0.63</v>
      </c>
      <c r="F83" s="889">
        <v>0.66</v>
      </c>
      <c r="G83" s="889">
        <v>0.67935036075827826</v>
      </c>
      <c r="H83" s="889">
        <f>H85/(H84+H85)</f>
        <v>0.69141049968374446</v>
      </c>
      <c r="I83" s="889">
        <f>I85/(I84+I85)</f>
        <v>0.69426674713337355</v>
      </c>
      <c r="J83" s="341"/>
      <c r="K83" s="889">
        <v>0.7</v>
      </c>
      <c r="L83" s="889">
        <v>0.68</v>
      </c>
      <c r="M83" s="889">
        <v>0.68</v>
      </c>
      <c r="N83" s="890">
        <v>0.62</v>
      </c>
      <c r="O83" s="889">
        <v>0.67</v>
      </c>
      <c r="P83" s="889">
        <v>0.63</v>
      </c>
      <c r="Q83" s="889">
        <v>0.63</v>
      </c>
      <c r="R83" s="890">
        <v>0.59</v>
      </c>
      <c r="S83" s="889">
        <v>0.65607513988808952</v>
      </c>
      <c r="T83" s="889">
        <v>0.65914500618870797</v>
      </c>
      <c r="U83" s="889">
        <v>0.68</v>
      </c>
      <c r="V83" s="890">
        <v>0.64</v>
      </c>
      <c r="W83" s="889">
        <v>0.72</v>
      </c>
      <c r="X83" s="889">
        <v>0.67269717393874895</v>
      </c>
      <c r="Y83" s="889">
        <v>0.69</v>
      </c>
      <c r="Z83" s="890">
        <v>0.65</v>
      </c>
      <c r="AA83" s="889">
        <v>0.71</v>
      </c>
      <c r="AB83" s="889">
        <v>0.69</v>
      </c>
      <c r="AC83" s="889">
        <v>0.72</v>
      </c>
      <c r="AD83" s="890">
        <v>0.65810435872191886</v>
      </c>
      <c r="AE83" s="889">
        <v>0.69110750360750361</v>
      </c>
      <c r="AF83" s="889">
        <v>0.73003033367037407</v>
      </c>
      <c r="AG83" s="889">
        <v>0.69903140134354003</v>
      </c>
      <c r="AH83" s="890">
        <v>0.65</v>
      </c>
      <c r="AI83" s="341"/>
      <c r="AJ83" s="89"/>
      <c r="AK83" s="89"/>
      <c r="AL83" s="89"/>
    </row>
    <row r="84" spans="1:38" ht="13">
      <c r="A84" s="567" t="s">
        <v>331</v>
      </c>
      <c r="B84" s="804">
        <v>8510</v>
      </c>
      <c r="C84" s="804">
        <v>7710</v>
      </c>
      <c r="D84" s="602">
        <v>10276</v>
      </c>
      <c r="E84" s="602">
        <v>14238</v>
      </c>
      <c r="F84" s="602">
        <v>13862</v>
      </c>
      <c r="G84" s="602">
        <v>11382</v>
      </c>
      <c r="H84" s="602">
        <f>H18</f>
        <v>12197</v>
      </c>
      <c r="I84" s="602">
        <f>I18</f>
        <v>15198</v>
      </c>
      <c r="J84" s="341"/>
      <c r="K84" s="602">
        <v>2219</v>
      </c>
      <c r="L84" s="602">
        <v>2469</v>
      </c>
      <c r="M84" s="602">
        <v>2414</v>
      </c>
      <c r="N84" s="845">
        <v>3174</v>
      </c>
      <c r="O84" s="602">
        <v>2678</v>
      </c>
      <c r="P84" s="602">
        <v>3640</v>
      </c>
      <c r="Q84" s="602">
        <v>3570</v>
      </c>
      <c r="R84" s="845">
        <v>4350</v>
      </c>
      <c r="S84" s="602">
        <v>3313</v>
      </c>
      <c r="T84" s="602">
        <v>3638</v>
      </c>
      <c r="U84" s="602">
        <v>3198</v>
      </c>
      <c r="V84" s="845">
        <v>3713</v>
      </c>
      <c r="W84" s="602">
        <v>2519</v>
      </c>
      <c r="X84" s="602">
        <v>2768</v>
      </c>
      <c r="Y84" s="602">
        <v>2688</v>
      </c>
      <c r="Z84" s="845">
        <v>3407</v>
      </c>
      <c r="AA84" s="602">
        <v>2562</v>
      </c>
      <c r="AB84" s="804">
        <v>3052</v>
      </c>
      <c r="AC84" s="804">
        <v>2792</v>
      </c>
      <c r="AD84" s="845">
        <v>3791</v>
      </c>
      <c r="AE84" s="602">
        <v>3410</v>
      </c>
      <c r="AF84" s="602">
        <v>3190</v>
      </c>
      <c r="AG84" s="602">
        <v>3832</v>
      </c>
      <c r="AH84" s="845">
        <v>4766</v>
      </c>
      <c r="AI84" s="341"/>
      <c r="AJ84" s="89"/>
      <c r="AK84" s="89"/>
      <c r="AL84" s="89"/>
    </row>
    <row r="85" spans="1:38" ht="13">
      <c r="A85" s="341" t="s">
        <v>332</v>
      </c>
      <c r="B85" s="579">
        <v>19895</v>
      </c>
      <c r="C85" s="579">
        <v>19113</v>
      </c>
      <c r="D85" s="349">
        <v>20844.760383407502</v>
      </c>
      <c r="E85" s="349">
        <v>23821</v>
      </c>
      <c r="F85" s="349">
        <v>26829</v>
      </c>
      <c r="G85" s="349">
        <v>24569</v>
      </c>
      <c r="H85" s="349">
        <f>H19+H20</f>
        <v>27328</v>
      </c>
      <c r="I85" s="349">
        <f>I19+I20</f>
        <v>34512</v>
      </c>
      <c r="J85" s="341"/>
      <c r="K85" s="349">
        <v>5161.7719271698006</v>
      </c>
      <c r="L85" s="349">
        <v>5323</v>
      </c>
      <c r="M85" s="349">
        <v>5133</v>
      </c>
      <c r="N85" s="350">
        <v>5227.1511000085002</v>
      </c>
      <c r="O85" s="349">
        <v>5510</v>
      </c>
      <c r="P85" s="349">
        <v>6137</v>
      </c>
      <c r="Q85" s="349">
        <v>5990</v>
      </c>
      <c r="R85" s="350">
        <v>6184.3818536147</v>
      </c>
      <c r="S85" s="349">
        <v>6407</v>
      </c>
      <c r="T85" s="349">
        <v>6990</v>
      </c>
      <c r="U85" s="349">
        <v>6901</v>
      </c>
      <c r="V85" s="350">
        <v>6531</v>
      </c>
      <c r="W85" s="349">
        <v>6565</v>
      </c>
      <c r="X85" s="349">
        <v>5689</v>
      </c>
      <c r="Y85" s="349">
        <v>5979</v>
      </c>
      <c r="Z85" s="350">
        <v>6336</v>
      </c>
      <c r="AA85" s="349">
        <v>6174</v>
      </c>
      <c r="AB85" s="349">
        <v>6652</v>
      </c>
      <c r="AC85" s="349">
        <v>7149</v>
      </c>
      <c r="AD85" s="350">
        <v>7353</v>
      </c>
      <c r="AE85" s="349">
        <v>7663</v>
      </c>
      <c r="AF85" s="349">
        <v>8664</v>
      </c>
      <c r="AG85" s="349">
        <v>8949</v>
      </c>
      <c r="AH85" s="350">
        <v>9236</v>
      </c>
      <c r="AI85" s="341"/>
      <c r="AJ85" s="89"/>
      <c r="AK85" s="89"/>
      <c r="AL85" s="89"/>
    </row>
    <row r="86" spans="1:38" ht="13">
      <c r="A86" s="341"/>
      <c r="B86" s="341"/>
      <c r="C86" s="341"/>
      <c r="D86" s="341"/>
      <c r="E86" s="341"/>
      <c r="F86" s="341"/>
      <c r="G86" s="341"/>
      <c r="H86" s="891"/>
      <c r="I86" s="891"/>
      <c r="J86" s="341"/>
      <c r="K86" s="341"/>
      <c r="L86" s="341"/>
      <c r="M86" s="341"/>
      <c r="N86" s="346"/>
      <c r="O86" s="341"/>
      <c r="P86" s="341"/>
      <c r="Q86" s="341"/>
      <c r="R86" s="346"/>
      <c r="S86" s="341"/>
      <c r="T86" s="341"/>
      <c r="U86" s="341"/>
      <c r="V86" s="346"/>
      <c r="W86" s="341"/>
      <c r="X86" s="341"/>
      <c r="Y86" s="341"/>
      <c r="Z86" s="346"/>
      <c r="AA86" s="341"/>
      <c r="AB86" s="341"/>
      <c r="AC86" s="341"/>
      <c r="AD86" s="346"/>
      <c r="AE86" s="341"/>
      <c r="AF86" s="341"/>
      <c r="AG86" s="341"/>
      <c r="AH86" s="346"/>
      <c r="AI86" s="341"/>
      <c r="AJ86" s="89"/>
      <c r="AK86" s="89"/>
      <c r="AL86" s="89"/>
    </row>
    <row r="87" spans="1:38" ht="13">
      <c r="A87" s="855" t="s">
        <v>43</v>
      </c>
      <c r="B87" s="840">
        <v>2015</v>
      </c>
      <c r="C87" s="840">
        <v>2016</v>
      </c>
      <c r="D87" s="840">
        <v>2017</v>
      </c>
      <c r="E87" s="840">
        <v>2018</v>
      </c>
      <c r="F87" s="840">
        <v>2019</v>
      </c>
      <c r="G87" s="840">
        <v>2020</v>
      </c>
      <c r="H87" s="840">
        <v>2021</v>
      </c>
      <c r="I87" s="840">
        <f>SUM(AB87:AE87)</f>
        <v>2022</v>
      </c>
      <c r="J87" s="341"/>
      <c r="K87" s="840">
        <v>2017</v>
      </c>
      <c r="L87" s="840"/>
      <c r="M87" s="840"/>
      <c r="N87" s="841"/>
      <c r="O87" s="840">
        <v>2018</v>
      </c>
      <c r="P87" s="840"/>
      <c r="Q87" s="840"/>
      <c r="R87" s="841"/>
      <c r="S87" s="840">
        <v>2019</v>
      </c>
      <c r="T87" s="840"/>
      <c r="U87" s="840"/>
      <c r="V87" s="841"/>
      <c r="W87" s="840">
        <v>2020</v>
      </c>
      <c r="X87" s="840"/>
      <c r="Y87" s="840"/>
      <c r="Z87" s="841"/>
      <c r="AA87" s="840">
        <v>2021</v>
      </c>
      <c r="AB87" s="840"/>
      <c r="AC87" s="840"/>
      <c r="AD87" s="841"/>
      <c r="AE87" s="840">
        <v>2022</v>
      </c>
      <c r="AF87" s="840" t="s">
        <v>302</v>
      </c>
      <c r="AG87" s="840" t="s">
        <v>302</v>
      </c>
      <c r="AH87" s="841" t="s">
        <v>302</v>
      </c>
      <c r="AI87" s="341"/>
      <c r="AJ87" s="89"/>
      <c r="AK87" s="89"/>
      <c r="AL87" s="89"/>
    </row>
    <row r="88" spans="1:38" ht="13">
      <c r="A88" s="856" t="s">
        <v>1239</v>
      </c>
      <c r="B88" s="857" t="s">
        <v>495</v>
      </c>
      <c r="C88" s="857" t="s">
        <v>495</v>
      </c>
      <c r="D88" s="857" t="s">
        <v>495</v>
      </c>
      <c r="E88" s="857" t="s">
        <v>495</v>
      </c>
      <c r="F88" s="857" t="s">
        <v>495</v>
      </c>
      <c r="G88" s="857" t="s">
        <v>495</v>
      </c>
      <c r="H88" s="857" t="s">
        <v>496</v>
      </c>
      <c r="I88" s="857" t="s">
        <v>495</v>
      </c>
      <c r="J88" s="341"/>
      <c r="K88" s="857" t="s">
        <v>497</v>
      </c>
      <c r="L88" s="857" t="s">
        <v>498</v>
      </c>
      <c r="M88" s="857" t="s">
        <v>499</v>
      </c>
      <c r="N88" s="858" t="s">
        <v>500</v>
      </c>
      <c r="O88" s="857" t="s">
        <v>497</v>
      </c>
      <c r="P88" s="857" t="s">
        <v>498</v>
      </c>
      <c r="Q88" s="857" t="s">
        <v>499</v>
      </c>
      <c r="R88" s="858" t="s">
        <v>500</v>
      </c>
      <c r="S88" s="857" t="s">
        <v>497</v>
      </c>
      <c r="T88" s="857" t="s">
        <v>498</v>
      </c>
      <c r="U88" s="857" t="s">
        <v>499</v>
      </c>
      <c r="V88" s="858" t="s">
        <v>500</v>
      </c>
      <c r="W88" s="857" t="s">
        <v>497</v>
      </c>
      <c r="X88" s="857" t="s">
        <v>498</v>
      </c>
      <c r="Y88" s="857" t="s">
        <v>499</v>
      </c>
      <c r="Z88" s="858" t="s">
        <v>500</v>
      </c>
      <c r="AA88" s="857" t="s">
        <v>497</v>
      </c>
      <c r="AB88" s="857" t="s">
        <v>498</v>
      </c>
      <c r="AC88" s="857" t="str">
        <f>+AC$6</f>
        <v>Q3</v>
      </c>
      <c r="AD88" s="858" t="str">
        <f>+AD$6</f>
        <v>Q4</v>
      </c>
      <c r="AE88" s="857" t="s">
        <v>497</v>
      </c>
      <c r="AF88" s="857" t="s">
        <v>498</v>
      </c>
      <c r="AG88" s="857" t="s">
        <v>499</v>
      </c>
      <c r="AH88" s="858" t="s">
        <v>500</v>
      </c>
      <c r="AI88" s="341"/>
      <c r="AJ88" s="89"/>
      <c r="AK88" s="89"/>
      <c r="AL88" s="89"/>
    </row>
    <row r="89" spans="1:38" ht="13">
      <c r="A89" s="341" t="s">
        <v>338</v>
      </c>
      <c r="B89" s="602">
        <v>94.566126888812335</v>
      </c>
      <c r="C89" s="602">
        <v>102.72515610117472</v>
      </c>
      <c r="D89" s="602">
        <v>109.78986775176296</v>
      </c>
      <c r="E89" s="602">
        <v>104.04695164681151</v>
      </c>
      <c r="F89" s="602">
        <v>95.376534742899196</v>
      </c>
      <c r="G89" s="602">
        <f>G7/G17*100</f>
        <v>101.20696698481078</v>
      </c>
      <c r="H89" s="602">
        <f>H7/H17*100</f>
        <v>117.71145975443382</v>
      </c>
      <c r="I89" s="602">
        <f>I7/I17*100</f>
        <v>110.3688165476222</v>
      </c>
      <c r="J89" s="341"/>
      <c r="K89" s="602">
        <v>118.77832019793486</v>
      </c>
      <c r="L89" s="602">
        <v>115.06893147488444</v>
      </c>
      <c r="M89" s="602">
        <v>115.85275619681835</v>
      </c>
      <c r="N89" s="845">
        <v>92.43053337591823</v>
      </c>
      <c r="O89" s="602">
        <v>125.22295137136126</v>
      </c>
      <c r="P89" s="602">
        <v>108.49146757679181</v>
      </c>
      <c r="Q89" s="602">
        <v>100.16717748676511</v>
      </c>
      <c r="R89" s="845">
        <v>87.916975537435135</v>
      </c>
      <c r="S89" s="602">
        <v>101.86929023190443</v>
      </c>
      <c r="T89" s="602">
        <v>99.675408984679308</v>
      </c>
      <c r="U89" s="602">
        <v>93.727842923370602</v>
      </c>
      <c r="V89" s="845">
        <v>86.692506459948319</v>
      </c>
      <c r="W89" s="602">
        <v>107.9343365253078</v>
      </c>
      <c r="X89" s="602">
        <v>95.437558393023977</v>
      </c>
      <c r="Y89" s="602">
        <v>109</v>
      </c>
      <c r="Z89" s="845">
        <v>93</v>
      </c>
      <c r="AA89" s="602">
        <v>125</v>
      </c>
      <c r="AB89" s="602">
        <v>117</v>
      </c>
      <c r="AC89" s="602">
        <v>129</v>
      </c>
      <c r="AD89" s="845">
        <v>104</v>
      </c>
      <c r="AE89" s="602">
        <v>129</v>
      </c>
      <c r="AF89" s="602">
        <v>121.45977011494253</v>
      </c>
      <c r="AG89" s="602">
        <v>98</v>
      </c>
      <c r="AH89" s="845">
        <v>99.165002722817206</v>
      </c>
      <c r="AI89" s="341"/>
      <c r="AJ89" s="89"/>
      <c r="AK89" s="89"/>
      <c r="AL89" s="89"/>
    </row>
    <row r="90" spans="1:38" ht="13">
      <c r="A90" s="341" t="s">
        <v>336</v>
      </c>
      <c r="B90" s="602">
        <v>100.25964391691396</v>
      </c>
      <c r="C90" s="602">
        <v>100.27760252365931</v>
      </c>
      <c r="D90" s="602">
        <v>103.53659387401122</v>
      </c>
      <c r="E90" s="602">
        <v>100.96648807647861</v>
      </c>
      <c r="F90" s="602">
        <v>99.712936382998436</v>
      </c>
      <c r="G90" s="602">
        <f>G10/G20*100</f>
        <v>101.78413120567376</v>
      </c>
      <c r="H90" s="602">
        <f>H10/H20*100</f>
        <v>108.03527682508573</v>
      </c>
      <c r="I90" s="602">
        <f>I10/I20*100</f>
        <v>97.891941239936926</v>
      </c>
      <c r="J90" s="341"/>
      <c r="K90" s="602">
        <v>108.3412565233827</v>
      </c>
      <c r="L90" s="602">
        <v>98.807825565245977</v>
      </c>
      <c r="M90" s="602">
        <v>104.5846457733349</v>
      </c>
      <c r="N90" s="845">
        <v>102.71154745208042</v>
      </c>
      <c r="O90" s="602">
        <v>113.58574610244989</v>
      </c>
      <c r="P90" s="602">
        <v>100.73409461663947</v>
      </c>
      <c r="Q90" s="602">
        <v>95.927791771620491</v>
      </c>
      <c r="R90" s="845">
        <v>94.508196721311478</v>
      </c>
      <c r="S90" s="602">
        <v>105.95009596928983</v>
      </c>
      <c r="T90" s="602">
        <v>96.582365003417635</v>
      </c>
      <c r="U90" s="602">
        <v>96.383363471971066</v>
      </c>
      <c r="V90" s="845">
        <v>100.55932880543348</v>
      </c>
      <c r="W90" s="602">
        <v>104.55089820359282</v>
      </c>
      <c r="X90" s="602">
        <v>97.297297297297305</v>
      </c>
      <c r="Y90" s="602">
        <v>102</v>
      </c>
      <c r="Z90" s="845">
        <v>102</v>
      </c>
      <c r="AA90" s="602">
        <v>114</v>
      </c>
      <c r="AB90" s="602">
        <v>106</v>
      </c>
      <c r="AC90" s="602">
        <v>106</v>
      </c>
      <c r="AD90" s="845">
        <v>106</v>
      </c>
      <c r="AE90" s="602">
        <v>113</v>
      </c>
      <c r="AF90" s="602">
        <v>89.568801521876978</v>
      </c>
      <c r="AG90" s="602">
        <v>91</v>
      </c>
      <c r="AH90" s="845">
        <v>98.525469168900798</v>
      </c>
      <c r="AI90" s="341"/>
      <c r="AJ90" s="89"/>
      <c r="AK90" s="89"/>
      <c r="AL90" s="89"/>
    </row>
    <row r="91" spans="1:38" ht="13">
      <c r="A91" s="811" t="s">
        <v>300</v>
      </c>
      <c r="B91" s="813">
        <v>96.120434009001158</v>
      </c>
      <c r="C91" s="813">
        <v>101.9629547634861</v>
      </c>
      <c r="D91" s="813">
        <v>107.86485465678139</v>
      </c>
      <c r="E91" s="813">
        <v>102.91236776805536</v>
      </c>
      <c r="F91" s="813">
        <v>96.678009253592506</v>
      </c>
      <c r="G91" s="813">
        <f>G12/G22*100</f>
        <v>101.26515696805272</v>
      </c>
      <c r="H91" s="813">
        <f>H12/H22*100</f>
        <v>115.14188422247446</v>
      </c>
      <c r="I91" s="813">
        <f>I12/I22*100</f>
        <v>107.09944862558859</v>
      </c>
      <c r="J91" s="341"/>
      <c r="K91" s="813">
        <v>114.96040280340173</v>
      </c>
      <c r="L91" s="813">
        <v>109.93166026423151</v>
      </c>
      <c r="M91" s="813">
        <v>112.89299955331273</v>
      </c>
      <c r="N91" s="814">
        <v>95.203213610586019</v>
      </c>
      <c r="O91" s="813">
        <v>121.89967205150005</v>
      </c>
      <c r="P91" s="813">
        <v>106.50208269836432</v>
      </c>
      <c r="Q91" s="813">
        <v>97.533934307325666</v>
      </c>
      <c r="R91" s="814">
        <v>89.676075014207228</v>
      </c>
      <c r="S91" s="813">
        <v>102.84108329075114</v>
      </c>
      <c r="T91" s="813">
        <v>99.313005834744956</v>
      </c>
      <c r="U91" s="813">
        <v>94.506792675723574</v>
      </c>
      <c r="V91" s="814">
        <v>90.233463035019454</v>
      </c>
      <c r="W91" s="813">
        <v>106.98489161375082</v>
      </c>
      <c r="X91" s="813">
        <v>95.826436509813192</v>
      </c>
      <c r="Y91" s="813">
        <v>107</v>
      </c>
      <c r="Z91" s="814">
        <v>95</v>
      </c>
      <c r="AA91" s="813">
        <v>122</v>
      </c>
      <c r="AB91" s="813">
        <v>114</v>
      </c>
      <c r="AC91" s="813">
        <v>123</v>
      </c>
      <c r="AD91" s="814">
        <v>104</v>
      </c>
      <c r="AE91" s="813">
        <v>125</v>
      </c>
      <c r="AF91" s="813">
        <v>112.71486349848333</v>
      </c>
      <c r="AG91" s="813">
        <v>96</v>
      </c>
      <c r="AH91" s="814">
        <v>98</v>
      </c>
      <c r="AI91" s="341"/>
      <c r="AJ91" s="89"/>
      <c r="AK91" s="89"/>
      <c r="AL91" s="89"/>
    </row>
    <row r="92" spans="1:38" ht="13">
      <c r="A92" s="341"/>
      <c r="B92" s="617"/>
      <c r="C92" s="617"/>
      <c r="D92" s="617"/>
      <c r="E92" s="617"/>
      <c r="F92" s="617"/>
      <c r="G92" s="617"/>
      <c r="H92" s="617"/>
      <c r="I92" s="617"/>
      <c r="J92" s="617"/>
      <c r="K92" s="617"/>
      <c r="L92" s="617"/>
      <c r="M92" s="617"/>
      <c r="N92" s="617"/>
      <c r="O92" s="617"/>
      <c r="P92" s="617"/>
      <c r="Q92" s="617"/>
      <c r="R92" s="617"/>
      <c r="S92" s="617"/>
      <c r="T92" s="617"/>
      <c r="U92" s="617"/>
      <c r="V92" s="617"/>
      <c r="W92" s="617"/>
      <c r="X92" s="617"/>
      <c r="Y92" s="617"/>
      <c r="Z92" s="617"/>
      <c r="AA92" s="617"/>
      <c r="AB92" s="617"/>
      <c r="AC92" s="617"/>
      <c r="AD92" s="617"/>
      <c r="AE92" s="617"/>
      <c r="AF92" s="617"/>
      <c r="AG92" s="617"/>
      <c r="AH92" s="617"/>
      <c r="AI92" s="341"/>
      <c r="AJ92" s="89"/>
      <c r="AK92" s="89"/>
      <c r="AL92" s="89"/>
    </row>
    <row r="93" spans="1:38" ht="13">
      <c r="A93" s="892" t="s">
        <v>548</v>
      </c>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89"/>
      <c r="AK93" s="89"/>
      <c r="AL93" s="89"/>
    </row>
    <row r="94" spans="1:38" ht="13">
      <c r="A94" s="89" t="s">
        <v>1242</v>
      </c>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row>
  </sheetData>
  <mergeCells count="2">
    <mergeCell ref="B2:I4"/>
    <mergeCell ref="AE2:AL4"/>
  </mergeCells>
  <hyperlinks>
    <hyperlink ref="A2" location="'START PAGE'!A1" display="Back to start page" xr:uid="{C96810F5-9B57-4D0F-B294-CB4F4A677CBB}"/>
  </hyperlinks>
  <pageMargins left="0.7" right="0.7" top="0.75" bottom="0.75" header="0.3" footer="0.3"/>
  <pageSetup paperSize="9" scale="47"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39CB8-C92F-4C62-92D0-ADB29595BD36}">
  <sheetPr>
    <tabColor rgb="FF808080"/>
    <pageSetUpPr fitToPage="1"/>
  </sheetPr>
  <dimension ref="A1:AD65"/>
  <sheetViews>
    <sheetView showGridLines="0" workbookViewId="0"/>
  </sheetViews>
  <sheetFormatPr baseColWidth="10" defaultColWidth="10" defaultRowHeight="13.5" customHeight="1"/>
  <cols>
    <col min="1" max="1" width="52.6640625" customWidth="1"/>
    <col min="2" max="16" width="8.5" customWidth="1"/>
    <col min="17" max="17" width="8.5" customWidth="1" collapsed="1"/>
    <col min="18" max="19" width="8.5" customWidth="1"/>
    <col min="20" max="22" width="9.5" customWidth="1"/>
    <col min="23" max="25" width="8.6640625" customWidth="1"/>
    <col min="27" max="27" width="20.6640625" bestFit="1" customWidth="1"/>
    <col min="28" max="28" width="12.33203125" bestFit="1" customWidth="1"/>
    <col min="29" max="29" width="9.6640625" customWidth="1"/>
    <col min="30" max="30" width="12.6640625" bestFit="1" customWidth="1"/>
  </cols>
  <sheetData>
    <row r="1" spans="1:30" ht="13">
      <c r="A1" s="835" t="s">
        <v>27</v>
      </c>
      <c r="B1" s="17"/>
      <c r="C1" s="17"/>
      <c r="D1" s="17"/>
      <c r="E1" s="17"/>
      <c r="F1" s="17"/>
      <c r="G1" s="17"/>
      <c r="H1" s="17"/>
      <c r="I1" s="17"/>
      <c r="J1" s="17"/>
      <c r="K1" s="17"/>
      <c r="L1" s="17"/>
      <c r="M1" s="16"/>
      <c r="N1" s="17"/>
      <c r="O1" s="17"/>
      <c r="P1" s="17"/>
      <c r="Q1" s="17"/>
      <c r="R1" s="17"/>
      <c r="S1" s="17"/>
      <c r="T1" s="17"/>
      <c r="U1" s="17"/>
      <c r="V1" s="17"/>
      <c r="W1" s="17"/>
      <c r="X1" s="17"/>
      <c r="Y1" s="17"/>
      <c r="Z1" s="17"/>
      <c r="AA1" s="17"/>
      <c r="AB1" s="17"/>
      <c r="AC1" s="17"/>
      <c r="AD1" s="341"/>
    </row>
    <row r="2" spans="1:30" ht="13">
      <c r="A2" s="835" t="s">
        <v>1243</v>
      </c>
      <c r="B2" s="17"/>
      <c r="C2" s="17"/>
      <c r="D2" s="17"/>
      <c r="E2" s="17"/>
      <c r="F2" s="17"/>
      <c r="G2" s="17"/>
      <c r="H2" s="17"/>
      <c r="I2" s="17"/>
      <c r="J2" s="17"/>
      <c r="K2" s="17"/>
      <c r="L2" s="17"/>
      <c r="M2" s="16"/>
      <c r="N2" s="17"/>
      <c r="O2" s="17"/>
      <c r="P2" s="17"/>
      <c r="Q2" s="17"/>
      <c r="R2" s="17"/>
      <c r="S2" s="17"/>
      <c r="T2" s="17"/>
      <c r="U2" s="17"/>
      <c r="V2" s="17"/>
      <c r="W2" s="17"/>
      <c r="X2" s="17"/>
      <c r="Y2" s="17"/>
      <c r="Z2" s="17"/>
      <c r="AA2" s="16">
        <f>AA16</f>
        <v>2015</v>
      </c>
      <c r="AB2" s="16">
        <f>AB16</f>
        <v>2016</v>
      </c>
      <c r="AC2" s="16">
        <f>AC16</f>
        <v>2017</v>
      </c>
      <c r="AD2" s="823"/>
    </row>
    <row r="3" spans="1:30" ht="13">
      <c r="A3" s="893" t="s">
        <v>474</v>
      </c>
      <c r="B3" s="894"/>
      <c r="C3" s="894"/>
      <c r="D3" s="894"/>
      <c r="E3" s="894"/>
      <c r="F3" s="894"/>
      <c r="G3" s="894"/>
      <c r="H3" s="894"/>
      <c r="I3" s="894"/>
      <c r="J3" s="894"/>
      <c r="K3" s="894"/>
      <c r="L3" s="894"/>
      <c r="M3" s="894"/>
      <c r="N3" s="894"/>
      <c r="O3" s="894"/>
      <c r="P3" s="894"/>
      <c r="Q3" s="894"/>
      <c r="R3" s="894"/>
      <c r="S3" s="894"/>
      <c r="T3" s="894"/>
      <c r="U3" s="894"/>
      <c r="V3" s="894"/>
      <c r="W3" s="894"/>
      <c r="X3" s="894"/>
      <c r="Y3" s="894"/>
      <c r="Z3" s="894"/>
      <c r="AA3" s="895">
        <v>27551</v>
      </c>
      <c r="AB3" s="895">
        <v>27634</v>
      </c>
      <c r="AC3" s="895">
        <v>33831</v>
      </c>
      <c r="AD3" s="823"/>
    </row>
    <row r="4" spans="1:30" ht="13">
      <c r="A4" s="893" t="s">
        <v>197</v>
      </c>
      <c r="B4" s="894"/>
      <c r="C4" s="894"/>
      <c r="D4" s="894"/>
      <c r="E4" s="894"/>
      <c r="F4" s="894"/>
      <c r="G4" s="894"/>
      <c r="H4" s="894"/>
      <c r="I4" s="894"/>
      <c r="J4" s="894"/>
      <c r="K4" s="894"/>
      <c r="L4" s="894"/>
      <c r="M4" s="894"/>
      <c r="N4" s="894"/>
      <c r="O4" s="894"/>
      <c r="P4" s="894"/>
      <c r="Q4" s="894"/>
      <c r="R4" s="894"/>
      <c r="S4" s="894"/>
      <c r="T4" s="894"/>
      <c r="U4" s="894"/>
      <c r="V4" s="894"/>
      <c r="W4" s="894"/>
      <c r="X4" s="894"/>
      <c r="Y4" s="894"/>
      <c r="Z4" s="894"/>
      <c r="AA4" s="895">
        <v>28663</v>
      </c>
      <c r="AB4" s="895">
        <v>27102</v>
      </c>
      <c r="AC4" s="895">
        <v>31364.2475184785</v>
      </c>
      <c r="AD4" s="823"/>
    </row>
    <row r="5" spans="1:30" ht="13">
      <c r="A5" s="893" t="s">
        <v>189</v>
      </c>
      <c r="B5" s="894"/>
      <c r="C5" s="894"/>
      <c r="D5" s="894"/>
      <c r="E5" s="894"/>
      <c r="F5" s="894"/>
      <c r="G5" s="894"/>
      <c r="H5" s="894"/>
      <c r="I5" s="894"/>
      <c r="J5" s="894"/>
      <c r="K5" s="894"/>
      <c r="L5" s="894"/>
      <c r="M5" s="894"/>
      <c r="N5" s="894"/>
      <c r="O5" s="894"/>
      <c r="P5" s="894"/>
      <c r="Q5" s="894"/>
      <c r="R5" s="894"/>
      <c r="S5" s="894"/>
      <c r="T5" s="894"/>
      <c r="U5" s="894"/>
      <c r="V5" s="894"/>
      <c r="W5" s="894"/>
      <c r="X5" s="894"/>
      <c r="Y5" s="894"/>
      <c r="Z5" s="894"/>
      <c r="AA5" s="895">
        <v>5175</v>
      </c>
      <c r="AB5" s="895">
        <v>4548</v>
      </c>
      <c r="AC5" s="895">
        <v>5930.0051558893001</v>
      </c>
      <c r="AD5" s="823"/>
    </row>
    <row r="6" spans="1:30" ht="13">
      <c r="A6" s="893" t="s">
        <v>276</v>
      </c>
      <c r="B6" s="894"/>
      <c r="C6" s="894"/>
      <c r="D6" s="894"/>
      <c r="E6" s="894"/>
      <c r="F6" s="894"/>
      <c r="G6" s="894"/>
      <c r="H6" s="894"/>
      <c r="I6" s="894"/>
      <c r="J6" s="894"/>
      <c r="K6" s="894"/>
      <c r="L6" s="894"/>
      <c r="M6" s="894"/>
      <c r="N6" s="894"/>
      <c r="O6" s="894"/>
      <c r="P6" s="894"/>
      <c r="Q6" s="894"/>
      <c r="R6" s="894"/>
      <c r="S6" s="894"/>
      <c r="T6" s="894"/>
      <c r="U6" s="894"/>
      <c r="V6" s="894"/>
      <c r="W6" s="894"/>
      <c r="X6" s="894"/>
      <c r="Y6" s="894"/>
      <c r="Z6" s="894"/>
      <c r="AA6" s="896">
        <f>AA5/AA4</f>
        <v>0.18054634895161009</v>
      </c>
      <c r="AB6" s="896">
        <f>AB5/AB4</f>
        <v>0.16781049369050255</v>
      </c>
      <c r="AC6" s="896">
        <f>AC5/AC4</f>
        <v>0.18906894394311835</v>
      </c>
      <c r="AD6" s="823"/>
    </row>
    <row r="7" spans="1:30" ht="13">
      <c r="A7" s="893" t="s">
        <v>1244</v>
      </c>
      <c r="B7" s="894"/>
      <c r="C7" s="894"/>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7">
        <v>-163</v>
      </c>
      <c r="AD7" s="823"/>
    </row>
    <row r="8" spans="1:30" ht="13">
      <c r="A8" s="893" t="s">
        <v>1245</v>
      </c>
      <c r="B8" s="894"/>
      <c r="C8" s="894"/>
      <c r="D8" s="894"/>
      <c r="E8" s="894"/>
      <c r="F8" s="894"/>
      <c r="G8" s="894"/>
      <c r="H8" s="894"/>
      <c r="I8" s="894"/>
      <c r="J8" s="894"/>
      <c r="K8" s="894"/>
      <c r="L8" s="894"/>
      <c r="M8" s="894"/>
      <c r="N8" s="894"/>
      <c r="O8" s="894"/>
      <c r="P8" s="894"/>
      <c r="Q8" s="894"/>
      <c r="R8" s="894"/>
      <c r="S8" s="894"/>
      <c r="T8" s="894"/>
      <c r="U8" s="894"/>
      <c r="V8" s="894"/>
      <c r="W8" s="894"/>
      <c r="X8" s="894"/>
      <c r="Y8" s="894"/>
      <c r="Z8" s="894"/>
      <c r="AA8" s="896">
        <f>(AA5+AA7)/AA4</f>
        <v>0.18054634895161009</v>
      </c>
      <c r="AB8" s="896">
        <f>(AB5+AB7)/AB4</f>
        <v>0.16781049369050255</v>
      </c>
      <c r="AC8" s="896">
        <f>(AC5+AC7)/AC4</f>
        <v>0.18387194376308957</v>
      </c>
      <c r="AD8" s="823"/>
    </row>
    <row r="9" spans="1:30" ht="13">
      <c r="A9" s="835" t="s">
        <v>1246</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648" t="s">
        <v>1247</v>
      </c>
    </row>
    <row r="10" spans="1:30" ht="13">
      <c r="A10" s="893" t="s">
        <v>474</v>
      </c>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5">
        <f>AA3-AA18</f>
        <v>1964</v>
      </c>
      <c r="AB10" s="895">
        <f>AB3-AB18</f>
        <v>2069</v>
      </c>
      <c r="AC10" s="895">
        <f>AC3-AC18</f>
        <v>2358</v>
      </c>
      <c r="AD10" s="898">
        <f>AC10/Segments!D7</f>
        <v>0.26063809146691747</v>
      </c>
    </row>
    <row r="11" spans="1:30" ht="13">
      <c r="A11" s="893" t="s">
        <v>197</v>
      </c>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c r="Z11" s="894"/>
      <c r="AA11" s="895">
        <f>AA4-AA20</f>
        <v>1998</v>
      </c>
      <c r="AB11" s="895">
        <f>AB4-AB20</f>
        <v>2059</v>
      </c>
      <c r="AC11" s="895">
        <f>AC4-AC20</f>
        <v>2198.2475184784998</v>
      </c>
      <c r="AD11" s="898">
        <f>AC11/Segments!D21</f>
        <v>0.25157330264116501</v>
      </c>
    </row>
    <row r="12" spans="1:30" ht="13">
      <c r="A12" s="893" t="s">
        <v>189</v>
      </c>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c r="Z12" s="894"/>
      <c r="AA12" s="895">
        <f>AA5-AA22</f>
        <v>182</v>
      </c>
      <c r="AB12" s="895">
        <f>AB5-AB22</f>
        <v>83</v>
      </c>
      <c r="AC12" s="895">
        <f>AC5-AC22</f>
        <v>86.005155889300113</v>
      </c>
      <c r="AD12" s="823"/>
    </row>
    <row r="13" spans="1:30" ht="13">
      <c r="A13" s="893" t="s">
        <v>276</v>
      </c>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c r="Z13" s="894"/>
      <c r="AA13" s="896">
        <f>AA12/AA11</f>
        <v>9.1091091091091092E-2</v>
      </c>
      <c r="AB13" s="896">
        <f>AB12/AB11</f>
        <v>4.0310830500242839E-2</v>
      </c>
      <c r="AC13" s="896">
        <f>AC12/AC11</f>
        <v>3.9124418504440268E-2</v>
      </c>
      <c r="AD13" s="823"/>
    </row>
    <row r="14" spans="1:30" ht="13">
      <c r="A14" s="893" t="s">
        <v>1244</v>
      </c>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c r="Z14" s="894"/>
      <c r="AA14" s="897">
        <v>0</v>
      </c>
      <c r="AB14" s="897">
        <v>0</v>
      </c>
      <c r="AC14" s="897">
        <v>0</v>
      </c>
      <c r="AD14" s="823"/>
    </row>
    <row r="15" spans="1:30" ht="13">
      <c r="A15" s="893" t="s">
        <v>1245</v>
      </c>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c r="Z15" s="894"/>
      <c r="AA15" s="896">
        <f>AA13</f>
        <v>9.1091091091091092E-2</v>
      </c>
      <c r="AB15" s="896">
        <f>AB13</f>
        <v>4.0310830500242839E-2</v>
      </c>
      <c r="AC15" s="896">
        <f>AC13</f>
        <v>3.9124418504440268E-2</v>
      </c>
      <c r="AD15" s="823"/>
    </row>
    <row r="16" spans="1:30" ht="13">
      <c r="A16" s="899" t="s">
        <v>1248</v>
      </c>
      <c r="B16" s="900">
        <v>1990</v>
      </c>
      <c r="C16" s="900">
        <v>1991</v>
      </c>
      <c r="D16" s="900">
        <v>1992</v>
      </c>
      <c r="E16" s="900">
        <v>1993</v>
      </c>
      <c r="F16" s="900">
        <v>1994</v>
      </c>
      <c r="G16" s="900">
        <v>1995</v>
      </c>
      <c r="H16" s="900">
        <v>1996</v>
      </c>
      <c r="I16" s="900">
        <v>1997</v>
      </c>
      <c r="J16" s="900">
        <v>1998</v>
      </c>
      <c r="K16" s="900">
        <v>1999</v>
      </c>
      <c r="L16" s="900">
        <v>2000</v>
      </c>
      <c r="M16" s="900">
        <v>2001</v>
      </c>
      <c r="N16" s="900">
        <v>2002</v>
      </c>
      <c r="O16" s="900">
        <v>2003</v>
      </c>
      <c r="P16" s="900">
        <v>2004</v>
      </c>
      <c r="Q16" s="900">
        <v>2005</v>
      </c>
      <c r="R16" s="900">
        <v>2006</v>
      </c>
      <c r="S16" s="900">
        <v>2007</v>
      </c>
      <c r="T16" s="900">
        <v>2008</v>
      </c>
      <c r="U16" s="900">
        <v>2009</v>
      </c>
      <c r="V16" s="900">
        <v>2010</v>
      </c>
      <c r="W16" s="900">
        <v>2011</v>
      </c>
      <c r="X16" s="900">
        <v>2012</v>
      </c>
      <c r="Y16" s="900">
        <v>2013</v>
      </c>
      <c r="Z16" s="900">
        <v>2014</v>
      </c>
      <c r="AA16" s="900">
        <v>2015</v>
      </c>
      <c r="AB16" s="900">
        <v>2016</v>
      </c>
      <c r="AC16" s="900">
        <v>2017</v>
      </c>
      <c r="AD16" s="822"/>
    </row>
    <row r="17" spans="1:30" ht="13">
      <c r="A17" s="901" t="s">
        <v>474</v>
      </c>
      <c r="B17" s="644"/>
      <c r="C17" s="644"/>
      <c r="D17" s="644"/>
      <c r="E17" s="644"/>
      <c r="F17" s="644"/>
      <c r="G17" s="644"/>
      <c r="H17" s="644"/>
      <c r="I17" s="644"/>
      <c r="J17" s="644"/>
      <c r="K17" s="644"/>
      <c r="L17" s="644"/>
      <c r="M17" s="644"/>
      <c r="N17" s="644"/>
      <c r="O17" s="644"/>
      <c r="P17" s="644"/>
      <c r="Q17" s="644"/>
      <c r="R17" s="644"/>
      <c r="S17" s="644"/>
      <c r="T17" s="902"/>
      <c r="U17" s="902"/>
      <c r="V17" s="902"/>
      <c r="W17" s="902"/>
      <c r="X17" s="902"/>
      <c r="Y17" s="902"/>
      <c r="Z17" s="902"/>
      <c r="AA17" s="903"/>
      <c r="AB17" s="904"/>
      <c r="AC17" s="904"/>
      <c r="AD17" s="644"/>
    </row>
    <row r="18" spans="1:30" ht="13">
      <c r="A18" s="644" t="s">
        <v>1249</v>
      </c>
      <c r="B18" s="644"/>
      <c r="C18" s="644"/>
      <c r="D18" s="644"/>
      <c r="E18" s="644"/>
      <c r="F18" s="644"/>
      <c r="G18" s="644"/>
      <c r="H18" s="644"/>
      <c r="I18" s="644"/>
      <c r="J18" s="644"/>
      <c r="K18" s="644"/>
      <c r="L18" s="644"/>
      <c r="M18" s="644"/>
      <c r="N18" s="644"/>
      <c r="O18" s="644"/>
      <c r="P18" s="644"/>
      <c r="Q18" s="644"/>
      <c r="R18" s="644"/>
      <c r="S18" s="644"/>
      <c r="T18" s="649"/>
      <c r="U18" s="649"/>
      <c r="V18" s="649"/>
      <c r="W18" s="649"/>
      <c r="X18" s="649"/>
      <c r="Y18" s="649"/>
      <c r="Z18" s="649">
        <v>25752</v>
      </c>
      <c r="AA18" s="649">
        <v>25587</v>
      </c>
      <c r="AB18" s="649">
        <v>25565</v>
      </c>
      <c r="AC18" s="649">
        <v>31473</v>
      </c>
      <c r="AD18" s="644"/>
    </row>
    <row r="19" spans="1:30" ht="13">
      <c r="A19" s="901" t="s">
        <v>197</v>
      </c>
      <c r="B19" s="644"/>
      <c r="C19" s="644"/>
      <c r="D19" s="644"/>
      <c r="E19" s="644"/>
      <c r="F19" s="644"/>
      <c r="G19" s="561" t="s">
        <v>1250</v>
      </c>
      <c r="H19" s="644"/>
      <c r="I19" s="644"/>
      <c r="J19" s="644"/>
      <c r="K19" s="644"/>
      <c r="L19" s="561" t="s">
        <v>1250</v>
      </c>
      <c r="M19" s="644"/>
      <c r="N19" s="644"/>
      <c r="O19" s="644"/>
      <c r="P19" s="644"/>
      <c r="Q19" s="561" t="s">
        <v>1250</v>
      </c>
      <c r="R19" s="644"/>
      <c r="S19" s="644"/>
      <c r="T19" s="905"/>
      <c r="U19" s="645"/>
      <c r="V19" s="561" t="s">
        <v>1250</v>
      </c>
      <c r="W19" s="905"/>
      <c r="X19" s="905"/>
      <c r="Y19" s="905"/>
      <c r="Z19" s="905"/>
      <c r="AA19" s="905"/>
      <c r="AB19" s="905"/>
      <c r="AC19" s="905"/>
      <c r="AD19" s="645"/>
    </row>
    <row r="20" spans="1:30" ht="13">
      <c r="A20" s="644" t="s">
        <v>1249</v>
      </c>
      <c r="B20" s="644"/>
      <c r="C20" s="644"/>
      <c r="D20" s="644"/>
      <c r="E20" s="644"/>
      <c r="F20" s="906"/>
      <c r="G20" s="907"/>
      <c r="H20" s="644"/>
      <c r="I20" s="644"/>
      <c r="J20" s="644"/>
      <c r="K20" s="644"/>
      <c r="L20" s="644"/>
      <c r="M20" s="644"/>
      <c r="N20" s="644"/>
      <c r="O20" s="644"/>
      <c r="P20" s="644"/>
      <c r="Q20" s="644"/>
      <c r="R20" s="644"/>
      <c r="S20" s="644"/>
      <c r="T20" s="649"/>
      <c r="U20" s="649"/>
      <c r="V20" s="649"/>
      <c r="W20" s="649"/>
      <c r="X20" s="649"/>
      <c r="Y20" s="649"/>
      <c r="Z20" s="598">
        <v>25718</v>
      </c>
      <c r="AA20" s="598">
        <v>26665</v>
      </c>
      <c r="AB20" s="598">
        <v>25043</v>
      </c>
      <c r="AC20" s="649">
        <v>29166</v>
      </c>
      <c r="AD20" s="645"/>
    </row>
    <row r="21" spans="1:30" ht="13">
      <c r="A21" s="901" t="s">
        <v>189</v>
      </c>
      <c r="B21" s="644"/>
      <c r="C21" s="644"/>
      <c r="D21" s="644"/>
      <c r="E21" s="644"/>
      <c r="F21" s="644"/>
      <c r="G21" s="644"/>
      <c r="H21" s="644"/>
      <c r="I21" s="644"/>
      <c r="J21" s="644"/>
      <c r="K21" s="644"/>
      <c r="L21" s="644"/>
      <c r="M21" s="644"/>
      <c r="N21" s="644"/>
      <c r="O21" s="644"/>
      <c r="P21" s="644"/>
      <c r="Q21" s="644"/>
      <c r="R21" s="644"/>
      <c r="S21" s="644"/>
      <c r="T21" s="908"/>
      <c r="U21" s="908"/>
      <c r="V21" s="908"/>
      <c r="W21" s="908"/>
      <c r="X21" s="908"/>
      <c r="Y21" s="909"/>
      <c r="Z21" s="909"/>
      <c r="AA21" s="909"/>
      <c r="AB21" s="909"/>
      <c r="AC21" s="909"/>
      <c r="AD21" s="645"/>
    </row>
    <row r="22" spans="1:30" ht="13">
      <c r="A22" s="644" t="s">
        <v>1249</v>
      </c>
      <c r="B22" s="644"/>
      <c r="C22" s="644"/>
      <c r="D22" s="644"/>
      <c r="E22" s="644"/>
      <c r="F22" s="644"/>
      <c r="G22" s="644"/>
      <c r="H22" s="644"/>
      <c r="I22" s="644"/>
      <c r="J22" s="644"/>
      <c r="K22" s="644"/>
      <c r="L22" s="644"/>
      <c r="M22" s="644"/>
      <c r="N22" s="644"/>
      <c r="O22" s="644"/>
      <c r="P22" s="644"/>
      <c r="Q22" s="644"/>
      <c r="R22" s="644"/>
      <c r="S22" s="644"/>
      <c r="T22" s="649"/>
      <c r="U22" s="649"/>
      <c r="V22" s="649"/>
      <c r="W22" s="649"/>
      <c r="X22" s="649"/>
      <c r="Y22" s="649"/>
      <c r="Z22" s="582">
        <v>4307</v>
      </c>
      <c r="AA22" s="582">
        <v>4993</v>
      </c>
      <c r="AB22" s="582">
        <v>4465</v>
      </c>
      <c r="AC22" s="582">
        <v>5844</v>
      </c>
      <c r="AD22" s="645"/>
    </row>
    <row r="23" spans="1:30" ht="13">
      <c r="A23" s="901" t="s">
        <v>276</v>
      </c>
      <c r="B23" s="644"/>
      <c r="C23" s="644"/>
      <c r="D23" s="644"/>
      <c r="E23" s="644"/>
      <c r="F23" s="644"/>
      <c r="G23" s="644"/>
      <c r="H23" s="644"/>
      <c r="I23" s="644"/>
      <c r="J23" s="644"/>
      <c r="K23" s="644"/>
      <c r="L23" s="644"/>
      <c r="M23" s="644"/>
      <c r="N23" s="644"/>
      <c r="O23" s="644"/>
      <c r="P23" s="644"/>
      <c r="Q23" s="644"/>
      <c r="R23" s="644"/>
      <c r="S23" s="644"/>
      <c r="T23" s="649"/>
      <c r="U23" s="649"/>
      <c r="V23" s="649"/>
      <c r="W23" s="649"/>
      <c r="X23" s="649"/>
      <c r="Y23" s="649"/>
      <c r="Z23" s="649"/>
      <c r="AA23" s="649"/>
      <c r="AB23" s="649"/>
      <c r="AC23" s="649"/>
      <c r="AD23" s="645"/>
    </row>
    <row r="24" spans="1:30" ht="13">
      <c r="A24" s="644" t="s">
        <v>1249</v>
      </c>
      <c r="B24" s="644"/>
      <c r="C24" s="644"/>
      <c r="D24" s="644"/>
      <c r="E24" s="644"/>
      <c r="F24" s="644"/>
      <c r="G24" s="644"/>
      <c r="H24" s="644"/>
      <c r="I24" s="644"/>
      <c r="J24" s="644"/>
      <c r="K24" s="644"/>
      <c r="L24" s="644"/>
      <c r="M24" s="644"/>
      <c r="N24" s="644"/>
      <c r="O24" s="644"/>
      <c r="P24" s="644"/>
      <c r="Q24" s="644"/>
      <c r="R24" s="644"/>
      <c r="S24" s="644"/>
      <c r="T24" s="910"/>
      <c r="U24" s="910"/>
      <c r="V24" s="910"/>
      <c r="W24" s="910"/>
      <c r="X24" s="910"/>
      <c r="Y24" s="910"/>
      <c r="Z24" s="599">
        <v>0.16747025429660159</v>
      </c>
      <c r="AA24" s="599">
        <v>0.18724920307519219</v>
      </c>
      <c r="AB24" s="599">
        <v>0.17829333546300363</v>
      </c>
      <c r="AC24" s="599">
        <v>0.20037029417815264</v>
      </c>
      <c r="AD24" s="645"/>
    </row>
    <row r="25" spans="1:30" ht="13">
      <c r="A25" s="911" t="s">
        <v>1244</v>
      </c>
      <c r="B25" s="561"/>
      <c r="C25" s="561"/>
      <c r="D25" s="561"/>
      <c r="E25" s="561"/>
      <c r="F25" s="561"/>
      <c r="G25" s="561"/>
      <c r="H25" s="561"/>
      <c r="I25" s="561"/>
      <c r="J25" s="561"/>
      <c r="K25" s="561"/>
      <c r="L25" s="561"/>
      <c r="M25" s="561"/>
      <c r="N25" s="561"/>
      <c r="O25" s="561"/>
      <c r="P25" s="561"/>
      <c r="Q25" s="561"/>
      <c r="R25" s="561"/>
      <c r="S25" s="561"/>
      <c r="T25" s="561"/>
      <c r="U25" s="561"/>
      <c r="V25" s="561"/>
      <c r="W25" s="561"/>
      <c r="X25" s="561"/>
      <c r="Y25" s="561"/>
      <c r="Z25" s="561">
        <v>-729</v>
      </c>
      <c r="AA25" s="561">
        <v>-359</v>
      </c>
      <c r="AB25" s="561">
        <v>-264</v>
      </c>
      <c r="AC25" s="561">
        <v>-749</v>
      </c>
      <c r="AD25" s="645"/>
    </row>
    <row r="26" spans="1:30" ht="13">
      <c r="A26" s="644" t="s">
        <v>1249</v>
      </c>
      <c r="B26" s="644"/>
      <c r="C26" s="644"/>
      <c r="D26" s="644"/>
      <c r="E26" s="644"/>
      <c r="F26" s="644"/>
      <c r="G26" s="644"/>
      <c r="H26" s="644"/>
      <c r="I26" s="644"/>
      <c r="J26" s="644"/>
      <c r="K26" s="644"/>
      <c r="L26" s="644"/>
      <c r="M26" s="644"/>
      <c r="N26" s="644"/>
      <c r="O26" s="644"/>
      <c r="P26" s="644"/>
      <c r="Q26" s="644"/>
      <c r="R26" s="644"/>
      <c r="S26" s="644"/>
      <c r="T26" s="649"/>
      <c r="U26" s="649"/>
      <c r="V26" s="649"/>
      <c r="W26" s="649"/>
      <c r="X26" s="649"/>
      <c r="Y26" s="649"/>
      <c r="Z26" s="561">
        <v>-415</v>
      </c>
      <c r="AA26" s="561">
        <v>-65</v>
      </c>
      <c r="AB26" s="561">
        <v>0</v>
      </c>
      <c r="AC26" s="561">
        <v>0</v>
      </c>
      <c r="AD26" s="644"/>
    </row>
    <row r="27" spans="1:30" ht="13">
      <c r="A27" s="901" t="s">
        <v>1245</v>
      </c>
      <c r="B27" s="644"/>
      <c r="C27" s="644"/>
      <c r="D27" s="644"/>
      <c r="E27" s="644"/>
      <c r="F27" s="644"/>
      <c r="G27" s="644"/>
      <c r="H27" s="644"/>
      <c r="I27" s="644"/>
      <c r="J27" s="644"/>
      <c r="K27" s="644"/>
      <c r="L27" s="644"/>
      <c r="M27" s="644"/>
      <c r="N27" s="644"/>
      <c r="O27" s="644"/>
      <c r="P27" s="644"/>
      <c r="Q27" s="644"/>
      <c r="R27" s="644"/>
      <c r="S27" s="644"/>
      <c r="T27" s="905"/>
      <c r="U27" s="905"/>
      <c r="V27" s="905"/>
      <c r="W27" s="905"/>
      <c r="X27" s="905"/>
      <c r="Y27" s="905"/>
      <c r="Z27" s="905"/>
      <c r="AA27" s="905"/>
      <c r="AB27" s="905"/>
      <c r="AC27" s="905"/>
      <c r="AD27" s="644"/>
    </row>
    <row r="28" spans="1:30" ht="13">
      <c r="A28" s="644" t="s">
        <v>1249</v>
      </c>
      <c r="B28" s="644"/>
      <c r="C28" s="644"/>
      <c r="D28" s="644"/>
      <c r="E28" s="644"/>
      <c r="F28" s="644"/>
      <c r="G28" s="644"/>
      <c r="H28" s="644"/>
      <c r="I28" s="644"/>
      <c r="J28" s="644"/>
      <c r="K28" s="644"/>
      <c r="L28" s="644"/>
      <c r="M28" s="644"/>
      <c r="N28" s="644"/>
      <c r="O28" s="644"/>
      <c r="P28" s="644"/>
      <c r="Q28" s="644"/>
      <c r="R28" s="644"/>
      <c r="S28" s="644"/>
      <c r="T28" s="910"/>
      <c r="U28" s="910"/>
      <c r="V28" s="910"/>
      <c r="W28" s="910"/>
      <c r="X28" s="910"/>
      <c r="Y28" s="910"/>
      <c r="Z28" s="910">
        <v>0.18360681234932733</v>
      </c>
      <c r="AA28" s="910">
        <v>0.18968685542846428</v>
      </c>
      <c r="AB28" s="910">
        <v>0.17829333546300363</v>
      </c>
      <c r="AC28" s="910">
        <v>0.20037029417815264</v>
      </c>
      <c r="AD28" s="644"/>
    </row>
    <row r="29" spans="1:30" ht="13">
      <c r="A29" s="899" t="s">
        <v>1251</v>
      </c>
      <c r="B29" s="900"/>
      <c r="C29" s="900"/>
      <c r="D29" s="900"/>
      <c r="E29" s="900"/>
      <c r="F29" s="900"/>
      <c r="G29" s="900"/>
      <c r="H29" s="900"/>
      <c r="I29" s="900"/>
      <c r="J29" s="900"/>
      <c r="K29" s="900"/>
      <c r="L29" s="900"/>
      <c r="M29" s="900"/>
      <c r="N29" s="900"/>
      <c r="O29" s="900"/>
      <c r="P29" s="900"/>
      <c r="Q29" s="900"/>
      <c r="R29" s="900"/>
      <c r="S29" s="900"/>
      <c r="T29" s="900"/>
      <c r="U29" s="900"/>
      <c r="V29" s="900"/>
      <c r="W29" s="900"/>
      <c r="X29" s="900"/>
      <c r="Y29" s="900"/>
      <c r="Z29" s="900"/>
      <c r="AA29" s="900"/>
      <c r="AB29" s="900"/>
      <c r="AC29" s="900"/>
      <c r="AD29" s="822"/>
    </row>
    <row r="30" spans="1:30" ht="13">
      <c r="A30" s="912"/>
      <c r="B30" s="900"/>
      <c r="C30" s="900"/>
      <c r="D30" s="900"/>
      <c r="E30" s="900"/>
      <c r="F30" s="900"/>
      <c r="G30" s="900"/>
      <c r="H30" s="900"/>
      <c r="I30" s="900"/>
      <c r="J30" s="900"/>
      <c r="K30" s="900"/>
      <c r="L30" s="900"/>
      <c r="M30" s="900"/>
      <c r="N30" s="900"/>
      <c r="O30" s="900"/>
      <c r="P30" s="900"/>
      <c r="Q30" s="900"/>
      <c r="R30" s="900"/>
      <c r="S30" s="900"/>
      <c r="T30" s="900"/>
      <c r="U30" s="900"/>
      <c r="V30" s="900"/>
      <c r="W30" s="900"/>
      <c r="X30" s="913" t="s">
        <v>1252</v>
      </c>
      <c r="Y30" s="900"/>
      <c r="Z30" s="900"/>
      <c r="AA30" s="900" t="s">
        <v>1253</v>
      </c>
      <c r="AB30" s="900"/>
      <c r="AC30" s="900"/>
      <c r="AD30" s="822"/>
    </row>
    <row r="31" spans="1:30" ht="13">
      <c r="A31" s="914"/>
      <c r="B31" s="915"/>
      <c r="C31" s="915"/>
      <c r="D31" s="915"/>
      <c r="E31" s="915"/>
      <c r="F31" s="915"/>
      <c r="G31" s="915"/>
      <c r="H31" s="915"/>
      <c r="I31" s="915"/>
      <c r="J31" s="915"/>
      <c r="K31" s="915"/>
      <c r="L31" s="915"/>
      <c r="M31" s="915"/>
      <c r="N31" s="915"/>
      <c r="O31" s="915"/>
      <c r="P31" s="915"/>
      <c r="Q31" s="915"/>
      <c r="R31" s="915"/>
      <c r="S31" s="915"/>
      <c r="T31" s="915"/>
      <c r="U31" s="915"/>
      <c r="V31" s="915"/>
      <c r="W31" s="915"/>
      <c r="X31" s="915"/>
      <c r="Y31" s="915"/>
      <c r="Z31" s="915"/>
      <c r="AA31" s="915"/>
      <c r="AB31" s="915"/>
      <c r="AC31" s="915"/>
      <c r="AD31" s="645"/>
    </row>
    <row r="32" spans="1:30" ht="13">
      <c r="A32" s="893" t="s">
        <v>261</v>
      </c>
      <c r="B32" s="894">
        <v>1990</v>
      </c>
      <c r="C32" s="894">
        <v>1991</v>
      </c>
      <c r="D32" s="894">
        <v>1992</v>
      </c>
      <c r="E32" s="894">
        <v>1993</v>
      </c>
      <c r="F32" s="894">
        <v>1994</v>
      </c>
      <c r="G32" s="894">
        <v>1995</v>
      </c>
      <c r="H32" s="894">
        <v>1996</v>
      </c>
      <c r="I32" s="894">
        <v>1997</v>
      </c>
      <c r="J32" s="894">
        <v>1998</v>
      </c>
      <c r="K32" s="894">
        <v>1999</v>
      </c>
      <c r="L32" s="894">
        <v>2000</v>
      </c>
      <c r="M32" s="894">
        <v>2001</v>
      </c>
      <c r="N32" s="894">
        <v>2002</v>
      </c>
      <c r="O32" s="894">
        <v>2003</v>
      </c>
      <c r="P32" s="894">
        <v>2004</v>
      </c>
      <c r="Q32" s="894">
        <v>2005</v>
      </c>
      <c r="R32" s="894">
        <v>2006</v>
      </c>
      <c r="S32" s="894">
        <v>2007</v>
      </c>
      <c r="T32" s="894">
        <v>2008</v>
      </c>
      <c r="U32" s="894">
        <v>2009</v>
      </c>
      <c r="V32" s="894">
        <v>2010</v>
      </c>
      <c r="W32" s="894">
        <v>2011</v>
      </c>
      <c r="X32" s="894">
        <v>2012</v>
      </c>
      <c r="Y32" s="894">
        <v>2013</v>
      </c>
      <c r="Z32" s="894">
        <v>2014</v>
      </c>
      <c r="AA32" s="894">
        <v>2015</v>
      </c>
      <c r="AB32" s="894">
        <v>2016</v>
      </c>
      <c r="AC32" s="894"/>
      <c r="AD32" s="823"/>
    </row>
    <row r="33" spans="1:30" ht="13">
      <c r="A33" s="901" t="s">
        <v>474</v>
      </c>
      <c r="B33" s="644"/>
      <c r="C33" s="644"/>
      <c r="D33" s="644"/>
      <c r="E33" s="644"/>
      <c r="F33" s="644"/>
      <c r="G33" s="644"/>
      <c r="H33" s="644"/>
      <c r="I33" s="644"/>
      <c r="J33" s="644"/>
      <c r="K33" s="644"/>
      <c r="L33" s="644"/>
      <c r="M33" s="644"/>
      <c r="N33" s="644"/>
      <c r="O33" s="644"/>
      <c r="P33" s="644"/>
      <c r="Q33" s="644"/>
      <c r="R33" s="644"/>
      <c r="S33" s="644"/>
      <c r="T33" s="902"/>
      <c r="U33" s="902"/>
      <c r="V33" s="902"/>
      <c r="W33" s="902"/>
      <c r="X33" s="902"/>
      <c r="Y33" s="902"/>
      <c r="Z33" s="902"/>
      <c r="AA33" s="903"/>
      <c r="AB33" s="904"/>
      <c r="AC33" s="904"/>
      <c r="AD33" s="645"/>
    </row>
    <row r="34" spans="1:30" ht="13">
      <c r="A34" s="644" t="s">
        <v>1249</v>
      </c>
      <c r="B34" s="644"/>
      <c r="C34" s="644"/>
      <c r="D34" s="644"/>
      <c r="E34" s="644"/>
      <c r="F34" s="644"/>
      <c r="G34" s="644"/>
      <c r="H34" s="644"/>
      <c r="I34" s="644"/>
      <c r="J34" s="644"/>
      <c r="K34" s="644"/>
      <c r="L34" s="644"/>
      <c r="M34" s="644"/>
      <c r="N34" s="644"/>
      <c r="O34" s="644"/>
      <c r="P34" s="644"/>
      <c r="Q34" s="644"/>
      <c r="R34" s="644"/>
      <c r="S34" s="644"/>
      <c r="T34" s="649">
        <v>23405</v>
      </c>
      <c r="U34" s="649">
        <v>17533</v>
      </c>
      <c r="V34" s="649">
        <v>26356</v>
      </c>
      <c r="W34" s="649">
        <v>31751</v>
      </c>
      <c r="X34" s="649">
        <v>33482</v>
      </c>
      <c r="Y34" s="649">
        <v>26092</v>
      </c>
      <c r="Z34" s="649">
        <v>25752</v>
      </c>
      <c r="AA34" s="649">
        <v>25587</v>
      </c>
      <c r="AB34" s="649">
        <v>25565</v>
      </c>
      <c r="AC34" s="649"/>
      <c r="AD34" s="645"/>
    </row>
    <row r="35" spans="1:30" ht="13">
      <c r="A35" s="644" t="s">
        <v>1254</v>
      </c>
      <c r="B35" s="644"/>
      <c r="C35" s="644"/>
      <c r="D35" s="644"/>
      <c r="E35" s="644"/>
      <c r="F35" s="644"/>
      <c r="G35" s="644"/>
      <c r="H35" s="644"/>
      <c r="I35" s="644"/>
      <c r="J35" s="644"/>
      <c r="K35" s="644"/>
      <c r="L35" s="644"/>
      <c r="M35" s="644"/>
      <c r="N35" s="644"/>
      <c r="O35" s="644"/>
      <c r="P35" s="644"/>
      <c r="Q35" s="644"/>
      <c r="R35" s="644"/>
      <c r="S35" s="644"/>
      <c r="T35" s="649">
        <v>12016</v>
      </c>
      <c r="U35" s="649">
        <v>9843</v>
      </c>
      <c r="V35" s="649">
        <v>12534</v>
      </c>
      <c r="W35" s="649">
        <v>12786</v>
      </c>
      <c r="X35" s="649">
        <v>14607</v>
      </c>
      <c r="Y35" s="649">
        <v>14260</v>
      </c>
      <c r="Z35" s="649">
        <v>14847</v>
      </c>
      <c r="AA35" s="649">
        <v>11927</v>
      </c>
      <c r="AB35" s="649">
        <v>12110</v>
      </c>
      <c r="AC35" s="649"/>
      <c r="AD35" s="645"/>
    </row>
    <row r="36" spans="1:30" ht="13">
      <c r="A36" s="901" t="s">
        <v>197</v>
      </c>
      <c r="B36" s="644"/>
      <c r="C36" s="644"/>
      <c r="D36" s="644"/>
      <c r="E36" s="644"/>
      <c r="F36" s="644"/>
      <c r="G36" s="561" t="s">
        <v>1250</v>
      </c>
      <c r="H36" s="644"/>
      <c r="I36" s="644"/>
      <c r="J36" s="644"/>
      <c r="K36" s="644"/>
      <c r="L36" s="561" t="s">
        <v>1250</v>
      </c>
      <c r="M36" s="644"/>
      <c r="N36" s="644"/>
      <c r="O36" s="644"/>
      <c r="P36" s="644"/>
      <c r="Q36" s="561" t="s">
        <v>1250</v>
      </c>
      <c r="R36" s="644"/>
      <c r="S36" s="644"/>
      <c r="T36" s="905"/>
      <c r="U36" s="905"/>
      <c r="V36" s="905"/>
      <c r="W36" s="905"/>
      <c r="X36" s="905"/>
      <c r="Y36" s="905"/>
      <c r="Z36" s="905"/>
      <c r="AA36" s="905"/>
      <c r="AB36" s="905"/>
      <c r="AC36" s="905"/>
      <c r="AD36" s="645"/>
    </row>
    <row r="37" spans="1:30" ht="13">
      <c r="A37" s="644" t="s">
        <v>1249</v>
      </c>
      <c r="B37" s="644"/>
      <c r="C37" s="644"/>
      <c r="D37" s="644"/>
      <c r="E37" s="644"/>
      <c r="F37" s="906"/>
      <c r="G37" s="907"/>
      <c r="H37" s="644"/>
      <c r="I37" s="644"/>
      <c r="J37" s="644"/>
      <c r="K37" s="644"/>
      <c r="L37" s="644"/>
      <c r="M37" s="644"/>
      <c r="N37" s="644"/>
      <c r="O37" s="644"/>
      <c r="P37" s="644"/>
      <c r="Q37" s="644"/>
      <c r="R37" s="644"/>
      <c r="S37" s="644"/>
      <c r="T37" s="649">
        <v>24010</v>
      </c>
      <c r="U37" s="649">
        <v>20202</v>
      </c>
      <c r="V37" s="649">
        <v>22520</v>
      </c>
      <c r="W37" s="649">
        <v>29356</v>
      </c>
      <c r="X37" s="649">
        <v>34054</v>
      </c>
      <c r="Y37" s="649">
        <v>29013</v>
      </c>
      <c r="Z37" s="649">
        <v>25718</v>
      </c>
      <c r="AA37" s="649">
        <v>26665</v>
      </c>
      <c r="AB37" s="649">
        <v>25043</v>
      </c>
      <c r="AC37" s="649"/>
      <c r="AD37" s="645"/>
    </row>
    <row r="38" spans="1:30" ht="13">
      <c r="A38" s="644" t="s">
        <v>1254</v>
      </c>
      <c r="B38" s="644"/>
      <c r="C38" s="644"/>
      <c r="D38" s="644"/>
      <c r="E38" s="644"/>
      <c r="F38" s="906"/>
      <c r="G38" s="907"/>
      <c r="H38" s="644"/>
      <c r="I38" s="644"/>
      <c r="J38" s="644"/>
      <c r="K38" s="644"/>
      <c r="L38" s="644"/>
      <c r="M38" s="644"/>
      <c r="N38" s="644"/>
      <c r="O38" s="644"/>
      <c r="P38" s="644"/>
      <c r="Q38" s="644"/>
      <c r="R38" s="644"/>
      <c r="S38" s="644"/>
      <c r="T38" s="649">
        <v>13126</v>
      </c>
      <c r="U38" s="649">
        <v>9627</v>
      </c>
      <c r="V38" s="649">
        <v>11485</v>
      </c>
      <c r="W38" s="649">
        <v>12918</v>
      </c>
      <c r="X38" s="649">
        <v>14658</v>
      </c>
      <c r="Y38" s="649">
        <v>13967</v>
      </c>
      <c r="Z38" s="649">
        <v>14739</v>
      </c>
      <c r="AA38" s="649">
        <v>12112</v>
      </c>
      <c r="AB38" s="649">
        <v>11794</v>
      </c>
      <c r="AC38" s="649"/>
      <c r="AD38" s="645"/>
    </row>
    <row r="39" spans="1:30" ht="13">
      <c r="A39" s="901" t="s">
        <v>189</v>
      </c>
      <c r="B39" s="644"/>
      <c r="C39" s="644"/>
      <c r="D39" s="644"/>
      <c r="E39" s="644"/>
      <c r="F39" s="644"/>
      <c r="G39" s="644"/>
      <c r="H39" s="644"/>
      <c r="I39" s="644"/>
      <c r="J39" s="644"/>
      <c r="K39" s="644"/>
      <c r="L39" s="644"/>
      <c r="M39" s="644"/>
      <c r="N39" s="644"/>
      <c r="O39" s="644"/>
      <c r="P39" s="644"/>
      <c r="Q39" s="644"/>
      <c r="R39" s="644"/>
      <c r="S39" s="644"/>
      <c r="T39" s="908"/>
      <c r="U39" s="908"/>
      <c r="V39" s="908"/>
      <c r="W39" s="908"/>
      <c r="X39" s="908"/>
      <c r="Y39" s="909"/>
      <c r="Z39" s="909"/>
      <c r="AA39" s="909"/>
      <c r="AB39" s="909"/>
      <c r="AC39" s="909"/>
      <c r="AD39" s="645"/>
    </row>
    <row r="40" spans="1:30" ht="13">
      <c r="A40" s="644" t="s">
        <v>1249</v>
      </c>
      <c r="B40" s="644"/>
      <c r="C40" s="644"/>
      <c r="D40" s="644"/>
      <c r="E40" s="644"/>
      <c r="F40" s="644"/>
      <c r="G40" s="644"/>
      <c r="H40" s="644"/>
      <c r="I40" s="644"/>
      <c r="J40" s="644"/>
      <c r="K40" s="644"/>
      <c r="L40" s="644"/>
      <c r="M40" s="644"/>
      <c r="N40" s="644"/>
      <c r="O40" s="644"/>
      <c r="P40" s="644"/>
      <c r="Q40" s="644"/>
      <c r="R40" s="644"/>
      <c r="S40" s="644"/>
      <c r="T40" s="649">
        <v>4923</v>
      </c>
      <c r="U40" s="649">
        <v>3591</v>
      </c>
      <c r="V40" s="649">
        <v>4919</v>
      </c>
      <c r="W40" s="649">
        <v>7196</v>
      </c>
      <c r="X40" s="649">
        <v>8335</v>
      </c>
      <c r="Y40" s="649">
        <v>6083</v>
      </c>
      <c r="Z40" s="649">
        <v>4307</v>
      </c>
      <c r="AA40" s="649">
        <v>4993</v>
      </c>
      <c r="AB40" s="649">
        <v>4465</v>
      </c>
      <c r="AC40" s="649"/>
      <c r="AD40" s="645"/>
    </row>
    <row r="41" spans="1:30" ht="13">
      <c r="A41" s="644" t="s">
        <v>1254</v>
      </c>
      <c r="B41" s="644"/>
      <c r="C41" s="644"/>
      <c r="D41" s="644"/>
      <c r="E41" s="644"/>
      <c r="F41" s="644"/>
      <c r="G41" s="644"/>
      <c r="H41" s="644"/>
      <c r="I41" s="644"/>
      <c r="J41" s="644"/>
      <c r="K41" s="644"/>
      <c r="L41" s="644"/>
      <c r="M41" s="644"/>
      <c r="N41" s="644"/>
      <c r="O41" s="644"/>
      <c r="P41" s="644"/>
      <c r="Q41" s="644"/>
      <c r="R41" s="644"/>
      <c r="S41" s="644"/>
      <c r="T41" s="649">
        <v>1643</v>
      </c>
      <c r="U41" s="649">
        <v>395</v>
      </c>
      <c r="V41" s="649">
        <v>1218</v>
      </c>
      <c r="W41" s="649">
        <v>1460</v>
      </c>
      <c r="X41" s="649">
        <v>1825</v>
      </c>
      <c r="Y41" s="649">
        <v>1733</v>
      </c>
      <c r="Z41" s="649">
        <v>1768</v>
      </c>
      <c r="AA41" s="649">
        <v>1883</v>
      </c>
      <c r="AB41" s="649">
        <v>1769</v>
      </c>
      <c r="AC41" s="649"/>
      <c r="AD41" s="645"/>
    </row>
    <row r="42" spans="1:30" ht="13">
      <c r="A42" s="901" t="s">
        <v>276</v>
      </c>
      <c r="B42" s="644"/>
      <c r="C42" s="644"/>
      <c r="D42" s="644"/>
      <c r="E42" s="644"/>
      <c r="F42" s="644"/>
      <c r="G42" s="644"/>
      <c r="H42" s="644"/>
      <c r="I42" s="644"/>
      <c r="J42" s="644"/>
      <c r="K42" s="644"/>
      <c r="L42" s="644"/>
      <c r="M42" s="644"/>
      <c r="N42" s="644"/>
      <c r="O42" s="644"/>
      <c r="P42" s="644"/>
      <c r="Q42" s="644"/>
      <c r="R42" s="644"/>
      <c r="S42" s="644"/>
      <c r="T42" s="649"/>
      <c r="U42" s="649"/>
      <c r="V42" s="649"/>
      <c r="W42" s="649"/>
      <c r="X42" s="649"/>
      <c r="Y42" s="649"/>
      <c r="Z42" s="649"/>
      <c r="AA42" s="649"/>
      <c r="AB42" s="649"/>
      <c r="AC42" s="649"/>
      <c r="AD42" s="645"/>
    </row>
    <row r="43" spans="1:30" ht="13">
      <c r="A43" s="644" t="s">
        <v>1249</v>
      </c>
      <c r="B43" s="644"/>
      <c r="C43" s="644"/>
      <c r="D43" s="644"/>
      <c r="E43" s="644"/>
      <c r="F43" s="644"/>
      <c r="G43" s="644"/>
      <c r="H43" s="644"/>
      <c r="I43" s="644"/>
      <c r="J43" s="644"/>
      <c r="K43" s="644"/>
      <c r="L43" s="644"/>
      <c r="M43" s="644"/>
      <c r="N43" s="644"/>
      <c r="O43" s="644"/>
      <c r="P43" s="644"/>
      <c r="Q43" s="644"/>
      <c r="R43" s="644"/>
      <c r="S43" s="644"/>
      <c r="T43" s="910">
        <v>0.20503956684714703</v>
      </c>
      <c r="U43" s="910">
        <v>0.17775467775467776</v>
      </c>
      <c r="V43" s="910">
        <v>0.21842806394316164</v>
      </c>
      <c r="W43" s="910">
        <v>0.24512876413680337</v>
      </c>
      <c r="X43" s="910">
        <v>0.24475832501321432</v>
      </c>
      <c r="Y43" s="910">
        <v>0.20966463309550892</v>
      </c>
      <c r="Z43" s="910">
        <v>0.16747025429660159</v>
      </c>
      <c r="AA43" s="910">
        <v>0.18724920307519219</v>
      </c>
      <c r="AB43" s="910">
        <v>0.17829333546300363</v>
      </c>
      <c r="AC43" s="910"/>
      <c r="AD43" s="645"/>
    </row>
    <row r="44" spans="1:30" ht="13">
      <c r="A44" s="644" t="s">
        <v>1254</v>
      </c>
      <c r="B44" s="644"/>
      <c r="C44" s="644"/>
      <c r="D44" s="644"/>
      <c r="E44" s="644"/>
      <c r="F44" s="644"/>
      <c r="G44" s="644"/>
      <c r="H44" s="644"/>
      <c r="I44" s="644"/>
      <c r="J44" s="644"/>
      <c r="K44" s="644"/>
      <c r="L44" s="644"/>
      <c r="M44" s="644"/>
      <c r="N44" s="644"/>
      <c r="O44" s="644"/>
      <c r="P44" s="644"/>
      <c r="Q44" s="644"/>
      <c r="R44" s="644"/>
      <c r="S44" s="644"/>
      <c r="T44" s="910">
        <v>0.12517141551119915</v>
      </c>
      <c r="U44" s="910">
        <v>4.1030435234237043E-2</v>
      </c>
      <c r="V44" s="910">
        <v>0.10605137135393992</v>
      </c>
      <c r="W44" s="910">
        <v>0.11302059142282087</v>
      </c>
      <c r="X44" s="910">
        <v>0.1245053895483695</v>
      </c>
      <c r="Y44" s="910">
        <v>0.12407818429154435</v>
      </c>
      <c r="Z44" s="910">
        <v>0.11995386389850057</v>
      </c>
      <c r="AA44" s="910">
        <v>0.15546565389696168</v>
      </c>
      <c r="AB44" s="910">
        <v>0.15007630998812957</v>
      </c>
      <c r="AC44" s="910"/>
      <c r="AD44" s="645"/>
    </row>
    <row r="45" spans="1:30" ht="13">
      <c r="A45" s="911" t="s">
        <v>1244</v>
      </c>
      <c r="B45" s="561"/>
      <c r="C45" s="561"/>
      <c r="D45" s="561"/>
      <c r="E45" s="561"/>
      <c r="F45" s="561"/>
      <c r="G45" s="561"/>
      <c r="H45" s="561"/>
      <c r="I45" s="561"/>
      <c r="J45" s="561"/>
      <c r="K45" s="561"/>
      <c r="L45" s="561"/>
      <c r="M45" s="561"/>
      <c r="N45" s="561"/>
      <c r="O45" s="561"/>
      <c r="P45" s="561"/>
      <c r="Q45" s="561"/>
      <c r="R45" s="561"/>
      <c r="S45" s="561"/>
      <c r="T45" s="561">
        <v>-292</v>
      </c>
      <c r="U45" s="561">
        <v>-569</v>
      </c>
      <c r="V45" s="561">
        <v>-394</v>
      </c>
      <c r="W45" s="561">
        <v>-160</v>
      </c>
      <c r="X45" s="561">
        <v>-182</v>
      </c>
      <c r="Y45" s="561">
        <v>63</v>
      </c>
      <c r="Z45" s="561">
        <v>-729</v>
      </c>
      <c r="AA45" s="561">
        <v>-359</v>
      </c>
      <c r="AB45" s="561">
        <v>-264</v>
      </c>
      <c r="AC45" s="561"/>
      <c r="AD45" s="645"/>
    </row>
    <row r="46" spans="1:30" ht="13">
      <c r="A46" s="644" t="s">
        <v>1249</v>
      </c>
      <c r="B46" s="644"/>
      <c r="C46" s="644"/>
      <c r="D46" s="644"/>
      <c r="E46" s="644"/>
      <c r="F46" s="644"/>
      <c r="G46" s="644"/>
      <c r="H46" s="644"/>
      <c r="I46" s="644"/>
      <c r="J46" s="644"/>
      <c r="K46" s="644"/>
      <c r="L46" s="644"/>
      <c r="M46" s="644"/>
      <c r="N46" s="644"/>
      <c r="O46" s="644"/>
      <c r="P46" s="644"/>
      <c r="Q46" s="644"/>
      <c r="R46" s="644"/>
      <c r="S46" s="644"/>
      <c r="T46" s="649">
        <v>-59</v>
      </c>
      <c r="U46" s="649">
        <v>-81</v>
      </c>
      <c r="V46" s="649"/>
      <c r="W46" s="649"/>
      <c r="X46" s="649"/>
      <c r="Y46" s="649">
        <v>-120</v>
      </c>
      <c r="Z46" s="649">
        <v>-415</v>
      </c>
      <c r="AA46" s="649">
        <v>-65</v>
      </c>
      <c r="AB46" s="649">
        <v>0</v>
      </c>
      <c r="AC46" s="649"/>
      <c r="AD46" s="645"/>
    </row>
    <row r="47" spans="1:30" ht="13">
      <c r="A47" s="644" t="s">
        <v>1254</v>
      </c>
      <c r="B47" s="644"/>
      <c r="C47" s="644"/>
      <c r="D47" s="644"/>
      <c r="E47" s="644"/>
      <c r="F47" s="644"/>
      <c r="G47" s="644"/>
      <c r="H47" s="644"/>
      <c r="I47" s="644"/>
      <c r="J47" s="644"/>
      <c r="K47" s="644"/>
      <c r="L47" s="644"/>
      <c r="M47" s="644"/>
      <c r="N47" s="644"/>
      <c r="O47" s="644"/>
      <c r="P47" s="644"/>
      <c r="Q47" s="644"/>
      <c r="R47" s="644"/>
      <c r="S47" s="644"/>
      <c r="T47" s="905">
        <v>-61</v>
      </c>
      <c r="U47" s="905">
        <v>-70</v>
      </c>
      <c r="V47" s="905">
        <v>-100</v>
      </c>
      <c r="W47" s="905">
        <v>-105</v>
      </c>
      <c r="X47" s="905">
        <v>-65</v>
      </c>
      <c r="Y47" s="905"/>
      <c r="Z47" s="905"/>
      <c r="AA47" s="905">
        <v>-95</v>
      </c>
      <c r="AB47" s="905">
        <v>0</v>
      </c>
      <c r="AC47" s="905"/>
      <c r="AD47" s="645"/>
    </row>
    <row r="48" spans="1:30" ht="13">
      <c r="A48" s="901" t="s">
        <v>1245</v>
      </c>
      <c r="B48" s="644"/>
      <c r="C48" s="644"/>
      <c r="D48" s="644"/>
      <c r="E48" s="644"/>
      <c r="F48" s="644"/>
      <c r="G48" s="644"/>
      <c r="H48" s="644"/>
      <c r="I48" s="644"/>
      <c r="J48" s="644"/>
      <c r="K48" s="644"/>
      <c r="L48" s="644"/>
      <c r="M48" s="644"/>
      <c r="N48" s="644"/>
      <c r="O48" s="644"/>
      <c r="P48" s="644"/>
      <c r="Q48" s="644"/>
      <c r="R48" s="644"/>
      <c r="S48" s="644"/>
      <c r="T48" s="905"/>
      <c r="U48" s="905"/>
      <c r="V48" s="905"/>
      <c r="W48" s="905"/>
      <c r="X48" s="905"/>
      <c r="Y48" s="905"/>
      <c r="Z48" s="905"/>
      <c r="AA48" s="905"/>
      <c r="AB48" s="905"/>
      <c r="AC48" s="905"/>
      <c r="AD48" s="645"/>
    </row>
    <row r="49" spans="1:30" ht="13">
      <c r="A49" s="644" t="s">
        <v>1249</v>
      </c>
      <c r="B49" s="644"/>
      <c r="C49" s="644"/>
      <c r="D49" s="644"/>
      <c r="E49" s="644"/>
      <c r="F49" s="644"/>
      <c r="G49" s="644"/>
      <c r="H49" s="644"/>
      <c r="I49" s="644"/>
      <c r="J49" s="644"/>
      <c r="K49" s="644"/>
      <c r="L49" s="644"/>
      <c r="M49" s="644"/>
      <c r="N49" s="644"/>
      <c r="O49" s="644"/>
      <c r="P49" s="644"/>
      <c r="Q49" s="644"/>
      <c r="R49" s="644"/>
      <c r="S49" s="644"/>
      <c r="T49" s="910">
        <v>0.20749687630154101</v>
      </c>
      <c r="U49" s="910">
        <v>0.18176418176418177</v>
      </c>
      <c r="V49" s="910">
        <v>0.21842806394316164</v>
      </c>
      <c r="W49" s="910">
        <v>0.24512876413680337</v>
      </c>
      <c r="X49" s="910">
        <v>0.24475832501321432</v>
      </c>
      <c r="Y49" s="910">
        <v>0.21380071002653983</v>
      </c>
      <c r="Z49" s="910">
        <v>0.18360681234932733</v>
      </c>
      <c r="AA49" s="910">
        <v>0.18968685542846428</v>
      </c>
      <c r="AB49" s="910">
        <v>0.17829333546300363</v>
      </c>
      <c r="AC49" s="910"/>
      <c r="AD49" s="645"/>
    </row>
    <row r="50" spans="1:30" ht="13">
      <c r="A50" s="644" t="s">
        <v>1254</v>
      </c>
      <c r="B50" s="644"/>
      <c r="C50" s="644"/>
      <c r="D50" s="644"/>
      <c r="E50" s="644"/>
      <c r="F50" s="644"/>
      <c r="G50" s="644"/>
      <c r="H50" s="644"/>
      <c r="I50" s="644"/>
      <c r="J50" s="644"/>
      <c r="K50" s="644"/>
      <c r="L50" s="644"/>
      <c r="M50" s="644"/>
      <c r="N50" s="644"/>
      <c r="O50" s="644"/>
      <c r="P50" s="644"/>
      <c r="Q50" s="644"/>
      <c r="R50" s="644"/>
      <c r="S50" s="644"/>
      <c r="T50" s="910">
        <v>0.12981868048148712</v>
      </c>
      <c r="U50" s="910">
        <v>4.8301651604861329E-2</v>
      </c>
      <c r="V50" s="910">
        <v>0.11475838049629952</v>
      </c>
      <c r="W50" s="910">
        <v>0.12114878464158539</v>
      </c>
      <c r="X50" s="910">
        <v>0.12893982808022922</v>
      </c>
      <c r="Y50" s="910">
        <v>0.12407818429154435</v>
      </c>
      <c r="Z50" s="910">
        <v>0.11995386389850057</v>
      </c>
      <c r="AA50" s="910">
        <v>0.16330911492734479</v>
      </c>
      <c r="AB50" s="910">
        <v>0.14999152111243005</v>
      </c>
      <c r="AC50" s="910"/>
      <c r="AD50" s="645"/>
    </row>
    <row r="51" spans="1:30" ht="13.5" customHeight="1">
      <c r="A51" s="899" t="s">
        <v>1255</v>
      </c>
      <c r="B51" s="916"/>
      <c r="C51" s="916"/>
      <c r="D51" s="916"/>
      <c r="E51" s="916"/>
      <c r="F51" s="900"/>
      <c r="G51" s="916"/>
      <c r="H51" s="916"/>
      <c r="I51" s="916"/>
      <c r="J51" s="916"/>
      <c r="K51" s="916"/>
      <c r="L51" s="916"/>
      <c r="M51" s="916"/>
      <c r="N51" s="900"/>
      <c r="O51" s="916"/>
      <c r="P51" s="916"/>
      <c r="Q51" s="916"/>
      <c r="R51" s="916"/>
      <c r="S51" s="916"/>
      <c r="T51" s="916"/>
      <c r="U51" s="916"/>
      <c r="V51" s="916"/>
      <c r="W51" s="916"/>
      <c r="X51" s="916"/>
      <c r="Y51" s="916"/>
      <c r="Z51" s="916"/>
      <c r="AA51" s="916"/>
      <c r="AB51" s="916"/>
      <c r="AC51" s="916"/>
      <c r="AD51" s="822"/>
    </row>
    <row r="52" spans="1:30" ht="13">
      <c r="A52" s="914"/>
      <c r="B52" s="915"/>
      <c r="C52" s="915"/>
      <c r="D52" s="915"/>
      <c r="E52" s="915"/>
      <c r="F52" s="915"/>
      <c r="G52" s="915"/>
      <c r="H52" s="915"/>
      <c r="I52" s="915"/>
      <c r="J52" s="915"/>
      <c r="K52" s="915"/>
      <c r="L52" s="915"/>
      <c r="M52" s="915"/>
      <c r="N52" s="917" t="s">
        <v>1256</v>
      </c>
      <c r="O52" s="915"/>
      <c r="P52" s="915" t="s">
        <v>1257</v>
      </c>
      <c r="Q52" s="893" t="s">
        <v>1258</v>
      </c>
      <c r="R52" s="894"/>
      <c r="S52" s="894"/>
      <c r="T52" s="894"/>
      <c r="U52" s="894"/>
      <c r="V52" s="894"/>
      <c r="W52" s="644"/>
      <c r="X52" s="644"/>
      <c r="Y52" s="644"/>
      <c r="Z52" s="644"/>
      <c r="AA52" s="644"/>
      <c r="AB52" s="644"/>
      <c r="AC52" s="644"/>
      <c r="AD52" s="645"/>
    </row>
    <row r="53" spans="1:30" ht="13">
      <c r="A53" s="893" t="s">
        <v>261</v>
      </c>
      <c r="B53" s="894">
        <v>1990</v>
      </c>
      <c r="C53" s="894">
        <v>1991</v>
      </c>
      <c r="D53" s="894">
        <v>1992</v>
      </c>
      <c r="E53" s="894">
        <v>1993</v>
      </c>
      <c r="F53" s="894">
        <v>1994</v>
      </c>
      <c r="G53" s="894">
        <v>1995</v>
      </c>
      <c r="H53" s="894">
        <v>1996</v>
      </c>
      <c r="I53" s="894">
        <v>1997</v>
      </c>
      <c r="J53" s="894">
        <v>1998</v>
      </c>
      <c r="K53" s="894">
        <v>1999</v>
      </c>
      <c r="L53" s="894">
        <v>2000</v>
      </c>
      <c r="M53" s="894">
        <v>2001</v>
      </c>
      <c r="N53" s="894">
        <v>2002</v>
      </c>
      <c r="O53" s="894">
        <v>2003</v>
      </c>
      <c r="P53" s="894">
        <v>2004</v>
      </c>
      <c r="Q53" s="894">
        <v>2005</v>
      </c>
      <c r="R53" s="894">
        <v>2006</v>
      </c>
      <c r="S53" s="894">
        <v>2007</v>
      </c>
      <c r="T53" s="894">
        <v>2008</v>
      </c>
      <c r="U53" s="894">
        <v>2009</v>
      </c>
      <c r="V53" s="894">
        <v>2010</v>
      </c>
      <c r="W53" s="644"/>
      <c r="X53" s="644"/>
      <c r="Y53" s="644"/>
      <c r="Z53" s="644"/>
      <c r="AA53" s="644"/>
      <c r="AB53" s="644"/>
      <c r="AC53" s="644"/>
      <c r="AD53" s="645"/>
    </row>
    <row r="54" spans="1:30" ht="13">
      <c r="A54" s="901" t="s">
        <v>474</v>
      </c>
      <c r="B54" s="644"/>
      <c r="C54" s="644"/>
      <c r="D54" s="902"/>
      <c r="E54" s="902"/>
      <c r="F54" s="644"/>
      <c r="G54" s="644"/>
      <c r="H54" s="644"/>
      <c r="I54" s="644"/>
      <c r="J54" s="902"/>
      <c r="K54" s="644"/>
      <c r="L54" s="644"/>
      <c r="M54" s="902"/>
      <c r="N54" s="902"/>
      <c r="O54" s="902"/>
      <c r="P54" s="902"/>
      <c r="Q54" s="902"/>
      <c r="R54" s="902"/>
      <c r="S54" s="902"/>
      <c r="T54" s="902"/>
      <c r="U54" s="902"/>
      <c r="V54" s="902"/>
      <c r="W54" s="644"/>
      <c r="X54" s="644"/>
      <c r="Y54" s="644"/>
      <c r="Z54" s="644"/>
      <c r="AA54" s="644"/>
      <c r="AB54" s="644"/>
      <c r="AC54" s="644"/>
      <c r="AD54" s="645"/>
    </row>
    <row r="55" spans="1:30" ht="13">
      <c r="A55" s="644" t="s">
        <v>1259</v>
      </c>
      <c r="B55" s="649">
        <v>4945</v>
      </c>
      <c r="C55" s="649">
        <v>4523</v>
      </c>
      <c r="D55" s="649">
        <v>4305</v>
      </c>
      <c r="E55" s="649">
        <v>5181</v>
      </c>
      <c r="F55" s="649">
        <v>5789</v>
      </c>
      <c r="G55" s="649">
        <v>6144</v>
      </c>
      <c r="H55" s="649">
        <v>5867</v>
      </c>
      <c r="I55" s="649">
        <v>6652</v>
      </c>
      <c r="J55" s="649">
        <v>6117</v>
      </c>
      <c r="K55" s="649">
        <v>6062</v>
      </c>
      <c r="L55" s="649">
        <v>6921</v>
      </c>
      <c r="M55" s="649">
        <v>7282</v>
      </c>
      <c r="N55" s="649">
        <v>7633</v>
      </c>
      <c r="O55" s="649">
        <v>7980</v>
      </c>
      <c r="P55" s="649">
        <v>11177</v>
      </c>
      <c r="Q55" s="649">
        <v>16581</v>
      </c>
      <c r="R55" s="649">
        <v>20563</v>
      </c>
      <c r="S55" s="649">
        <v>27447</v>
      </c>
      <c r="T55" s="649">
        <v>30129</v>
      </c>
      <c r="U55" s="649">
        <v>23500</v>
      </c>
      <c r="V55" s="649">
        <v>33436</v>
      </c>
      <c r="W55" s="644"/>
      <c r="X55" s="644"/>
      <c r="Y55" s="644"/>
      <c r="Z55" s="644"/>
      <c r="AA55" s="644"/>
      <c r="AB55" s="644"/>
      <c r="AC55" s="644"/>
      <c r="AD55" s="645"/>
    </row>
    <row r="56" spans="1:30" ht="13">
      <c r="A56" s="901" t="s">
        <v>197</v>
      </c>
      <c r="B56" s="644"/>
      <c r="C56" s="644"/>
      <c r="D56" s="644"/>
      <c r="E56" s="644"/>
      <c r="F56" s="644"/>
      <c r="G56" s="644"/>
      <c r="H56" s="644"/>
      <c r="I56" s="644"/>
      <c r="J56" s="644"/>
      <c r="K56" s="644"/>
      <c r="L56" s="644"/>
      <c r="M56" s="644"/>
      <c r="N56" s="644"/>
      <c r="O56" s="644"/>
      <c r="P56" s="644"/>
      <c r="Q56" s="644"/>
      <c r="R56" s="905" t="s">
        <v>1260</v>
      </c>
      <c r="S56" s="905"/>
      <c r="T56" s="905"/>
      <c r="U56" s="905"/>
      <c r="V56" s="905"/>
      <c r="W56" s="644"/>
      <c r="X56" s="644"/>
      <c r="Y56" s="644"/>
      <c r="Z56" s="644"/>
      <c r="AA56" s="644"/>
      <c r="AB56" s="644"/>
      <c r="AC56" s="644"/>
      <c r="AD56" s="645"/>
    </row>
    <row r="57" spans="1:30" ht="13">
      <c r="A57" s="644" t="s">
        <v>1259</v>
      </c>
      <c r="B57" s="649">
        <v>4855</v>
      </c>
      <c r="C57" s="649">
        <v>4497</v>
      </c>
      <c r="D57" s="649">
        <v>4254</v>
      </c>
      <c r="E57" s="649">
        <v>5257</v>
      </c>
      <c r="F57" s="649">
        <v>5472</v>
      </c>
      <c r="G57" s="649">
        <v>6194</v>
      </c>
      <c r="H57" s="649">
        <v>5921</v>
      </c>
      <c r="I57" s="649">
        <v>6453</v>
      </c>
      <c r="J57" s="649">
        <v>6437</v>
      </c>
      <c r="K57" s="649">
        <v>5725</v>
      </c>
      <c r="L57" s="649">
        <v>7083</v>
      </c>
      <c r="M57" s="649">
        <v>7253</v>
      </c>
      <c r="N57" s="649">
        <v>7618</v>
      </c>
      <c r="O57" s="649">
        <v>7894</v>
      </c>
      <c r="P57" s="649">
        <v>10454</v>
      </c>
      <c r="Q57" s="649">
        <v>15154</v>
      </c>
      <c r="R57" s="649">
        <v>18914</v>
      </c>
      <c r="S57" s="649">
        <v>25140</v>
      </c>
      <c r="T57" s="649">
        <v>31660</v>
      </c>
      <c r="U57" s="649">
        <v>25909</v>
      </c>
      <c r="V57" s="649">
        <v>29156</v>
      </c>
      <c r="W57" s="644"/>
      <c r="X57" s="644"/>
      <c r="Y57" s="644"/>
      <c r="Z57" s="644"/>
      <c r="AA57" s="644"/>
      <c r="AB57" s="644"/>
      <c r="AC57" s="644"/>
      <c r="AD57" s="645"/>
    </row>
    <row r="58" spans="1:30" ht="13">
      <c r="A58" s="901" t="s">
        <v>189</v>
      </c>
      <c r="B58" s="649"/>
      <c r="C58" s="649"/>
      <c r="D58" s="649"/>
      <c r="E58" s="649"/>
      <c r="F58" s="649"/>
      <c r="G58" s="649"/>
      <c r="H58" s="649"/>
      <c r="I58" s="649"/>
      <c r="J58" s="649"/>
      <c r="K58" s="649"/>
      <c r="L58" s="649"/>
      <c r="M58" s="649"/>
      <c r="N58" s="649"/>
      <c r="O58" s="649"/>
      <c r="P58" s="649"/>
      <c r="Q58" s="908"/>
      <c r="R58" s="908"/>
      <c r="S58" s="908"/>
      <c r="T58" s="908"/>
      <c r="U58" s="908"/>
      <c r="V58" s="908"/>
      <c r="W58" s="644"/>
      <c r="X58" s="644"/>
      <c r="Y58" s="644"/>
      <c r="Z58" s="644"/>
      <c r="AA58" s="644"/>
      <c r="AB58" s="644"/>
      <c r="AC58" s="644"/>
      <c r="AD58" s="645"/>
    </row>
    <row r="59" spans="1:30" ht="13">
      <c r="A59" s="644" t="s">
        <v>1259</v>
      </c>
      <c r="B59" s="649">
        <v>-2</v>
      </c>
      <c r="C59" s="649">
        <v>-53</v>
      </c>
      <c r="D59" s="649">
        <v>158</v>
      </c>
      <c r="E59" s="649">
        <v>102</v>
      </c>
      <c r="F59" s="649">
        <v>58</v>
      </c>
      <c r="G59" s="649">
        <v>394</v>
      </c>
      <c r="H59" s="649">
        <v>396</v>
      </c>
      <c r="I59" s="649">
        <v>387</v>
      </c>
      <c r="J59" s="649">
        <v>498</v>
      </c>
      <c r="K59" s="649">
        <v>397</v>
      </c>
      <c r="L59" s="649">
        <v>650</v>
      </c>
      <c r="M59" s="649">
        <v>736</v>
      </c>
      <c r="N59" s="649">
        <v>680</v>
      </c>
      <c r="O59" s="649">
        <v>675</v>
      </c>
      <c r="P59" s="649">
        <v>1115</v>
      </c>
      <c r="Q59" s="649">
        <v>2073</v>
      </c>
      <c r="R59" s="649">
        <v>3010</v>
      </c>
      <c r="S59" s="649">
        <v>4384</v>
      </c>
      <c r="T59" s="649">
        <v>5602</v>
      </c>
      <c r="U59" s="649">
        <v>3470</v>
      </c>
      <c r="V59" s="649">
        <v>5243</v>
      </c>
      <c r="W59" s="644"/>
      <c r="X59" s="644"/>
      <c r="Y59" s="644"/>
      <c r="Z59" s="644"/>
      <c r="AA59" s="644"/>
      <c r="AB59" s="644"/>
      <c r="AC59" s="644"/>
      <c r="AD59" s="645"/>
    </row>
    <row r="60" spans="1:30" ht="13">
      <c r="A60" s="901" t="s">
        <v>276</v>
      </c>
      <c r="B60" s="649"/>
      <c r="C60" s="649"/>
      <c r="D60" s="649"/>
      <c r="E60" s="649"/>
      <c r="F60" s="649"/>
      <c r="G60" s="649"/>
      <c r="H60" s="649"/>
      <c r="I60" s="649"/>
      <c r="J60" s="649"/>
      <c r="K60" s="649"/>
      <c r="L60" s="649"/>
      <c r="M60" s="649"/>
      <c r="N60" s="649"/>
      <c r="O60" s="649"/>
      <c r="P60" s="649"/>
      <c r="Q60" s="649"/>
      <c r="R60" s="649"/>
      <c r="S60" s="649"/>
      <c r="T60" s="649"/>
      <c r="U60" s="649"/>
      <c r="V60" s="649"/>
      <c r="W60" s="644"/>
      <c r="X60" s="644"/>
      <c r="Y60" s="644"/>
      <c r="Z60" s="644"/>
      <c r="AA60" s="644"/>
      <c r="AB60" s="644"/>
      <c r="AC60" s="644"/>
      <c r="AD60" s="645"/>
    </row>
    <row r="61" spans="1:30" ht="13">
      <c r="A61" s="644" t="s">
        <v>1259</v>
      </c>
      <c r="B61" s="910">
        <v>-4.1194644696189496E-4</v>
      </c>
      <c r="C61" s="910">
        <v>-1.1785634867689571E-2</v>
      </c>
      <c r="D61" s="910">
        <v>3.7141513869299481E-2</v>
      </c>
      <c r="E61" s="910">
        <v>1.9402701160357617E-2</v>
      </c>
      <c r="F61" s="910">
        <v>1.0599415204678362E-2</v>
      </c>
      <c r="G61" s="910">
        <v>6.3609945108169197E-2</v>
      </c>
      <c r="H61" s="910">
        <v>6.6880594494173287E-2</v>
      </c>
      <c r="I61" s="910">
        <v>5.9972105997210597E-2</v>
      </c>
      <c r="J61" s="910">
        <v>7.7365232251048618E-2</v>
      </c>
      <c r="K61" s="910">
        <v>6.9344978165938861E-2</v>
      </c>
      <c r="L61" s="910">
        <v>9.1769024424678811E-2</v>
      </c>
      <c r="M61" s="910">
        <v>0.1014752516200193</v>
      </c>
      <c r="N61" s="910">
        <v>8.9262273562614861E-2</v>
      </c>
      <c r="O61" s="910">
        <v>8.5507980744869524E-2</v>
      </c>
      <c r="P61" s="910">
        <v>0.10665773866462598</v>
      </c>
      <c r="Q61" s="910">
        <v>0.13679556552725353</v>
      </c>
      <c r="R61" s="910">
        <v>0.15914137675795706</v>
      </c>
      <c r="S61" s="910">
        <v>0.17438345266507557</v>
      </c>
      <c r="T61" s="910">
        <v>0.17694251421351864</v>
      </c>
      <c r="U61" s="910">
        <v>0.13393029449226138</v>
      </c>
      <c r="V61" s="910">
        <v>0.17982576485114557</v>
      </c>
      <c r="W61" s="644"/>
      <c r="X61" s="644"/>
      <c r="Y61" s="644"/>
      <c r="Z61" s="644"/>
      <c r="AA61" s="644"/>
      <c r="AB61" s="644"/>
      <c r="AC61" s="644"/>
      <c r="AD61" s="645"/>
    </row>
    <row r="62" spans="1:30" ht="13">
      <c r="A62" s="901" t="s">
        <v>71</v>
      </c>
      <c r="B62" s="649">
        <v>-194</v>
      </c>
      <c r="C62" s="649">
        <v>-190</v>
      </c>
      <c r="D62" s="649">
        <v>-100</v>
      </c>
      <c r="E62" s="649">
        <v>-100</v>
      </c>
      <c r="F62" s="649">
        <v>0</v>
      </c>
      <c r="G62" s="649">
        <v>0</v>
      </c>
      <c r="H62" s="649">
        <v>0</v>
      </c>
      <c r="I62" s="649">
        <v>0</v>
      </c>
      <c r="J62" s="649">
        <v>0</v>
      </c>
      <c r="K62" s="649">
        <v>83</v>
      </c>
      <c r="L62" s="649">
        <v>-26</v>
      </c>
      <c r="M62" s="649">
        <v>-260</v>
      </c>
      <c r="N62" s="649">
        <v>389</v>
      </c>
      <c r="O62" s="649">
        <v>77</v>
      </c>
      <c r="P62" s="649">
        <v>-58</v>
      </c>
      <c r="Q62" s="649">
        <v>0</v>
      </c>
      <c r="R62" s="649">
        <v>-83</v>
      </c>
      <c r="S62" s="649">
        <v>70</v>
      </c>
      <c r="T62" s="649">
        <v>-292</v>
      </c>
      <c r="U62" s="649">
        <v>-569</v>
      </c>
      <c r="V62" s="649">
        <v>-100</v>
      </c>
      <c r="W62" s="644"/>
      <c r="X62" s="644"/>
      <c r="Y62" s="644"/>
      <c r="Z62" s="644"/>
      <c r="AA62" s="644"/>
      <c r="AB62" s="644"/>
      <c r="AC62" s="644"/>
      <c r="AD62" s="645"/>
    </row>
    <row r="63" spans="1:30" ht="13">
      <c r="A63" s="644" t="s">
        <v>1259</v>
      </c>
      <c r="B63" s="649"/>
      <c r="C63" s="649"/>
      <c r="D63" s="649"/>
      <c r="E63" s="649"/>
      <c r="F63" s="649"/>
      <c r="G63" s="649"/>
      <c r="H63" s="649"/>
      <c r="I63" s="649"/>
      <c r="J63" s="649"/>
      <c r="K63" s="649"/>
      <c r="L63" s="649"/>
      <c r="M63" s="649"/>
      <c r="N63" s="649">
        <v>-68</v>
      </c>
      <c r="O63" s="649">
        <v>-54</v>
      </c>
      <c r="P63" s="649">
        <v>-58</v>
      </c>
      <c r="Q63" s="649"/>
      <c r="R63" s="905"/>
      <c r="S63" s="649"/>
      <c r="T63" s="649">
        <v>-110</v>
      </c>
      <c r="U63" s="649">
        <v>-143</v>
      </c>
      <c r="V63" s="649">
        <v>-100</v>
      </c>
      <c r="W63" s="644"/>
      <c r="X63" s="644"/>
      <c r="Y63" s="644"/>
      <c r="Z63" s="644"/>
      <c r="AA63" s="644"/>
      <c r="AB63" s="644"/>
      <c r="AC63" s="644"/>
      <c r="AD63" s="645"/>
    </row>
    <row r="64" spans="1:30" ht="13">
      <c r="A64" s="901" t="s">
        <v>1245</v>
      </c>
      <c r="B64" s="649"/>
      <c r="C64" s="649"/>
      <c r="D64" s="649"/>
      <c r="E64" s="649"/>
      <c r="F64" s="649"/>
      <c r="G64" s="649"/>
      <c r="H64" s="649"/>
      <c r="I64" s="649"/>
      <c r="J64" s="649"/>
      <c r="K64" s="649"/>
      <c r="L64" s="649"/>
      <c r="M64" s="649"/>
      <c r="N64" s="649"/>
      <c r="O64" s="649"/>
      <c r="P64" s="649"/>
      <c r="Q64" s="649"/>
      <c r="R64" s="905"/>
      <c r="S64" s="905"/>
      <c r="T64" s="905"/>
      <c r="U64" s="905"/>
      <c r="V64" s="905"/>
      <c r="W64" s="644"/>
      <c r="X64" s="644"/>
      <c r="Y64" s="644"/>
      <c r="Z64" s="644"/>
      <c r="AA64" s="644"/>
      <c r="AB64" s="644"/>
      <c r="AC64" s="644"/>
      <c r="AD64" s="645"/>
    </row>
    <row r="65" spans="1:30" ht="13">
      <c r="A65" s="644" t="s">
        <v>1259</v>
      </c>
      <c r="B65" s="910">
        <v>-4.1194644696189496E-4</v>
      </c>
      <c r="C65" s="910">
        <v>-1.1785634867689571E-2</v>
      </c>
      <c r="D65" s="910">
        <v>3.7141513869299481E-2</v>
      </c>
      <c r="E65" s="910">
        <v>1.9402701160357617E-2</v>
      </c>
      <c r="F65" s="910">
        <v>1.0599415204678362E-2</v>
      </c>
      <c r="G65" s="910">
        <v>6.3609945108169197E-2</v>
      </c>
      <c r="H65" s="910">
        <v>6.6880594494173287E-2</v>
      </c>
      <c r="I65" s="910">
        <v>5.9972105997210597E-2</v>
      </c>
      <c r="J65" s="910">
        <v>7.7365232251048618E-2</v>
      </c>
      <c r="K65" s="910">
        <v>6.9344978165938861E-2</v>
      </c>
      <c r="L65" s="910">
        <v>9.1769024424678811E-2</v>
      </c>
      <c r="M65" s="910">
        <v>0.1014752516200193</v>
      </c>
      <c r="N65" s="910">
        <v>9.8188500918876348E-2</v>
      </c>
      <c r="O65" s="910">
        <v>9.2348619204459081E-2</v>
      </c>
      <c r="P65" s="910">
        <v>0.11220585421848096</v>
      </c>
      <c r="Q65" s="910">
        <v>0.13679556552725353</v>
      </c>
      <c r="R65" s="910">
        <v>0.15914137675795706</v>
      </c>
      <c r="S65" s="910">
        <v>0.17438345266507557</v>
      </c>
      <c r="T65" s="910">
        <v>0.18041692987997474</v>
      </c>
      <c r="U65" s="910">
        <v>0.13944961210390211</v>
      </c>
      <c r="V65" s="910">
        <v>0.18325559061599669</v>
      </c>
      <c r="W65" s="644"/>
      <c r="X65" s="644"/>
      <c r="Y65" s="644"/>
      <c r="Z65" s="644"/>
      <c r="AA65" s="644"/>
      <c r="AB65" s="644"/>
      <c r="AC65" s="644"/>
      <c r="AD65" s="645"/>
    </row>
  </sheetData>
  <dataConsolidate link="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90C2-92A4-429B-B91A-155FF206BFC3}">
  <sheetPr>
    <tabColor rgb="FFFFCD00"/>
    <pageSetUpPr fitToPage="1"/>
  </sheetPr>
  <dimension ref="A1:C38"/>
  <sheetViews>
    <sheetView showGridLines="0" workbookViewId="0"/>
  </sheetViews>
  <sheetFormatPr baseColWidth="10" defaultColWidth="10" defaultRowHeight="13.5" customHeight="1"/>
  <cols>
    <col min="1" max="1" width="35.33203125" bestFit="1" customWidth="1"/>
    <col min="2" max="2" width="46.6640625" customWidth="1"/>
    <col min="3" max="3" width="53.5" bestFit="1" customWidth="1"/>
  </cols>
  <sheetData>
    <row r="1" spans="1:3" ht="17" thickBot="1">
      <c r="A1" s="15" t="s">
        <v>29</v>
      </c>
      <c r="B1" s="16"/>
      <c r="C1" s="17"/>
    </row>
    <row r="2" spans="1:3" ht="15" thickTop="1" thickBot="1">
      <c r="A2" s="18" t="s">
        <v>30</v>
      </c>
      <c r="B2" s="19"/>
      <c r="C2" s="19"/>
    </row>
    <row r="3" spans="1:3" ht="54" customHeight="1" thickTop="1">
      <c r="A3" s="1143" t="s">
        <v>31</v>
      </c>
      <c r="B3" s="1143"/>
      <c r="C3" s="1143"/>
    </row>
    <row r="4" spans="1:3" ht="54" customHeight="1">
      <c r="A4" s="1143" t="s">
        <v>32</v>
      </c>
      <c r="B4" s="1143"/>
      <c r="C4" s="1143"/>
    </row>
    <row r="5" spans="1:3" ht="54" customHeight="1">
      <c r="A5" s="1144" t="s">
        <v>33</v>
      </c>
      <c r="B5" s="1143"/>
      <c r="C5" s="1143"/>
    </row>
    <row r="6" spans="1:3" ht="21.75" customHeight="1">
      <c r="A6" s="20" t="s">
        <v>34</v>
      </c>
      <c r="B6" s="20" t="s">
        <v>35</v>
      </c>
      <c r="C6" s="20" t="s">
        <v>36</v>
      </c>
    </row>
    <row r="7" spans="1:3" ht="21.75" customHeight="1">
      <c r="A7" s="21" t="s">
        <v>37</v>
      </c>
      <c r="B7" s="21" t="s">
        <v>38</v>
      </c>
      <c r="C7" s="21" t="s">
        <v>39</v>
      </c>
    </row>
    <row r="8" spans="1:3" ht="21.75" customHeight="1">
      <c r="A8" s="21" t="s">
        <v>40</v>
      </c>
      <c r="B8" s="21" t="s">
        <v>41</v>
      </c>
      <c r="C8" s="21" t="s">
        <v>42</v>
      </c>
    </row>
    <row r="9" spans="1:3" ht="13">
      <c r="A9" s="21" t="s">
        <v>43</v>
      </c>
      <c r="B9" s="21" t="s">
        <v>44</v>
      </c>
      <c r="C9" s="21" t="s">
        <v>45</v>
      </c>
    </row>
    <row r="10" spans="1:3" ht="26">
      <c r="A10" s="21" t="s">
        <v>46</v>
      </c>
      <c r="B10" s="21" t="s">
        <v>47</v>
      </c>
      <c r="C10" s="21" t="s">
        <v>48</v>
      </c>
    </row>
    <row r="11" spans="1:3" ht="40">
      <c r="A11" s="21" t="s">
        <v>49</v>
      </c>
      <c r="B11" s="21" t="s">
        <v>50</v>
      </c>
      <c r="C11" s="21" t="s">
        <v>51</v>
      </c>
    </row>
    <row r="12" spans="1:3" ht="26">
      <c r="A12" s="21" t="s">
        <v>52</v>
      </c>
      <c r="B12" s="21" t="s">
        <v>53</v>
      </c>
      <c r="C12" s="21" t="s">
        <v>54</v>
      </c>
    </row>
    <row r="13" spans="1:3" ht="42" customHeight="1">
      <c r="A13" s="21" t="s">
        <v>55</v>
      </c>
      <c r="B13" s="21" t="s">
        <v>56</v>
      </c>
      <c r="C13" s="21" t="s">
        <v>57</v>
      </c>
    </row>
    <row r="14" spans="1:3" ht="42" customHeight="1">
      <c r="A14" s="21" t="s">
        <v>58</v>
      </c>
      <c r="B14" s="21" t="s">
        <v>59</v>
      </c>
      <c r="C14" s="21" t="s">
        <v>60</v>
      </c>
    </row>
    <row r="15" spans="1:3" ht="39">
      <c r="A15" s="21" t="s">
        <v>61</v>
      </c>
      <c r="B15" s="21" t="s">
        <v>62</v>
      </c>
      <c r="C15" s="21" t="s">
        <v>60</v>
      </c>
    </row>
    <row r="16" spans="1:3" ht="39.75" customHeight="1">
      <c r="A16" s="21" t="s">
        <v>63</v>
      </c>
      <c r="B16" s="21" t="s">
        <v>64</v>
      </c>
      <c r="C16" s="21" t="s">
        <v>60</v>
      </c>
    </row>
    <row r="17" spans="1:3" ht="26">
      <c r="A17" s="21" t="s">
        <v>65</v>
      </c>
      <c r="B17" s="21" t="s">
        <v>66</v>
      </c>
      <c r="C17" s="21" t="s">
        <v>67</v>
      </c>
    </row>
    <row r="18" spans="1:3" ht="26">
      <c r="A18" s="21" t="s">
        <v>68</v>
      </c>
      <c r="B18" s="21" t="s">
        <v>69</v>
      </c>
      <c r="C18" s="21" t="s">
        <v>70</v>
      </c>
    </row>
    <row r="19" spans="1:3" ht="39">
      <c r="A19" s="21" t="s">
        <v>71</v>
      </c>
      <c r="B19" s="21" t="s">
        <v>72</v>
      </c>
      <c r="C19" s="21" t="s">
        <v>73</v>
      </c>
    </row>
    <row r="20" spans="1:3" ht="13">
      <c r="A20" s="21" t="s">
        <v>74</v>
      </c>
      <c r="B20" s="21" t="s">
        <v>1343</v>
      </c>
      <c r="C20" s="21" t="s">
        <v>75</v>
      </c>
    </row>
    <row r="21" spans="1:3" ht="39">
      <c r="A21" s="21" t="s">
        <v>76</v>
      </c>
      <c r="B21" s="21" t="s">
        <v>77</v>
      </c>
      <c r="C21" s="21" t="s">
        <v>78</v>
      </c>
    </row>
    <row r="22" spans="1:3" ht="14">
      <c r="A22" s="21" t="s">
        <v>79</v>
      </c>
      <c r="B22" s="21" t="s">
        <v>80</v>
      </c>
      <c r="C22" s="21" t="s">
        <v>81</v>
      </c>
    </row>
    <row r="23" spans="1:3" ht="13">
      <c r="A23" s="21" t="s">
        <v>82</v>
      </c>
      <c r="B23" s="21" t="s">
        <v>83</v>
      </c>
      <c r="C23" s="21" t="s">
        <v>84</v>
      </c>
    </row>
    <row r="24" spans="1:3" ht="26">
      <c r="A24" s="21" t="s">
        <v>85</v>
      </c>
      <c r="B24" s="21" t="s">
        <v>86</v>
      </c>
      <c r="C24" s="21" t="s">
        <v>87</v>
      </c>
    </row>
    <row r="25" spans="1:3" ht="39">
      <c r="A25" s="21" t="s">
        <v>88</v>
      </c>
      <c r="B25" s="21" t="s">
        <v>89</v>
      </c>
      <c r="C25" s="21" t="s">
        <v>90</v>
      </c>
    </row>
    <row r="26" spans="1:3" ht="39">
      <c r="A26" s="21" t="s">
        <v>91</v>
      </c>
      <c r="B26" s="21" t="s">
        <v>92</v>
      </c>
      <c r="C26" s="21" t="s">
        <v>93</v>
      </c>
    </row>
    <row r="27" spans="1:3" ht="26">
      <c r="A27" s="21" t="s">
        <v>94</v>
      </c>
      <c r="B27" s="21" t="s">
        <v>95</v>
      </c>
      <c r="C27" s="21" t="s">
        <v>96</v>
      </c>
    </row>
    <row r="28" spans="1:3" ht="26">
      <c r="A28" s="21" t="s">
        <v>97</v>
      </c>
      <c r="B28" s="21" t="s">
        <v>98</v>
      </c>
      <c r="C28" s="21" t="s">
        <v>99</v>
      </c>
    </row>
    <row r="29" spans="1:3" ht="52">
      <c r="A29" s="21" t="s">
        <v>100</v>
      </c>
      <c r="B29" s="21" t="s">
        <v>101</v>
      </c>
      <c r="C29" s="21" t="s">
        <v>102</v>
      </c>
    </row>
    <row r="30" spans="1:3" ht="26">
      <c r="A30" s="21" t="s">
        <v>103</v>
      </c>
      <c r="B30" s="21" t="s">
        <v>104</v>
      </c>
      <c r="C30" s="21" t="s">
        <v>105</v>
      </c>
    </row>
    <row r="31" spans="1:3" ht="39">
      <c r="A31" s="21" t="s">
        <v>106</v>
      </c>
      <c r="B31" s="21" t="s">
        <v>107</v>
      </c>
      <c r="C31" s="21" t="s">
        <v>108</v>
      </c>
    </row>
    <row r="32" spans="1:3" ht="26">
      <c r="A32" s="21" t="s">
        <v>109</v>
      </c>
      <c r="B32" s="21" t="s">
        <v>110</v>
      </c>
      <c r="C32" s="21" t="s">
        <v>111</v>
      </c>
    </row>
    <row r="33" spans="1:3" ht="13">
      <c r="A33" s="21" t="s">
        <v>112</v>
      </c>
      <c r="B33" s="21" t="s">
        <v>113</v>
      </c>
      <c r="C33" s="21" t="s">
        <v>114</v>
      </c>
    </row>
    <row r="34" spans="1:3" ht="26">
      <c r="A34" s="21" t="s">
        <v>115</v>
      </c>
      <c r="B34" s="21" t="s">
        <v>116</v>
      </c>
      <c r="C34" s="21" t="s">
        <v>117</v>
      </c>
    </row>
    <row r="35" spans="1:3" ht="28">
      <c r="A35" s="21" t="s">
        <v>118</v>
      </c>
      <c r="B35" s="21" t="s">
        <v>119</v>
      </c>
      <c r="C35" s="21" t="s">
        <v>120</v>
      </c>
    </row>
    <row r="36" spans="1:3" ht="13">
      <c r="A36" s="22"/>
      <c r="B36" s="19"/>
      <c r="C36" s="19"/>
    </row>
    <row r="37" spans="1:3" ht="14">
      <c r="A37" s="23" t="s">
        <v>121</v>
      </c>
      <c r="B37" s="24"/>
      <c r="C37" s="19"/>
    </row>
    <row r="38" spans="1:3" ht="14">
      <c r="A38" s="23" t="s">
        <v>122</v>
      </c>
      <c r="B38" s="24"/>
      <c r="C38" s="19"/>
    </row>
  </sheetData>
  <mergeCells count="3">
    <mergeCell ref="A3:C3"/>
    <mergeCell ref="A4:C4"/>
    <mergeCell ref="A5:C5"/>
  </mergeCells>
  <hyperlinks>
    <hyperlink ref="A2" location="'START PAGE'!A1" display="Back to start page" xr:uid="{B8BCE654-79DA-478F-82AD-F0D250646320}"/>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9D57D-96B7-46B9-8C80-0C7D51C8BB94}">
  <sheetPr>
    <tabColor rgb="FFFFCD00"/>
    <pageSetUpPr fitToPage="1"/>
  </sheetPr>
  <dimension ref="A1:AV123"/>
  <sheetViews>
    <sheetView showGridLines="0" workbookViewId="0"/>
  </sheetViews>
  <sheetFormatPr baseColWidth="10" defaultColWidth="10" defaultRowHeight="13.5" customHeight="1"/>
  <cols>
    <col min="1" max="1" width="55.33203125" customWidth="1"/>
    <col min="2" max="3" width="8.5" customWidth="1"/>
    <col min="4" max="4" width="9.5" customWidth="1"/>
    <col min="5" max="12" width="8.5" customWidth="1"/>
    <col min="13" max="13" width="10.33203125" customWidth="1"/>
    <col min="14" max="14" width="9.5" customWidth="1"/>
    <col min="15" max="21" width="7.33203125" customWidth="1"/>
    <col min="22" max="32" width="5.6640625" customWidth="1"/>
    <col min="33" max="33" width="5.5" customWidth="1"/>
    <col min="34" max="37" width="6.33203125" customWidth="1"/>
    <col min="38" max="38" width="7.33203125" customWidth="1"/>
    <col min="39" max="41" width="6.33203125" customWidth="1"/>
    <col min="42" max="42" width="7.33203125" customWidth="1"/>
    <col min="43" max="45" width="6.33203125" customWidth="1"/>
    <col min="46" max="46" width="7.33203125" bestFit="1" customWidth="1"/>
    <col min="47" max="47" width="6.33203125" customWidth="1"/>
  </cols>
  <sheetData>
    <row r="1" spans="1:47" ht="17" thickBot="1">
      <c r="A1" s="1" t="s">
        <v>123</v>
      </c>
      <c r="B1" s="25" t="s">
        <v>124</v>
      </c>
      <c r="C1" s="26"/>
      <c r="D1" s="27"/>
      <c r="E1" s="26"/>
      <c r="F1" s="26"/>
      <c r="G1" s="26"/>
      <c r="H1" s="26"/>
      <c r="I1" s="26"/>
      <c r="J1" s="26"/>
      <c r="K1" s="26"/>
      <c r="L1" s="26"/>
      <c r="M1" s="28"/>
      <c r="N1" s="25" t="s">
        <v>125</v>
      </c>
      <c r="O1" s="26"/>
      <c r="P1" s="26"/>
      <c r="Q1" s="29"/>
      <c r="R1" s="26"/>
      <c r="S1" s="26"/>
      <c r="T1" s="26"/>
      <c r="U1" s="29"/>
      <c r="V1" s="26"/>
      <c r="W1" s="26"/>
      <c r="X1" s="26"/>
      <c r="Y1" s="29"/>
      <c r="Z1" s="26"/>
      <c r="AA1" s="26"/>
      <c r="AB1" s="26"/>
      <c r="AC1" s="29"/>
      <c r="AD1" s="26"/>
      <c r="AE1" s="26"/>
      <c r="AF1" s="26"/>
      <c r="AG1" s="29"/>
      <c r="AH1" s="26"/>
      <c r="AI1" s="26"/>
      <c r="AJ1" s="26"/>
      <c r="AK1" s="29"/>
      <c r="AL1" s="26"/>
      <c r="AM1" s="26"/>
      <c r="AN1" s="26"/>
      <c r="AO1" s="29"/>
      <c r="AP1" s="26"/>
      <c r="AQ1" s="26"/>
      <c r="AR1" s="26"/>
      <c r="AS1" s="29"/>
      <c r="AT1" s="26"/>
      <c r="AU1" s="26"/>
    </row>
    <row r="2" spans="1:47" ht="15" thickTop="1" thickBot="1">
      <c r="A2" s="18" t="s">
        <v>30</v>
      </c>
      <c r="B2" s="30"/>
      <c r="C2" s="31"/>
      <c r="D2" s="32"/>
      <c r="E2" s="31"/>
      <c r="F2" s="31"/>
      <c r="G2" s="31"/>
      <c r="H2" s="31"/>
      <c r="I2" s="31"/>
      <c r="J2" s="31"/>
      <c r="K2" s="31"/>
      <c r="L2" s="31"/>
      <c r="M2" s="31"/>
      <c r="N2" s="31"/>
      <c r="O2" s="31"/>
      <c r="P2" s="31"/>
      <c r="Q2" s="33"/>
      <c r="R2" s="31"/>
      <c r="S2" s="31"/>
      <c r="T2" s="31"/>
      <c r="U2" s="33"/>
      <c r="V2" s="31"/>
      <c r="W2" s="31"/>
      <c r="X2" s="31"/>
      <c r="Y2" s="33"/>
      <c r="Z2" s="31"/>
      <c r="AA2" s="31"/>
      <c r="AB2" s="31"/>
      <c r="AC2" s="33"/>
      <c r="AD2" s="31"/>
      <c r="AE2" s="31"/>
      <c r="AF2" s="31"/>
      <c r="AG2" s="33"/>
      <c r="AH2" s="31"/>
      <c r="AI2" s="31"/>
      <c r="AJ2" s="31"/>
      <c r="AK2" s="33"/>
      <c r="AL2" s="31"/>
      <c r="AM2" s="31"/>
      <c r="AN2" s="31"/>
      <c r="AO2" s="33"/>
      <c r="AP2" s="31"/>
      <c r="AQ2" s="31"/>
      <c r="AR2" s="31"/>
      <c r="AS2" s="33"/>
      <c r="AT2" s="31"/>
      <c r="AU2" s="31"/>
    </row>
    <row r="3" spans="1:47" ht="14" thickTop="1">
      <c r="A3" s="34" t="s">
        <v>126</v>
      </c>
      <c r="B3" s="34">
        <v>2015</v>
      </c>
      <c r="C3" s="34">
        <v>2016</v>
      </c>
      <c r="D3" s="35" t="s">
        <v>127</v>
      </c>
      <c r="E3" s="34">
        <v>2018</v>
      </c>
      <c r="F3" s="34">
        <v>2019</v>
      </c>
      <c r="G3" s="34">
        <v>2020</v>
      </c>
      <c r="H3" s="34">
        <v>2021</v>
      </c>
      <c r="I3" s="34">
        <v>2022</v>
      </c>
      <c r="J3" s="34">
        <v>2023</v>
      </c>
      <c r="K3" s="34">
        <v>2024</v>
      </c>
      <c r="L3" s="34">
        <v>2025</v>
      </c>
      <c r="M3" s="35"/>
      <c r="N3" s="35" t="s">
        <v>128</v>
      </c>
      <c r="O3" s="35" t="s">
        <v>129</v>
      </c>
      <c r="P3" s="35" t="s">
        <v>130</v>
      </c>
      <c r="Q3" s="36" t="s">
        <v>131</v>
      </c>
      <c r="R3" s="35" t="s">
        <v>132</v>
      </c>
      <c r="S3" s="35" t="s">
        <v>133</v>
      </c>
      <c r="T3" s="35" t="s">
        <v>134</v>
      </c>
      <c r="U3" s="36" t="s">
        <v>135</v>
      </c>
      <c r="V3" s="35" t="s">
        <v>136</v>
      </c>
      <c r="W3" s="35" t="s">
        <v>137</v>
      </c>
      <c r="X3" s="35" t="s">
        <v>138</v>
      </c>
      <c r="Y3" s="36" t="s">
        <v>139</v>
      </c>
      <c r="Z3" s="35" t="s">
        <v>140</v>
      </c>
      <c r="AA3" s="35" t="s">
        <v>141</v>
      </c>
      <c r="AB3" s="35" t="s">
        <v>142</v>
      </c>
      <c r="AC3" s="36" t="s">
        <v>143</v>
      </c>
      <c r="AD3" s="35" t="s">
        <v>144</v>
      </c>
      <c r="AE3" s="35" t="s">
        <v>145</v>
      </c>
      <c r="AF3" s="35" t="s">
        <v>146</v>
      </c>
      <c r="AG3" s="36" t="s">
        <v>147</v>
      </c>
      <c r="AH3" s="35" t="s">
        <v>148</v>
      </c>
      <c r="AI3" s="35" t="s">
        <v>149</v>
      </c>
      <c r="AJ3" s="35" t="s">
        <v>150</v>
      </c>
      <c r="AK3" s="36" t="s">
        <v>151</v>
      </c>
      <c r="AL3" s="35" t="s">
        <v>152</v>
      </c>
      <c r="AM3" s="35" t="s">
        <v>153</v>
      </c>
      <c r="AN3" s="35" t="s">
        <v>154</v>
      </c>
      <c r="AO3" s="36" t="s">
        <v>155</v>
      </c>
      <c r="AP3" s="35" t="s">
        <v>156</v>
      </c>
      <c r="AQ3" s="35" t="s">
        <v>157</v>
      </c>
      <c r="AR3" s="35" t="s">
        <v>158</v>
      </c>
      <c r="AS3" s="36" t="s">
        <v>820</v>
      </c>
      <c r="AT3" s="35" t="s">
        <v>1275</v>
      </c>
      <c r="AU3" s="35" t="s">
        <v>1344</v>
      </c>
    </row>
    <row r="4" spans="1:47" ht="13">
      <c r="A4" s="37" t="s">
        <v>159</v>
      </c>
      <c r="B4" s="38">
        <v>27551</v>
      </c>
      <c r="C4" s="38">
        <v>27634</v>
      </c>
      <c r="D4" s="38">
        <v>33831</v>
      </c>
      <c r="E4" s="38">
        <v>39400</v>
      </c>
      <c r="F4" s="38">
        <v>39492</v>
      </c>
      <c r="G4" s="38">
        <v>36579</v>
      </c>
      <c r="H4" s="38">
        <v>45648</v>
      </c>
      <c r="I4" s="38">
        <v>53222</v>
      </c>
      <c r="J4" s="38">
        <v>59332</v>
      </c>
      <c r="K4" s="38">
        <v>62213</v>
      </c>
      <c r="L4" s="38">
        <v>62974</v>
      </c>
      <c r="M4" s="38"/>
      <c r="N4" s="38">
        <v>10036</v>
      </c>
      <c r="O4" s="38">
        <v>10483</v>
      </c>
      <c r="P4" s="38">
        <v>9413</v>
      </c>
      <c r="Q4" s="39">
        <v>9468</v>
      </c>
      <c r="R4" s="38">
        <v>10063</v>
      </c>
      <c r="S4" s="38">
        <v>10553</v>
      </c>
      <c r="T4" s="38">
        <v>9600</v>
      </c>
      <c r="U4" s="39">
        <v>9276</v>
      </c>
      <c r="V4" s="38">
        <v>9772</v>
      </c>
      <c r="W4" s="38">
        <v>8105</v>
      </c>
      <c r="X4" s="38">
        <v>9373</v>
      </c>
      <c r="Y4" s="39">
        <v>9329</v>
      </c>
      <c r="Z4" s="38">
        <v>10690</v>
      </c>
      <c r="AA4" s="38">
        <v>11070</v>
      </c>
      <c r="AB4" s="38">
        <v>12245</v>
      </c>
      <c r="AC4" s="39">
        <v>11643</v>
      </c>
      <c r="AD4" s="38">
        <v>13818</v>
      </c>
      <c r="AE4" s="38">
        <v>13377</v>
      </c>
      <c r="AF4" s="38">
        <v>12322</v>
      </c>
      <c r="AG4" s="39">
        <v>13705</v>
      </c>
      <c r="AH4" s="38">
        <v>15148</v>
      </c>
      <c r="AI4" s="38">
        <v>15436</v>
      </c>
      <c r="AJ4" s="38">
        <v>14360</v>
      </c>
      <c r="AK4" s="39">
        <v>14388</v>
      </c>
      <c r="AL4" s="38">
        <v>14162</v>
      </c>
      <c r="AM4" s="38">
        <v>16349</v>
      </c>
      <c r="AN4" s="38">
        <v>15520</v>
      </c>
      <c r="AO4" s="39">
        <v>16182</v>
      </c>
      <c r="AP4" s="38">
        <v>16586</v>
      </c>
      <c r="AQ4" s="38">
        <v>15276</v>
      </c>
      <c r="AR4" s="38">
        <v>15142</v>
      </c>
      <c r="AS4" s="39">
        <v>15970</v>
      </c>
      <c r="AT4" s="38">
        <v>18340</v>
      </c>
      <c r="AU4" s="38">
        <v>17305</v>
      </c>
    </row>
    <row r="5" spans="1:47" ht="13">
      <c r="A5" s="37" t="s">
        <v>160</v>
      </c>
      <c r="B5" s="38">
        <v>28663</v>
      </c>
      <c r="C5" s="38">
        <v>27102</v>
      </c>
      <c r="D5" s="38">
        <v>31364</v>
      </c>
      <c r="E5" s="38">
        <v>38285</v>
      </c>
      <c r="F5" s="38">
        <v>40849</v>
      </c>
      <c r="G5" s="38">
        <v>36122</v>
      </c>
      <c r="H5" s="38">
        <v>39645</v>
      </c>
      <c r="I5" s="38">
        <v>49694</v>
      </c>
      <c r="J5" s="38">
        <v>60343</v>
      </c>
      <c r="K5" s="38">
        <v>63604</v>
      </c>
      <c r="L5" s="38">
        <v>61998</v>
      </c>
      <c r="M5" s="38"/>
      <c r="N5" s="38">
        <v>8233</v>
      </c>
      <c r="O5" s="38">
        <v>9843</v>
      </c>
      <c r="P5" s="38">
        <v>9651</v>
      </c>
      <c r="Q5" s="39">
        <v>10558</v>
      </c>
      <c r="R5" s="38">
        <v>9785</v>
      </c>
      <c r="S5" s="38">
        <v>10626</v>
      </c>
      <c r="T5" s="38">
        <v>10158</v>
      </c>
      <c r="U5" s="39">
        <v>10280</v>
      </c>
      <c r="V5" s="38">
        <v>9134</v>
      </c>
      <c r="W5" s="38">
        <v>8458</v>
      </c>
      <c r="X5" s="38">
        <v>8724</v>
      </c>
      <c r="Y5" s="39">
        <v>9806</v>
      </c>
      <c r="Z5" s="38">
        <v>8773</v>
      </c>
      <c r="AA5" s="38">
        <v>9733</v>
      </c>
      <c r="AB5" s="38">
        <v>9966</v>
      </c>
      <c r="AC5" s="39">
        <v>11173</v>
      </c>
      <c r="AD5" s="38">
        <v>11088</v>
      </c>
      <c r="AE5" s="38">
        <v>11868</v>
      </c>
      <c r="AF5" s="38">
        <v>12802</v>
      </c>
      <c r="AG5" s="39">
        <v>13936</v>
      </c>
      <c r="AH5" s="38">
        <v>13868</v>
      </c>
      <c r="AI5" s="38">
        <v>15910</v>
      </c>
      <c r="AJ5" s="38">
        <v>14997</v>
      </c>
      <c r="AK5" s="39">
        <v>15568</v>
      </c>
      <c r="AL5" s="38">
        <v>14143</v>
      </c>
      <c r="AM5" s="38">
        <v>16511</v>
      </c>
      <c r="AN5" s="38">
        <v>15699</v>
      </c>
      <c r="AO5" s="39">
        <v>17251</v>
      </c>
      <c r="AP5" s="38">
        <v>15536</v>
      </c>
      <c r="AQ5" s="38">
        <v>15130</v>
      </c>
      <c r="AR5" s="38">
        <v>15242</v>
      </c>
      <c r="AS5" s="39">
        <v>16090</v>
      </c>
      <c r="AT5" s="38">
        <v>14351</v>
      </c>
      <c r="AU5" s="38">
        <v>16702</v>
      </c>
    </row>
    <row r="6" spans="1:47" ht="13">
      <c r="A6" s="40" t="s">
        <v>161</v>
      </c>
      <c r="B6" s="41">
        <v>96</v>
      </c>
      <c r="C6" s="42">
        <v>102</v>
      </c>
      <c r="D6" s="42">
        <v>108</v>
      </c>
      <c r="E6" s="42">
        <v>102.91236776805536</v>
      </c>
      <c r="F6" s="42">
        <v>96.678009253592506</v>
      </c>
      <c r="G6" s="42">
        <v>101</v>
      </c>
      <c r="H6" s="42">
        <v>115</v>
      </c>
      <c r="I6" s="42">
        <v>107</v>
      </c>
      <c r="J6" s="42">
        <v>98</v>
      </c>
      <c r="K6" s="42">
        <v>98</v>
      </c>
      <c r="L6" s="42">
        <v>102</v>
      </c>
      <c r="M6" s="43"/>
      <c r="N6" s="42">
        <v>121.89967205150005</v>
      </c>
      <c r="O6" s="42">
        <v>106.50208269836432</v>
      </c>
      <c r="P6" s="42">
        <v>97.533934307325666</v>
      </c>
      <c r="Q6" s="44">
        <v>89.676075014207228</v>
      </c>
      <c r="R6" s="42">
        <v>102.84108329075114</v>
      </c>
      <c r="S6" s="42">
        <v>99.313005834744956</v>
      </c>
      <c r="T6" s="42">
        <v>94.506792675723574</v>
      </c>
      <c r="U6" s="44">
        <v>90.233463035019454</v>
      </c>
      <c r="V6" s="42">
        <v>107</v>
      </c>
      <c r="W6" s="42">
        <v>95.826436509813192</v>
      </c>
      <c r="X6" s="42">
        <v>107.43924805135259</v>
      </c>
      <c r="Y6" s="44">
        <v>95.135631246175805</v>
      </c>
      <c r="Z6" s="42">
        <v>121.85113416163229</v>
      </c>
      <c r="AA6" s="42">
        <v>114</v>
      </c>
      <c r="AB6" s="42">
        <v>122.86775035119406</v>
      </c>
      <c r="AC6" s="44">
        <v>104.20656940839524</v>
      </c>
      <c r="AD6" s="42">
        <v>124.62121212121211</v>
      </c>
      <c r="AE6" s="42">
        <v>112.71486349848333</v>
      </c>
      <c r="AF6" s="42">
        <v>96.250585845961567</v>
      </c>
      <c r="AG6" s="44">
        <v>98</v>
      </c>
      <c r="AH6" s="42">
        <v>109.22988174214019</v>
      </c>
      <c r="AI6" s="42">
        <v>97</v>
      </c>
      <c r="AJ6" s="42">
        <v>95.752483830099351</v>
      </c>
      <c r="AK6" s="44">
        <v>92.420349434737929</v>
      </c>
      <c r="AL6" s="42">
        <v>100.13434207735274</v>
      </c>
      <c r="AM6" s="42">
        <v>99.018835927563444</v>
      </c>
      <c r="AN6" s="42">
        <v>98.859799987260331</v>
      </c>
      <c r="AO6" s="44">
        <v>93.803257782157559</v>
      </c>
      <c r="AP6" s="42">
        <v>107</v>
      </c>
      <c r="AQ6" s="42">
        <v>100.96497025776603</v>
      </c>
      <c r="AR6" s="42">
        <v>99.343918120981499</v>
      </c>
      <c r="AS6" s="44">
        <v>99.254195152268494</v>
      </c>
      <c r="AT6" s="42">
        <v>127.7959724061041</v>
      </c>
      <c r="AU6" s="42">
        <v>103.61034606633936</v>
      </c>
    </row>
    <row r="7" spans="1:47" ht="13">
      <c r="A7" s="45" t="s">
        <v>162</v>
      </c>
      <c r="B7" s="31"/>
      <c r="C7" s="31"/>
      <c r="D7" s="32"/>
      <c r="E7" s="31"/>
      <c r="F7" s="31"/>
      <c r="G7" s="31"/>
      <c r="H7" s="31"/>
      <c r="I7" s="31"/>
      <c r="J7" s="31"/>
      <c r="K7" s="31"/>
      <c r="L7" s="31"/>
      <c r="M7" s="31"/>
      <c r="N7" s="31"/>
      <c r="O7" s="31"/>
      <c r="P7" s="31"/>
      <c r="Q7" s="33"/>
      <c r="R7" s="31"/>
      <c r="S7" s="31"/>
      <c r="T7" s="31"/>
      <c r="U7" s="33"/>
      <c r="V7" s="31"/>
      <c r="W7" s="31"/>
      <c r="X7" s="31"/>
      <c r="Y7" s="33"/>
      <c r="Z7" s="31"/>
      <c r="AA7" s="31"/>
      <c r="AB7" s="31"/>
      <c r="AC7" s="33"/>
      <c r="AD7" s="31"/>
      <c r="AE7" s="31"/>
      <c r="AF7" s="31"/>
      <c r="AG7" s="33"/>
      <c r="AH7" s="31"/>
      <c r="AI7" s="31"/>
      <c r="AJ7" s="31"/>
      <c r="AK7" s="33"/>
      <c r="AL7" s="31"/>
      <c r="AM7" s="31"/>
      <c r="AN7" s="31"/>
      <c r="AO7" s="33"/>
      <c r="AP7" s="31"/>
      <c r="AQ7" s="31"/>
      <c r="AR7" s="31"/>
      <c r="AS7" s="33"/>
      <c r="AT7" s="31"/>
      <c r="AU7" s="31"/>
    </row>
    <row r="8" spans="1:47" ht="13">
      <c r="A8" s="31"/>
      <c r="B8" s="31"/>
      <c r="C8" s="31"/>
      <c r="D8" s="32"/>
      <c r="E8" s="31"/>
      <c r="F8" s="31"/>
      <c r="G8" s="31"/>
      <c r="H8" s="31"/>
      <c r="I8" s="31"/>
      <c r="J8" s="31"/>
      <c r="K8" s="31"/>
      <c r="L8" s="31"/>
      <c r="M8" s="31"/>
      <c r="N8" s="31"/>
      <c r="O8" s="31"/>
      <c r="P8" s="31"/>
      <c r="Q8" s="33"/>
      <c r="R8" s="31"/>
      <c r="S8" s="31"/>
      <c r="T8" s="31"/>
      <c r="U8" s="33"/>
      <c r="V8" s="31"/>
      <c r="W8" s="31"/>
      <c r="X8" s="31"/>
      <c r="Y8" s="33"/>
      <c r="Z8" s="31"/>
      <c r="AA8" s="31"/>
      <c r="AB8" s="31"/>
      <c r="AC8" s="33"/>
      <c r="AD8" s="31"/>
      <c r="AE8" s="31"/>
      <c r="AF8" s="31"/>
      <c r="AG8" s="33"/>
      <c r="AH8" s="31"/>
      <c r="AI8" s="31"/>
      <c r="AJ8" s="31"/>
      <c r="AK8" s="33"/>
      <c r="AL8" s="31"/>
      <c r="AM8" s="31"/>
      <c r="AN8" s="31"/>
      <c r="AO8" s="33"/>
      <c r="AP8" s="31"/>
      <c r="AQ8" s="31"/>
      <c r="AR8" s="31"/>
      <c r="AS8" s="33"/>
      <c r="AT8" s="31"/>
      <c r="AU8" s="31"/>
    </row>
    <row r="9" spans="1:47" ht="14">
      <c r="A9" s="46" t="s">
        <v>163</v>
      </c>
      <c r="B9" s="47">
        <v>2015</v>
      </c>
      <c r="C9" s="47">
        <v>2016</v>
      </c>
      <c r="D9" s="47" t="s">
        <v>127</v>
      </c>
      <c r="E9" s="47">
        <v>2018</v>
      </c>
      <c r="F9" s="47">
        <v>2019</v>
      </c>
      <c r="G9" s="47">
        <v>2020</v>
      </c>
      <c r="H9" s="47">
        <v>2021</v>
      </c>
      <c r="I9" s="47">
        <v>2022</v>
      </c>
      <c r="J9" s="47">
        <v>2023</v>
      </c>
      <c r="K9" s="47">
        <v>2024</v>
      </c>
      <c r="L9" s="47">
        <v>2025</v>
      </c>
      <c r="M9" s="48"/>
      <c r="N9" s="49" t="s">
        <v>128</v>
      </c>
      <c r="O9" s="49" t="s">
        <v>129</v>
      </c>
      <c r="P9" s="49" t="s">
        <v>130</v>
      </c>
      <c r="Q9" s="50" t="s">
        <v>131</v>
      </c>
      <c r="R9" s="49" t="s">
        <v>132</v>
      </c>
      <c r="S9" s="49" t="s">
        <v>133</v>
      </c>
      <c r="T9" s="49" t="s">
        <v>134</v>
      </c>
      <c r="U9" s="50" t="s">
        <v>135</v>
      </c>
      <c r="V9" s="49" t="s">
        <v>136</v>
      </c>
      <c r="W9" s="49" t="s">
        <v>137</v>
      </c>
      <c r="X9" s="49" t="s">
        <v>138</v>
      </c>
      <c r="Y9" s="50" t="s">
        <v>139</v>
      </c>
      <c r="Z9" s="49" t="s">
        <v>140</v>
      </c>
      <c r="AA9" s="49" t="s">
        <v>141</v>
      </c>
      <c r="AB9" s="49" t="s">
        <v>142</v>
      </c>
      <c r="AC9" s="50" t="s">
        <v>143</v>
      </c>
      <c r="AD9" s="49" t="s">
        <v>144</v>
      </c>
      <c r="AE9" s="49" t="s">
        <v>145</v>
      </c>
      <c r="AF9" s="49" t="s">
        <v>146</v>
      </c>
      <c r="AG9" s="50" t="s">
        <v>147</v>
      </c>
      <c r="AH9" s="49" t="s">
        <v>148</v>
      </c>
      <c r="AI9" s="49" t="s">
        <v>149</v>
      </c>
      <c r="AJ9" s="49" t="s">
        <v>150</v>
      </c>
      <c r="AK9" s="50" t="s">
        <v>151</v>
      </c>
      <c r="AL9" s="49" t="s">
        <v>152</v>
      </c>
      <c r="AM9" s="49" t="s">
        <v>153</v>
      </c>
      <c r="AN9" s="49" t="s">
        <v>154</v>
      </c>
      <c r="AO9" s="50" t="s">
        <v>155</v>
      </c>
      <c r="AP9" s="49" t="s">
        <v>156</v>
      </c>
      <c r="AQ9" s="49" t="s">
        <v>157</v>
      </c>
      <c r="AR9" s="49" t="s">
        <v>158</v>
      </c>
      <c r="AS9" s="50" t="s">
        <v>820</v>
      </c>
      <c r="AT9" s="49" t="s">
        <v>1275</v>
      </c>
      <c r="AU9" s="49" t="s">
        <v>1344</v>
      </c>
    </row>
    <row r="10" spans="1:47" ht="13">
      <c r="A10" s="37" t="s">
        <v>164</v>
      </c>
      <c r="B10" s="38">
        <v>5175</v>
      </c>
      <c r="C10" s="38">
        <v>4548</v>
      </c>
      <c r="D10" s="38">
        <v>5930</v>
      </c>
      <c r="E10" s="38">
        <v>7385</v>
      </c>
      <c r="F10" s="38">
        <v>8136</v>
      </c>
      <c r="G10" s="38">
        <v>7382</v>
      </c>
      <c r="H10" s="38">
        <v>8995</v>
      </c>
      <c r="I10" s="38">
        <v>11147</v>
      </c>
      <c r="J10" s="38">
        <v>13183</v>
      </c>
      <c r="K10" s="38">
        <v>12385</v>
      </c>
      <c r="L10" s="38">
        <v>11925</v>
      </c>
      <c r="M10" s="38"/>
      <c r="N10" s="38">
        <v>1515</v>
      </c>
      <c r="O10" s="38">
        <v>1810</v>
      </c>
      <c r="P10" s="38">
        <v>1898</v>
      </c>
      <c r="Q10" s="39">
        <v>2162</v>
      </c>
      <c r="R10" s="38">
        <v>1930</v>
      </c>
      <c r="S10" s="38">
        <v>2262.5304182700002</v>
      </c>
      <c r="T10" s="38">
        <v>1927.4103993842</v>
      </c>
      <c r="U10" s="39">
        <v>2016.060167183</v>
      </c>
      <c r="V10" s="38">
        <v>1932</v>
      </c>
      <c r="W10" s="38">
        <v>1418</v>
      </c>
      <c r="X10" s="38">
        <v>1820</v>
      </c>
      <c r="Y10" s="39">
        <v>2212</v>
      </c>
      <c r="Z10" s="38">
        <v>1867</v>
      </c>
      <c r="AA10" s="38">
        <v>2182</v>
      </c>
      <c r="AB10" s="38">
        <v>2352</v>
      </c>
      <c r="AC10" s="39">
        <v>2594</v>
      </c>
      <c r="AD10" s="38">
        <v>2631</v>
      </c>
      <c r="AE10" s="38">
        <v>2381</v>
      </c>
      <c r="AF10" s="38">
        <v>2900</v>
      </c>
      <c r="AG10" s="39">
        <v>3235</v>
      </c>
      <c r="AH10" s="38">
        <v>3161</v>
      </c>
      <c r="AI10" s="38">
        <v>3413</v>
      </c>
      <c r="AJ10" s="38">
        <v>3260</v>
      </c>
      <c r="AK10" s="39">
        <v>3349</v>
      </c>
      <c r="AL10" s="38">
        <v>2760</v>
      </c>
      <c r="AM10" s="38">
        <v>2921</v>
      </c>
      <c r="AN10" s="38">
        <v>3277</v>
      </c>
      <c r="AO10" s="39">
        <v>3427</v>
      </c>
      <c r="AP10" s="38">
        <v>3088</v>
      </c>
      <c r="AQ10" s="38">
        <v>2831</v>
      </c>
      <c r="AR10" s="38">
        <v>2802</v>
      </c>
      <c r="AS10" s="39">
        <v>3204</v>
      </c>
      <c r="AT10" s="38">
        <v>2846</v>
      </c>
      <c r="AU10" s="38">
        <v>3316</v>
      </c>
    </row>
    <row r="11" spans="1:47" ht="13">
      <c r="A11" s="37" t="s">
        <v>165</v>
      </c>
      <c r="B11" s="38">
        <v>1395</v>
      </c>
      <c r="C11" s="38">
        <v>1217</v>
      </c>
      <c r="D11" s="38">
        <v>1253</v>
      </c>
      <c r="E11" s="38">
        <v>1368</v>
      </c>
      <c r="F11" s="38">
        <v>1978</v>
      </c>
      <c r="G11" s="38">
        <v>1746</v>
      </c>
      <c r="H11" s="38">
        <v>1745</v>
      </c>
      <c r="I11" s="38">
        <v>2129</v>
      </c>
      <c r="J11" s="38">
        <v>2663</v>
      </c>
      <c r="K11" s="38">
        <v>3443</v>
      </c>
      <c r="L11" s="38">
        <v>3088</v>
      </c>
      <c r="M11" s="38"/>
      <c r="N11" s="38">
        <v>317</v>
      </c>
      <c r="O11" s="38">
        <v>340</v>
      </c>
      <c r="P11" s="38">
        <v>360</v>
      </c>
      <c r="Q11" s="51">
        <v>351</v>
      </c>
      <c r="R11" s="38">
        <v>473</v>
      </c>
      <c r="S11" s="38">
        <v>466.83593991509997</v>
      </c>
      <c r="T11" s="38">
        <v>554</v>
      </c>
      <c r="U11" s="39">
        <v>484.90534584399995</v>
      </c>
      <c r="V11" s="38">
        <v>440</v>
      </c>
      <c r="W11" s="38">
        <v>441</v>
      </c>
      <c r="X11" s="38">
        <v>425</v>
      </c>
      <c r="Y11" s="39">
        <v>440</v>
      </c>
      <c r="Z11" s="38">
        <v>382</v>
      </c>
      <c r="AA11" s="38">
        <v>411</v>
      </c>
      <c r="AB11" s="38">
        <v>462</v>
      </c>
      <c r="AC11" s="39">
        <v>490</v>
      </c>
      <c r="AD11" s="38">
        <v>466</v>
      </c>
      <c r="AE11" s="38">
        <v>487</v>
      </c>
      <c r="AF11" s="38">
        <v>525</v>
      </c>
      <c r="AG11" s="39">
        <v>651</v>
      </c>
      <c r="AH11" s="38">
        <v>635</v>
      </c>
      <c r="AI11" s="38">
        <v>644</v>
      </c>
      <c r="AJ11" s="38">
        <v>700</v>
      </c>
      <c r="AK11" s="39">
        <v>684</v>
      </c>
      <c r="AL11" s="38">
        <v>672</v>
      </c>
      <c r="AM11" s="38">
        <v>788</v>
      </c>
      <c r="AN11" s="38">
        <v>1168</v>
      </c>
      <c r="AO11" s="39">
        <v>815</v>
      </c>
      <c r="AP11" s="38">
        <v>779</v>
      </c>
      <c r="AQ11" s="38">
        <v>768</v>
      </c>
      <c r="AR11" s="38">
        <v>765</v>
      </c>
      <c r="AS11" s="39">
        <v>776</v>
      </c>
      <c r="AT11" s="38">
        <v>756</v>
      </c>
      <c r="AU11" s="38">
        <v>803</v>
      </c>
    </row>
    <row r="12" spans="1:47" ht="13">
      <c r="A12" s="40" t="s">
        <v>61</v>
      </c>
      <c r="B12" s="52">
        <v>6570</v>
      </c>
      <c r="C12" s="52">
        <v>5765</v>
      </c>
      <c r="D12" s="52">
        <v>7183</v>
      </c>
      <c r="E12" s="52">
        <v>8753</v>
      </c>
      <c r="F12" s="52">
        <v>10114</v>
      </c>
      <c r="G12" s="52">
        <v>9128</v>
      </c>
      <c r="H12" s="52">
        <v>10740</v>
      </c>
      <c r="I12" s="52">
        <v>13276</v>
      </c>
      <c r="J12" s="52">
        <v>15846</v>
      </c>
      <c r="K12" s="52">
        <v>15828</v>
      </c>
      <c r="L12" s="52">
        <v>15011</v>
      </c>
      <c r="M12" s="53"/>
      <c r="N12" s="52">
        <v>1832</v>
      </c>
      <c r="O12" s="52">
        <v>2150</v>
      </c>
      <c r="P12" s="52">
        <v>2258</v>
      </c>
      <c r="Q12" s="54">
        <v>2513</v>
      </c>
      <c r="R12" s="52">
        <v>2403</v>
      </c>
      <c r="S12" s="52">
        <v>2729.3663581851001</v>
      </c>
      <c r="T12" s="52">
        <v>2481</v>
      </c>
      <c r="U12" s="54">
        <v>2500.9655130269998</v>
      </c>
      <c r="V12" s="52">
        <v>2372</v>
      </c>
      <c r="W12" s="52">
        <v>1859</v>
      </c>
      <c r="X12" s="52">
        <v>2245</v>
      </c>
      <c r="Y12" s="54">
        <v>2652</v>
      </c>
      <c r="Z12" s="52">
        <v>2248</v>
      </c>
      <c r="AA12" s="52">
        <v>2594</v>
      </c>
      <c r="AB12" s="52">
        <v>2813</v>
      </c>
      <c r="AC12" s="54">
        <v>3085</v>
      </c>
      <c r="AD12" s="52">
        <v>3097</v>
      </c>
      <c r="AE12" s="52">
        <v>2868</v>
      </c>
      <c r="AF12" s="52">
        <v>3425</v>
      </c>
      <c r="AG12" s="54">
        <v>3886</v>
      </c>
      <c r="AH12" s="52">
        <v>3795</v>
      </c>
      <c r="AI12" s="52">
        <v>4056</v>
      </c>
      <c r="AJ12" s="52">
        <v>3960</v>
      </c>
      <c r="AK12" s="54">
        <v>4035</v>
      </c>
      <c r="AL12" s="52">
        <v>3432</v>
      </c>
      <c r="AM12" s="52">
        <v>3709</v>
      </c>
      <c r="AN12" s="52">
        <v>4445</v>
      </c>
      <c r="AO12" s="54">
        <v>4242</v>
      </c>
      <c r="AP12" s="52">
        <v>3866</v>
      </c>
      <c r="AQ12" s="52">
        <v>3599</v>
      </c>
      <c r="AR12" s="52">
        <v>3567</v>
      </c>
      <c r="AS12" s="54">
        <v>3979</v>
      </c>
      <c r="AT12" s="52">
        <v>3602</v>
      </c>
      <c r="AU12" s="52">
        <v>4119</v>
      </c>
    </row>
    <row r="13" spans="1:47" ht="13">
      <c r="A13" s="45" t="s">
        <v>166</v>
      </c>
      <c r="B13" s="31"/>
      <c r="C13" s="31"/>
      <c r="D13" s="32"/>
      <c r="E13" s="31"/>
      <c r="F13" s="31"/>
      <c r="G13" s="31"/>
      <c r="H13" s="31"/>
      <c r="I13" s="31"/>
      <c r="J13" s="31"/>
      <c r="K13" s="31"/>
      <c r="L13" s="31"/>
      <c r="M13" s="31"/>
      <c r="N13" s="31"/>
      <c r="O13" s="31"/>
      <c r="P13" s="31"/>
      <c r="Q13" s="33"/>
      <c r="R13" s="31"/>
      <c r="S13" s="31"/>
      <c r="T13" s="31"/>
      <c r="U13" s="33"/>
      <c r="V13" s="31"/>
      <c r="W13" s="31"/>
      <c r="X13" s="31"/>
      <c r="Y13" s="33"/>
      <c r="Z13" s="31"/>
      <c r="AA13" s="31"/>
      <c r="AB13" s="31"/>
      <c r="AC13" s="33"/>
      <c r="AD13" s="31"/>
      <c r="AE13" s="31"/>
      <c r="AF13" s="31"/>
      <c r="AG13" s="33"/>
      <c r="AH13" s="31"/>
      <c r="AI13" s="31"/>
      <c r="AJ13" s="31"/>
      <c r="AK13" s="33"/>
      <c r="AL13" s="31"/>
      <c r="AM13" s="31"/>
      <c r="AN13" s="31"/>
      <c r="AO13" s="33"/>
      <c r="AP13" s="31"/>
      <c r="AQ13" s="31"/>
      <c r="AR13" s="31"/>
      <c r="AS13" s="33"/>
      <c r="AT13" s="31"/>
      <c r="AU13" s="31"/>
    </row>
    <row r="14" spans="1:47" ht="13">
      <c r="A14" s="31"/>
      <c r="B14" s="31"/>
      <c r="C14" s="31"/>
      <c r="D14" s="32"/>
      <c r="E14" s="31"/>
      <c r="F14" s="31"/>
      <c r="G14" s="31"/>
      <c r="H14" s="31"/>
      <c r="I14" s="31"/>
      <c r="J14" s="31"/>
      <c r="K14" s="31"/>
      <c r="L14" s="31"/>
      <c r="M14" s="31"/>
      <c r="N14" s="31"/>
      <c r="O14" s="31"/>
      <c r="P14" s="31"/>
      <c r="Q14" s="33"/>
      <c r="R14" s="31"/>
      <c r="S14" s="31"/>
      <c r="T14" s="31"/>
      <c r="U14" s="33"/>
      <c r="V14" s="31"/>
      <c r="W14" s="31"/>
      <c r="X14" s="31"/>
      <c r="Y14" s="33"/>
      <c r="Z14" s="31"/>
      <c r="AA14" s="31"/>
      <c r="AB14" s="31"/>
      <c r="AC14" s="33"/>
      <c r="AD14" s="31"/>
      <c r="AE14" s="31"/>
      <c r="AF14" s="31"/>
      <c r="AG14" s="33"/>
      <c r="AH14" s="31"/>
      <c r="AI14" s="31"/>
      <c r="AJ14" s="31"/>
      <c r="AK14" s="33"/>
      <c r="AL14" s="31"/>
      <c r="AM14" s="31"/>
      <c r="AN14" s="31"/>
      <c r="AO14" s="33"/>
      <c r="AP14" s="31"/>
      <c r="AQ14" s="31"/>
      <c r="AR14" s="31"/>
      <c r="AS14" s="33"/>
      <c r="AT14" s="31"/>
      <c r="AU14" s="31"/>
    </row>
    <row r="15" spans="1:47" ht="14">
      <c r="A15" s="46" t="s">
        <v>167</v>
      </c>
      <c r="B15" s="47">
        <v>2015</v>
      </c>
      <c r="C15" s="47">
        <v>2016</v>
      </c>
      <c r="D15" s="47" t="s">
        <v>127</v>
      </c>
      <c r="E15" s="47">
        <v>2018</v>
      </c>
      <c r="F15" s="47">
        <v>2019</v>
      </c>
      <c r="G15" s="47">
        <v>2020</v>
      </c>
      <c r="H15" s="47">
        <v>2021</v>
      </c>
      <c r="I15" s="47">
        <v>2022</v>
      </c>
      <c r="J15" s="47">
        <v>2023</v>
      </c>
      <c r="K15" s="47">
        <v>2024</v>
      </c>
      <c r="L15" s="47">
        <v>2025</v>
      </c>
      <c r="M15" s="48"/>
      <c r="N15" s="49" t="s">
        <v>128</v>
      </c>
      <c r="O15" s="49" t="s">
        <v>129</v>
      </c>
      <c r="P15" s="49" t="s">
        <v>130</v>
      </c>
      <c r="Q15" s="50" t="s">
        <v>131</v>
      </c>
      <c r="R15" s="49" t="s">
        <v>132</v>
      </c>
      <c r="S15" s="49" t="s">
        <v>133</v>
      </c>
      <c r="T15" s="49" t="s">
        <v>134</v>
      </c>
      <c r="U15" s="50" t="s">
        <v>135</v>
      </c>
      <c r="V15" s="49" t="s">
        <v>136</v>
      </c>
      <c r="W15" s="49" t="s">
        <v>137</v>
      </c>
      <c r="X15" s="49" t="s">
        <v>138</v>
      </c>
      <c r="Y15" s="50" t="s">
        <v>139</v>
      </c>
      <c r="Z15" s="49" t="s">
        <v>140</v>
      </c>
      <c r="AA15" s="49" t="s">
        <v>141</v>
      </c>
      <c r="AB15" s="49" t="s">
        <v>142</v>
      </c>
      <c r="AC15" s="50" t="s">
        <v>143</v>
      </c>
      <c r="AD15" s="49" t="s">
        <v>144</v>
      </c>
      <c r="AE15" s="49" t="s">
        <v>145</v>
      </c>
      <c r="AF15" s="49" t="s">
        <v>146</v>
      </c>
      <c r="AG15" s="50" t="s">
        <v>147</v>
      </c>
      <c r="AH15" s="49" t="s">
        <v>148</v>
      </c>
      <c r="AI15" s="49" t="s">
        <v>149</v>
      </c>
      <c r="AJ15" s="49" t="s">
        <v>150</v>
      </c>
      <c r="AK15" s="50" t="s">
        <v>151</v>
      </c>
      <c r="AL15" s="49" t="s">
        <v>152</v>
      </c>
      <c r="AM15" s="49" t="s">
        <v>153</v>
      </c>
      <c r="AN15" s="49" t="s">
        <v>154</v>
      </c>
      <c r="AO15" s="50" t="s">
        <v>155</v>
      </c>
      <c r="AP15" s="49" t="s">
        <v>156</v>
      </c>
      <c r="AQ15" s="49" t="s">
        <v>157</v>
      </c>
      <c r="AR15" s="49" t="s">
        <v>158</v>
      </c>
      <c r="AS15" s="50" t="s">
        <v>820</v>
      </c>
      <c r="AT15" s="49" t="s">
        <v>1275</v>
      </c>
      <c r="AU15" s="49" t="s">
        <v>1344</v>
      </c>
    </row>
    <row r="16" spans="1:47" ht="13">
      <c r="A16" s="37" t="s">
        <v>168</v>
      </c>
      <c r="B16" s="38">
        <v>6570</v>
      </c>
      <c r="C16" s="38">
        <v>5765</v>
      </c>
      <c r="D16" s="38">
        <v>7183</v>
      </c>
      <c r="E16" s="38">
        <v>8753</v>
      </c>
      <c r="F16" s="38">
        <v>10114</v>
      </c>
      <c r="G16" s="38">
        <v>9128</v>
      </c>
      <c r="H16" s="38">
        <v>10740</v>
      </c>
      <c r="I16" s="38">
        <v>13276</v>
      </c>
      <c r="J16" s="38">
        <v>15846</v>
      </c>
      <c r="K16" s="38">
        <v>15827</v>
      </c>
      <c r="L16" s="38">
        <v>15011</v>
      </c>
      <c r="M16" s="38"/>
      <c r="N16" s="38">
        <v>1832</v>
      </c>
      <c r="O16" s="38">
        <v>2150</v>
      </c>
      <c r="P16" s="38">
        <v>2258</v>
      </c>
      <c r="Q16" s="39">
        <v>2513</v>
      </c>
      <c r="R16" s="38">
        <v>2403</v>
      </c>
      <c r="S16" s="38">
        <v>2729</v>
      </c>
      <c r="T16" s="38">
        <v>2481</v>
      </c>
      <c r="U16" s="39">
        <v>2501</v>
      </c>
      <c r="V16" s="38">
        <v>2372</v>
      </c>
      <c r="W16" s="38">
        <v>1859</v>
      </c>
      <c r="X16" s="38">
        <v>2245</v>
      </c>
      <c r="Y16" s="39">
        <v>2652</v>
      </c>
      <c r="Z16" s="38">
        <v>2248</v>
      </c>
      <c r="AA16" s="38">
        <v>2594</v>
      </c>
      <c r="AB16" s="38">
        <v>2813</v>
      </c>
      <c r="AC16" s="39">
        <v>3085</v>
      </c>
      <c r="AD16" s="38">
        <v>3097</v>
      </c>
      <c r="AE16" s="38">
        <v>2868</v>
      </c>
      <c r="AF16" s="38">
        <v>3425</v>
      </c>
      <c r="AG16" s="39">
        <v>3886</v>
      </c>
      <c r="AH16" s="38">
        <v>3795</v>
      </c>
      <c r="AI16" s="38">
        <v>4056</v>
      </c>
      <c r="AJ16" s="38">
        <v>3960</v>
      </c>
      <c r="AK16" s="39">
        <v>4035</v>
      </c>
      <c r="AL16" s="38">
        <v>3432</v>
      </c>
      <c r="AM16" s="38">
        <v>3709</v>
      </c>
      <c r="AN16" s="38">
        <v>4445</v>
      </c>
      <c r="AO16" s="39">
        <v>4242</v>
      </c>
      <c r="AP16" s="38">
        <v>3866</v>
      </c>
      <c r="AQ16" s="38">
        <v>3599</v>
      </c>
      <c r="AR16" s="38">
        <v>3567</v>
      </c>
      <c r="AS16" s="39">
        <v>3979</v>
      </c>
      <c r="AT16" s="38">
        <v>3602</v>
      </c>
      <c r="AU16" s="38">
        <v>4119</v>
      </c>
    </row>
    <row r="17" spans="1:47" ht="13">
      <c r="A17" s="37" t="s">
        <v>160</v>
      </c>
      <c r="B17" s="38">
        <v>28663</v>
      </c>
      <c r="C17" s="38">
        <v>27102</v>
      </c>
      <c r="D17" s="38">
        <v>31364</v>
      </c>
      <c r="E17" s="38">
        <v>38285</v>
      </c>
      <c r="F17" s="38">
        <v>40849</v>
      </c>
      <c r="G17" s="38">
        <v>36122</v>
      </c>
      <c r="H17" s="38">
        <v>39645</v>
      </c>
      <c r="I17" s="38">
        <v>49694</v>
      </c>
      <c r="J17" s="38">
        <v>60343</v>
      </c>
      <c r="K17" s="38">
        <v>63604</v>
      </c>
      <c r="L17" s="38">
        <v>61998</v>
      </c>
      <c r="M17" s="38"/>
      <c r="N17" s="38">
        <v>8233</v>
      </c>
      <c r="O17" s="38">
        <v>9843</v>
      </c>
      <c r="P17" s="38">
        <v>9651</v>
      </c>
      <c r="Q17" s="39">
        <v>10558</v>
      </c>
      <c r="R17" s="38">
        <v>9785</v>
      </c>
      <c r="S17" s="38">
        <v>10626</v>
      </c>
      <c r="T17" s="38">
        <v>10158</v>
      </c>
      <c r="U17" s="39">
        <v>10280</v>
      </c>
      <c r="V17" s="38">
        <v>9134</v>
      </c>
      <c r="W17" s="38">
        <v>8458</v>
      </c>
      <c r="X17" s="38">
        <v>8724</v>
      </c>
      <c r="Y17" s="39">
        <v>9806</v>
      </c>
      <c r="Z17" s="38">
        <v>8773</v>
      </c>
      <c r="AA17" s="38">
        <v>9733</v>
      </c>
      <c r="AB17" s="38">
        <v>9966</v>
      </c>
      <c r="AC17" s="39">
        <v>11173</v>
      </c>
      <c r="AD17" s="38">
        <v>11088</v>
      </c>
      <c r="AE17" s="38">
        <v>11868</v>
      </c>
      <c r="AF17" s="38">
        <v>12802</v>
      </c>
      <c r="AG17" s="39">
        <v>13936</v>
      </c>
      <c r="AH17" s="38">
        <v>13868</v>
      </c>
      <c r="AI17" s="38">
        <v>15910</v>
      </c>
      <c r="AJ17" s="38">
        <v>14997</v>
      </c>
      <c r="AK17" s="39">
        <v>15568</v>
      </c>
      <c r="AL17" s="38">
        <v>14143</v>
      </c>
      <c r="AM17" s="38">
        <v>16511</v>
      </c>
      <c r="AN17" s="38">
        <v>15699</v>
      </c>
      <c r="AO17" s="39">
        <v>17251</v>
      </c>
      <c r="AP17" s="38">
        <v>15536</v>
      </c>
      <c r="AQ17" s="38">
        <v>15130</v>
      </c>
      <c r="AR17" s="38">
        <v>15242</v>
      </c>
      <c r="AS17" s="39">
        <v>16090</v>
      </c>
      <c r="AT17" s="38">
        <v>14351</v>
      </c>
      <c r="AU17" s="38">
        <v>16702</v>
      </c>
    </row>
    <row r="18" spans="1:47" ht="13">
      <c r="A18" s="40" t="s">
        <v>169</v>
      </c>
      <c r="B18" s="41" t="s">
        <v>170</v>
      </c>
      <c r="C18" s="55" t="s">
        <v>171</v>
      </c>
      <c r="D18" s="55">
        <v>22.9</v>
      </c>
      <c r="E18" s="55">
        <v>22.862739976492101</v>
      </c>
      <c r="F18" s="55">
        <v>24.759480036230997</v>
      </c>
      <c r="G18" s="55">
        <v>25.3</v>
      </c>
      <c r="H18" s="55">
        <v>27.1</v>
      </c>
      <c r="I18" s="55">
        <v>26.7</v>
      </c>
      <c r="J18" s="55">
        <v>26.3</v>
      </c>
      <c r="K18" s="55">
        <v>24.9</v>
      </c>
      <c r="L18" s="55">
        <v>24.2</v>
      </c>
      <c r="M18" s="56"/>
      <c r="N18" s="55">
        <v>22.251913032916313</v>
      </c>
      <c r="O18" s="55">
        <v>21.842934064817637</v>
      </c>
      <c r="P18" s="55">
        <v>23.39653921873381</v>
      </c>
      <c r="Q18" s="57">
        <v>23.801856412199278</v>
      </c>
      <c r="R18" s="55">
        <v>24.55799693408278</v>
      </c>
      <c r="S18" s="55">
        <v>25.685736478308868</v>
      </c>
      <c r="T18" s="55">
        <v>24.418294933886592</v>
      </c>
      <c r="U18" s="57">
        <v>24.328458297928012</v>
      </c>
      <c r="V18" s="55">
        <v>26</v>
      </c>
      <c r="W18" s="55">
        <v>21.979191298179238</v>
      </c>
      <c r="X18" s="55">
        <v>25.733608436497018</v>
      </c>
      <c r="Y18" s="57">
        <v>27</v>
      </c>
      <c r="Z18" s="55">
        <v>25.624073862988716</v>
      </c>
      <c r="AA18" s="55">
        <v>26.7</v>
      </c>
      <c r="AB18" s="55">
        <v>28.22596829219346</v>
      </c>
      <c r="AC18" s="57">
        <v>27.611205584892151</v>
      </c>
      <c r="AD18" s="55">
        <v>27.93109668109668</v>
      </c>
      <c r="AE18" s="55">
        <v>24.165824064711831</v>
      </c>
      <c r="AF18" s="55">
        <v>26.753632244961722</v>
      </c>
      <c r="AG18" s="57">
        <v>27.884615384615387</v>
      </c>
      <c r="AH18" s="55">
        <v>27.365157196423421</v>
      </c>
      <c r="AI18" s="55">
        <v>25.5</v>
      </c>
      <c r="AJ18" s="55">
        <v>26.405281056211244</v>
      </c>
      <c r="AK18" s="57">
        <v>25.899280575539567</v>
      </c>
      <c r="AL18" s="55">
        <v>24.259350915647317</v>
      </c>
      <c r="AM18" s="55">
        <v>22.463812004118466</v>
      </c>
      <c r="AN18" s="55">
        <v>28.307535511816042</v>
      </c>
      <c r="AO18" s="57">
        <v>24.589878847603039</v>
      </c>
      <c r="AP18" s="55">
        <v>25</v>
      </c>
      <c r="AQ18" s="55">
        <v>23.793787177792467</v>
      </c>
      <c r="AR18" s="55">
        <v>23.395879805799762</v>
      </c>
      <c r="AS18" s="57">
        <v>24.729645742697329</v>
      </c>
      <c r="AT18" s="55">
        <v>25.092328060762313</v>
      </c>
      <c r="AU18" s="55">
        <v>24.661717159621602</v>
      </c>
    </row>
    <row r="19" spans="1:47" ht="13">
      <c r="A19" s="45" t="s">
        <v>162</v>
      </c>
      <c r="B19" s="31"/>
      <c r="C19" s="31"/>
      <c r="D19" s="32"/>
      <c r="E19" s="31"/>
      <c r="F19" s="31"/>
      <c r="G19" s="31"/>
      <c r="H19" s="31"/>
      <c r="I19" s="31"/>
      <c r="J19" s="31"/>
      <c r="K19" s="31"/>
      <c r="L19" s="31"/>
      <c r="M19" s="31"/>
      <c r="N19" s="31"/>
      <c r="O19" s="31"/>
      <c r="P19" s="31"/>
      <c r="Q19" s="33"/>
      <c r="R19" s="31"/>
      <c r="S19" s="31"/>
      <c r="T19" s="31"/>
      <c r="U19" s="33"/>
      <c r="V19" s="31"/>
      <c r="W19" s="31"/>
      <c r="X19" s="31"/>
      <c r="Y19" s="33"/>
      <c r="Z19" s="31"/>
      <c r="AA19" s="31"/>
      <c r="AB19" s="31"/>
      <c r="AC19" s="33"/>
      <c r="AD19" s="31"/>
      <c r="AE19" s="31"/>
      <c r="AF19" s="31"/>
      <c r="AG19" s="33"/>
      <c r="AH19" s="31"/>
      <c r="AI19" s="31"/>
      <c r="AJ19" s="31"/>
      <c r="AK19" s="33"/>
      <c r="AL19" s="31"/>
      <c r="AM19" s="31"/>
      <c r="AN19" s="31"/>
      <c r="AO19" s="33"/>
      <c r="AP19" s="31"/>
      <c r="AQ19" s="31"/>
      <c r="AR19" s="31"/>
      <c r="AS19" s="33"/>
      <c r="AT19" s="31"/>
      <c r="AU19" s="31"/>
    </row>
    <row r="20" spans="1:47" ht="13">
      <c r="A20" s="31"/>
      <c r="B20" s="31"/>
      <c r="C20" s="31"/>
      <c r="D20" s="32"/>
      <c r="E20" s="31"/>
      <c r="F20" s="31"/>
      <c r="G20" s="31"/>
      <c r="H20" s="31"/>
      <c r="I20" s="31"/>
      <c r="J20" s="31"/>
      <c r="K20" s="31"/>
      <c r="L20" s="31"/>
      <c r="M20" s="31"/>
      <c r="N20" s="31"/>
      <c r="O20" s="31"/>
      <c r="P20" s="31"/>
      <c r="Q20" s="33"/>
      <c r="R20" s="31"/>
      <c r="S20" s="31"/>
      <c r="T20" s="31"/>
      <c r="U20" s="33"/>
      <c r="V20" s="31"/>
      <c r="W20" s="31"/>
      <c r="X20" s="31"/>
      <c r="Y20" s="33"/>
      <c r="Z20" s="31"/>
      <c r="AA20" s="31"/>
      <c r="AB20" s="31"/>
      <c r="AC20" s="33"/>
      <c r="AD20" s="31"/>
      <c r="AE20" s="31"/>
      <c r="AF20" s="31"/>
      <c r="AG20" s="33"/>
      <c r="AH20" s="31"/>
      <c r="AI20" s="31"/>
      <c r="AJ20" s="31"/>
      <c r="AK20" s="33"/>
      <c r="AL20" s="31"/>
      <c r="AM20" s="31"/>
      <c r="AN20" s="31"/>
      <c r="AO20" s="33"/>
      <c r="AP20" s="31"/>
      <c r="AQ20" s="31"/>
      <c r="AR20" s="31"/>
      <c r="AS20" s="33"/>
      <c r="AT20" s="31"/>
      <c r="AU20" s="31"/>
    </row>
    <row r="21" spans="1:47" ht="14">
      <c r="A21" s="46" t="s">
        <v>172</v>
      </c>
      <c r="B21" s="47">
        <v>2015</v>
      </c>
      <c r="C21" s="47">
        <v>2016</v>
      </c>
      <c r="D21" s="47" t="s">
        <v>127</v>
      </c>
      <c r="E21" s="47">
        <v>2018</v>
      </c>
      <c r="F21" s="47">
        <v>2019</v>
      </c>
      <c r="G21" s="47">
        <v>2020</v>
      </c>
      <c r="H21" s="47">
        <v>2021</v>
      </c>
      <c r="I21" s="47">
        <v>2022</v>
      </c>
      <c r="J21" s="47">
        <v>2023</v>
      </c>
      <c r="K21" s="47">
        <v>2024</v>
      </c>
      <c r="L21" s="47">
        <v>2025</v>
      </c>
      <c r="M21" s="48"/>
      <c r="N21" s="49" t="s">
        <v>128</v>
      </c>
      <c r="O21" s="49" t="s">
        <v>129</v>
      </c>
      <c r="P21" s="49" t="s">
        <v>130</v>
      </c>
      <c r="Q21" s="50" t="s">
        <v>131</v>
      </c>
      <c r="R21" s="49" t="s">
        <v>132</v>
      </c>
      <c r="S21" s="49" t="s">
        <v>133</v>
      </c>
      <c r="T21" s="49" t="s">
        <v>134</v>
      </c>
      <c r="U21" s="50" t="s">
        <v>135</v>
      </c>
      <c r="V21" s="49" t="s">
        <v>136</v>
      </c>
      <c r="W21" s="49" t="s">
        <v>137</v>
      </c>
      <c r="X21" s="49" t="s">
        <v>138</v>
      </c>
      <c r="Y21" s="50" t="s">
        <v>139</v>
      </c>
      <c r="Z21" s="49" t="s">
        <v>140</v>
      </c>
      <c r="AA21" s="49" t="s">
        <v>141</v>
      </c>
      <c r="AB21" s="49" t="s">
        <v>142</v>
      </c>
      <c r="AC21" s="50" t="s">
        <v>143</v>
      </c>
      <c r="AD21" s="49" t="s">
        <v>144</v>
      </c>
      <c r="AE21" s="49" t="s">
        <v>145</v>
      </c>
      <c r="AF21" s="49" t="s">
        <v>146</v>
      </c>
      <c r="AG21" s="50" t="s">
        <v>147</v>
      </c>
      <c r="AH21" s="49" t="s">
        <v>148</v>
      </c>
      <c r="AI21" s="49" t="s">
        <v>149</v>
      </c>
      <c r="AJ21" s="49" t="s">
        <v>150</v>
      </c>
      <c r="AK21" s="50" t="s">
        <v>151</v>
      </c>
      <c r="AL21" s="49" t="s">
        <v>152</v>
      </c>
      <c r="AM21" s="49" t="s">
        <v>153</v>
      </c>
      <c r="AN21" s="49" t="s">
        <v>154</v>
      </c>
      <c r="AO21" s="50" t="s">
        <v>155</v>
      </c>
      <c r="AP21" s="49" t="s">
        <v>156</v>
      </c>
      <c r="AQ21" s="49" t="s">
        <v>157</v>
      </c>
      <c r="AR21" s="49" t="s">
        <v>158</v>
      </c>
      <c r="AS21" s="50" t="s">
        <v>820</v>
      </c>
      <c r="AT21" s="49" t="s">
        <v>1275</v>
      </c>
      <c r="AU21" s="49" t="s">
        <v>1344</v>
      </c>
    </row>
    <row r="22" spans="1:47" ht="13">
      <c r="A22" s="37" t="s">
        <v>173</v>
      </c>
      <c r="B22" s="38">
        <v>10200</v>
      </c>
      <c r="C22" s="38">
        <v>9099</v>
      </c>
      <c r="D22" s="38">
        <v>11263</v>
      </c>
      <c r="E22" s="38">
        <v>13968</v>
      </c>
      <c r="F22" s="38">
        <v>15302</v>
      </c>
      <c r="G22" s="38">
        <v>13704</v>
      </c>
      <c r="H22" s="38">
        <v>15453</v>
      </c>
      <c r="I22" s="38">
        <v>19019</v>
      </c>
      <c r="J22" s="38">
        <v>23146</v>
      </c>
      <c r="K22" s="38">
        <v>22946</v>
      </c>
      <c r="L22" s="38">
        <v>22974</v>
      </c>
      <c r="M22" s="38"/>
      <c r="N22" s="38">
        <v>3007</v>
      </c>
      <c r="O22" s="38">
        <v>3568</v>
      </c>
      <c r="P22" s="38">
        <v>3556</v>
      </c>
      <c r="Q22" s="39">
        <v>3837</v>
      </c>
      <c r="R22" s="38">
        <v>3596</v>
      </c>
      <c r="S22" s="38">
        <v>4076</v>
      </c>
      <c r="T22" s="38">
        <v>3727</v>
      </c>
      <c r="U22" s="39">
        <v>3903</v>
      </c>
      <c r="V22" s="38">
        <v>3563</v>
      </c>
      <c r="W22" s="38">
        <v>3149</v>
      </c>
      <c r="X22" s="38">
        <v>3255</v>
      </c>
      <c r="Y22" s="39">
        <v>3737</v>
      </c>
      <c r="Z22" s="38">
        <v>3340</v>
      </c>
      <c r="AA22" s="38">
        <v>3835</v>
      </c>
      <c r="AB22" s="38">
        <v>3967</v>
      </c>
      <c r="AC22" s="39">
        <v>4311</v>
      </c>
      <c r="AD22" s="38">
        <v>4257</v>
      </c>
      <c r="AE22" s="38">
        <v>4055</v>
      </c>
      <c r="AF22" s="38">
        <v>4913</v>
      </c>
      <c r="AG22" s="39">
        <v>5794</v>
      </c>
      <c r="AH22" s="38">
        <v>5596</v>
      </c>
      <c r="AI22" s="38">
        <v>6023</v>
      </c>
      <c r="AJ22" s="38">
        <v>5779</v>
      </c>
      <c r="AK22" s="39">
        <v>5748</v>
      </c>
      <c r="AL22" s="38">
        <v>5182</v>
      </c>
      <c r="AM22" s="38">
        <v>5949</v>
      </c>
      <c r="AN22" s="38">
        <v>5825</v>
      </c>
      <c r="AO22" s="39">
        <v>5990</v>
      </c>
      <c r="AP22" s="38">
        <v>6140</v>
      </c>
      <c r="AQ22" s="38">
        <v>5671</v>
      </c>
      <c r="AR22" s="38">
        <v>5334</v>
      </c>
      <c r="AS22" s="39">
        <v>5829</v>
      </c>
      <c r="AT22" s="38">
        <v>5097</v>
      </c>
      <c r="AU22" s="38">
        <v>6016</v>
      </c>
    </row>
    <row r="23" spans="1:47" ht="13">
      <c r="A23" s="37" t="s">
        <v>174</v>
      </c>
      <c r="B23" s="38">
        <v>28663</v>
      </c>
      <c r="C23" s="38">
        <v>27102</v>
      </c>
      <c r="D23" s="38">
        <v>31364</v>
      </c>
      <c r="E23" s="38">
        <v>38285</v>
      </c>
      <c r="F23" s="38">
        <v>40849</v>
      </c>
      <c r="G23" s="38">
        <v>36122</v>
      </c>
      <c r="H23" s="38">
        <v>39645</v>
      </c>
      <c r="I23" s="38">
        <v>49694</v>
      </c>
      <c r="J23" s="38">
        <v>60343</v>
      </c>
      <c r="K23" s="38">
        <v>63604</v>
      </c>
      <c r="L23" s="38">
        <v>61998</v>
      </c>
      <c r="M23" s="38"/>
      <c r="N23" s="38">
        <v>8233</v>
      </c>
      <c r="O23" s="38">
        <v>9843</v>
      </c>
      <c r="P23" s="38">
        <v>9651</v>
      </c>
      <c r="Q23" s="39">
        <v>10558</v>
      </c>
      <c r="R23" s="38">
        <v>9785</v>
      </c>
      <c r="S23" s="38">
        <v>10626</v>
      </c>
      <c r="T23" s="38">
        <v>10158</v>
      </c>
      <c r="U23" s="39">
        <v>10280</v>
      </c>
      <c r="V23" s="38">
        <v>9134</v>
      </c>
      <c r="W23" s="38">
        <v>8458</v>
      </c>
      <c r="X23" s="38">
        <v>8724</v>
      </c>
      <c r="Y23" s="39">
        <v>9806</v>
      </c>
      <c r="Z23" s="38">
        <v>8773</v>
      </c>
      <c r="AA23" s="38">
        <v>9733</v>
      </c>
      <c r="AB23" s="38">
        <v>9966</v>
      </c>
      <c r="AC23" s="39">
        <v>11173</v>
      </c>
      <c r="AD23" s="38">
        <v>11088</v>
      </c>
      <c r="AE23" s="38">
        <v>11868</v>
      </c>
      <c r="AF23" s="38">
        <v>12802</v>
      </c>
      <c r="AG23" s="39">
        <v>13936</v>
      </c>
      <c r="AH23" s="38">
        <v>13868</v>
      </c>
      <c r="AI23" s="38">
        <v>15910</v>
      </c>
      <c r="AJ23" s="38">
        <v>14997</v>
      </c>
      <c r="AK23" s="39">
        <v>15568</v>
      </c>
      <c r="AL23" s="38">
        <v>14143</v>
      </c>
      <c r="AM23" s="38">
        <v>16511</v>
      </c>
      <c r="AN23" s="38">
        <v>15699</v>
      </c>
      <c r="AO23" s="39">
        <v>17251</v>
      </c>
      <c r="AP23" s="38">
        <v>15536</v>
      </c>
      <c r="AQ23" s="38">
        <v>15130</v>
      </c>
      <c r="AR23" s="38">
        <v>15242</v>
      </c>
      <c r="AS23" s="39">
        <v>16090</v>
      </c>
      <c r="AT23" s="38">
        <v>14351</v>
      </c>
      <c r="AU23" s="38">
        <v>16702</v>
      </c>
    </row>
    <row r="24" spans="1:47" ht="13">
      <c r="A24" s="40" t="s">
        <v>175</v>
      </c>
      <c r="B24" s="41" t="s">
        <v>176</v>
      </c>
      <c r="C24" s="55" t="s">
        <v>177</v>
      </c>
      <c r="D24" s="55" t="s">
        <v>178</v>
      </c>
      <c r="E24" s="55">
        <v>36.484262766096379</v>
      </c>
      <c r="F24" s="55">
        <v>37.45991333937183</v>
      </c>
      <c r="G24" s="55">
        <v>37.9</v>
      </c>
      <c r="H24" s="55">
        <v>39</v>
      </c>
      <c r="I24" s="55">
        <v>38.299999999999997</v>
      </c>
      <c r="J24" s="55">
        <v>38.4</v>
      </c>
      <c r="K24" s="55">
        <v>36.1</v>
      </c>
      <c r="L24" s="55">
        <v>37.1</v>
      </c>
      <c r="M24" s="56"/>
      <c r="N24" s="55">
        <v>36.523745900643753</v>
      </c>
      <c r="O24" s="55">
        <v>36.249111043381085</v>
      </c>
      <c r="P24" s="55">
        <v>36.845922702310638</v>
      </c>
      <c r="Q24" s="57">
        <v>36.342110248153062</v>
      </c>
      <c r="R24" s="55">
        <v>36.750127746550845</v>
      </c>
      <c r="S24" s="55">
        <v>38.35874270656879</v>
      </c>
      <c r="T24" s="55">
        <v>36.690293364835597</v>
      </c>
      <c r="U24" s="57">
        <v>37.966926070038909</v>
      </c>
      <c r="V24" s="55">
        <v>39</v>
      </c>
      <c r="W24" s="55">
        <v>37.231023882714595</v>
      </c>
      <c r="X24" s="55">
        <v>37.310866574965615</v>
      </c>
      <c r="Y24" s="57">
        <v>38.109320823985314</v>
      </c>
      <c r="Z24" s="55">
        <v>38.071355294654055</v>
      </c>
      <c r="AA24" s="55">
        <v>39.4</v>
      </c>
      <c r="AB24" s="55">
        <v>39.805338149709016</v>
      </c>
      <c r="AC24" s="57">
        <v>38.584086637429515</v>
      </c>
      <c r="AD24" s="55">
        <v>38.392857142857146</v>
      </c>
      <c r="AE24" s="55">
        <v>34.167509268621501</v>
      </c>
      <c r="AF24" s="55">
        <v>38.376816122480861</v>
      </c>
      <c r="AG24" s="57">
        <v>41.575774971297356</v>
      </c>
      <c r="AH24" s="55">
        <v>40.351889241419094</v>
      </c>
      <c r="AI24" s="55">
        <v>37.9</v>
      </c>
      <c r="AJ24" s="55">
        <v>38.534373541374947</v>
      </c>
      <c r="AK24" s="57">
        <v>36.921891058581707</v>
      </c>
      <c r="AL24" s="55">
        <v>36.640033939051122</v>
      </c>
      <c r="AM24" s="55">
        <v>36.030525104475799</v>
      </c>
      <c r="AN24" s="55">
        <v>37.104274157589657</v>
      </c>
      <c r="AO24" s="57">
        <v>34.722624775375337</v>
      </c>
      <c r="AP24" s="55">
        <v>40</v>
      </c>
      <c r="AQ24" s="55">
        <v>37.481824190350302</v>
      </c>
      <c r="AR24" s="55">
        <v>34.995407426846867</v>
      </c>
      <c r="AS24" s="57">
        <v>36.227470478558111</v>
      </c>
      <c r="AT24" s="55">
        <v>35.516688732492504</v>
      </c>
      <c r="AU24" s="55">
        <v>36.019638366662676</v>
      </c>
    </row>
    <row r="25" spans="1:47" ht="13">
      <c r="A25" s="45" t="s">
        <v>162</v>
      </c>
      <c r="B25" s="31"/>
      <c r="C25" s="31"/>
      <c r="D25" s="32"/>
      <c r="E25" s="31"/>
      <c r="F25" s="31"/>
      <c r="G25" s="31"/>
      <c r="H25" s="31"/>
      <c r="I25" s="31"/>
      <c r="J25" s="31"/>
      <c r="K25" s="31"/>
      <c r="L25" s="31"/>
      <c r="M25" s="31"/>
      <c r="N25" s="31"/>
      <c r="O25" s="31"/>
      <c r="P25" s="31"/>
      <c r="Q25" s="33"/>
      <c r="R25" s="31"/>
      <c r="S25" s="31"/>
      <c r="T25" s="31"/>
      <c r="U25" s="33"/>
      <c r="V25" s="31"/>
      <c r="W25" s="31"/>
      <c r="X25" s="31"/>
      <c r="Y25" s="33"/>
      <c r="Z25" s="31"/>
      <c r="AA25" s="31"/>
      <c r="AB25" s="31"/>
      <c r="AC25" s="33"/>
      <c r="AD25" s="31"/>
      <c r="AE25" s="31"/>
      <c r="AF25" s="31"/>
      <c r="AG25" s="33"/>
      <c r="AH25" s="31"/>
      <c r="AI25" s="31"/>
      <c r="AJ25" s="31"/>
      <c r="AK25" s="33"/>
      <c r="AL25" s="31"/>
      <c r="AM25" s="31"/>
      <c r="AN25" s="31"/>
      <c r="AO25" s="33"/>
      <c r="AP25" s="31"/>
      <c r="AQ25" s="31"/>
      <c r="AR25" s="31"/>
      <c r="AS25" s="33"/>
      <c r="AT25" s="31"/>
      <c r="AU25" s="31"/>
    </row>
    <row r="26" spans="1:47" ht="13">
      <c r="A26" s="31"/>
      <c r="B26" s="31"/>
      <c r="C26" s="31"/>
      <c r="D26" s="32"/>
      <c r="E26" s="31"/>
      <c r="F26" s="31"/>
      <c r="G26" s="31"/>
      <c r="H26" s="31"/>
      <c r="I26" s="31"/>
      <c r="J26" s="31"/>
      <c r="K26" s="31"/>
      <c r="L26" s="31"/>
      <c r="M26" s="31"/>
      <c r="N26" s="31"/>
      <c r="O26" s="31"/>
      <c r="P26" s="31"/>
      <c r="Q26" s="33"/>
      <c r="R26" s="31"/>
      <c r="S26" s="31"/>
      <c r="T26" s="31"/>
      <c r="U26" s="33"/>
      <c r="V26" s="31"/>
      <c r="W26" s="31"/>
      <c r="X26" s="31"/>
      <c r="Y26" s="33"/>
      <c r="Z26" s="31"/>
      <c r="AA26" s="31"/>
      <c r="AB26" s="31"/>
      <c r="AC26" s="33"/>
      <c r="AD26" s="31"/>
      <c r="AE26" s="31"/>
      <c r="AF26" s="31"/>
      <c r="AG26" s="33"/>
      <c r="AH26" s="31"/>
      <c r="AI26" s="31"/>
      <c r="AJ26" s="31"/>
      <c r="AK26" s="33"/>
      <c r="AL26" s="31"/>
      <c r="AM26" s="31"/>
      <c r="AN26" s="31"/>
      <c r="AO26" s="33"/>
      <c r="AP26" s="31"/>
      <c r="AQ26" s="31"/>
      <c r="AR26" s="31"/>
      <c r="AS26" s="33"/>
      <c r="AT26" s="31"/>
      <c r="AU26" s="31"/>
    </row>
    <row r="27" spans="1:47" ht="14">
      <c r="A27" s="46" t="s">
        <v>179</v>
      </c>
      <c r="B27" s="47">
        <v>2015</v>
      </c>
      <c r="C27" s="47">
        <v>2016</v>
      </c>
      <c r="D27" s="47" t="s">
        <v>127</v>
      </c>
      <c r="E27" s="47">
        <v>2018</v>
      </c>
      <c r="F27" s="47">
        <v>2019</v>
      </c>
      <c r="G27" s="47">
        <v>2020</v>
      </c>
      <c r="H27" s="47">
        <v>2021</v>
      </c>
      <c r="I27" s="47">
        <v>2022</v>
      </c>
      <c r="J27" s="47">
        <v>2023</v>
      </c>
      <c r="K27" s="47">
        <v>2024</v>
      </c>
      <c r="L27" s="47">
        <v>2025</v>
      </c>
      <c r="M27" s="48"/>
      <c r="N27" s="49" t="s">
        <v>128</v>
      </c>
      <c r="O27" s="49" t="s">
        <v>129</v>
      </c>
      <c r="P27" s="49" t="s">
        <v>130</v>
      </c>
      <c r="Q27" s="50" t="s">
        <v>131</v>
      </c>
      <c r="R27" s="49" t="s">
        <v>132</v>
      </c>
      <c r="S27" s="49" t="s">
        <v>133</v>
      </c>
      <c r="T27" s="49" t="s">
        <v>134</v>
      </c>
      <c r="U27" s="50" t="s">
        <v>135</v>
      </c>
      <c r="V27" s="49" t="s">
        <v>136</v>
      </c>
      <c r="W27" s="49" t="s">
        <v>137</v>
      </c>
      <c r="X27" s="49" t="s">
        <v>138</v>
      </c>
      <c r="Y27" s="50" t="s">
        <v>139</v>
      </c>
      <c r="Z27" s="49" t="s">
        <v>140</v>
      </c>
      <c r="AA27" s="49" t="s">
        <v>141</v>
      </c>
      <c r="AB27" s="49" t="s">
        <v>142</v>
      </c>
      <c r="AC27" s="50" t="s">
        <v>143</v>
      </c>
      <c r="AD27" s="49" t="s">
        <v>144</v>
      </c>
      <c r="AE27" s="49" t="s">
        <v>145</v>
      </c>
      <c r="AF27" s="49" t="s">
        <v>146</v>
      </c>
      <c r="AG27" s="50" t="s">
        <v>147</v>
      </c>
      <c r="AH27" s="49" t="s">
        <v>148</v>
      </c>
      <c r="AI27" s="49" t="s">
        <v>149</v>
      </c>
      <c r="AJ27" s="49" t="s">
        <v>150</v>
      </c>
      <c r="AK27" s="50" t="s">
        <v>151</v>
      </c>
      <c r="AL27" s="49" t="s">
        <v>152</v>
      </c>
      <c r="AM27" s="49" t="s">
        <v>153</v>
      </c>
      <c r="AN27" s="49" t="s">
        <v>154</v>
      </c>
      <c r="AO27" s="50" t="s">
        <v>155</v>
      </c>
      <c r="AP27" s="49" t="s">
        <v>156</v>
      </c>
      <c r="AQ27" s="49" t="s">
        <v>157</v>
      </c>
      <c r="AR27" s="49" t="s">
        <v>158</v>
      </c>
      <c r="AS27" s="50" t="s">
        <v>820</v>
      </c>
      <c r="AT27" s="49" t="s">
        <v>1275</v>
      </c>
      <c r="AU27" s="49" t="s">
        <v>1344</v>
      </c>
    </row>
    <row r="28" spans="1:47" ht="13">
      <c r="A28" s="37" t="s">
        <v>180</v>
      </c>
      <c r="B28" s="38">
        <v>5175</v>
      </c>
      <c r="C28" s="38">
        <v>4548</v>
      </c>
      <c r="D28" s="38">
        <v>5930</v>
      </c>
      <c r="E28" s="38">
        <v>7385</v>
      </c>
      <c r="F28" s="38">
        <v>8136</v>
      </c>
      <c r="G28" s="38">
        <v>7382</v>
      </c>
      <c r="H28" s="38">
        <v>8995</v>
      </c>
      <c r="I28" s="38">
        <v>11147</v>
      </c>
      <c r="J28" s="38">
        <v>13183</v>
      </c>
      <c r="K28" s="38">
        <v>12385</v>
      </c>
      <c r="L28" s="38">
        <v>11925</v>
      </c>
      <c r="M28" s="38"/>
      <c r="N28" s="38">
        <v>1515</v>
      </c>
      <c r="O28" s="38">
        <v>1810</v>
      </c>
      <c r="P28" s="38">
        <v>1898</v>
      </c>
      <c r="Q28" s="39">
        <v>2162</v>
      </c>
      <c r="R28" s="38">
        <v>1930</v>
      </c>
      <c r="S28" s="38">
        <v>2262.5304182700002</v>
      </c>
      <c r="T28" s="38">
        <v>1927.4103993842</v>
      </c>
      <c r="U28" s="39">
        <v>2016.060167183</v>
      </c>
      <c r="V28" s="38">
        <v>1932</v>
      </c>
      <c r="W28" s="38">
        <v>1418</v>
      </c>
      <c r="X28" s="38">
        <v>1820</v>
      </c>
      <c r="Y28" s="39">
        <v>2212</v>
      </c>
      <c r="Z28" s="38">
        <v>1867</v>
      </c>
      <c r="AA28" s="38">
        <v>2182</v>
      </c>
      <c r="AB28" s="38">
        <v>2352</v>
      </c>
      <c r="AC28" s="39">
        <v>2594</v>
      </c>
      <c r="AD28" s="38">
        <v>2631</v>
      </c>
      <c r="AE28" s="38">
        <v>2381</v>
      </c>
      <c r="AF28" s="38">
        <v>2900</v>
      </c>
      <c r="AG28" s="39">
        <v>3235</v>
      </c>
      <c r="AH28" s="38">
        <v>3161</v>
      </c>
      <c r="AI28" s="38">
        <v>3413</v>
      </c>
      <c r="AJ28" s="38">
        <v>3260</v>
      </c>
      <c r="AK28" s="39">
        <v>3349</v>
      </c>
      <c r="AL28" s="38">
        <v>2760</v>
      </c>
      <c r="AM28" s="38">
        <v>2921</v>
      </c>
      <c r="AN28" s="38">
        <v>3277</v>
      </c>
      <c r="AO28" s="39">
        <v>3427</v>
      </c>
      <c r="AP28" s="38">
        <v>3088</v>
      </c>
      <c r="AQ28" s="38">
        <v>2831</v>
      </c>
      <c r="AR28" s="38">
        <v>2802</v>
      </c>
      <c r="AS28" s="39">
        <v>3204</v>
      </c>
      <c r="AT28" s="38">
        <v>2846</v>
      </c>
      <c r="AU28" s="38">
        <v>3316</v>
      </c>
    </row>
    <row r="29" spans="1:47" ht="13">
      <c r="A29" s="37" t="s">
        <v>174</v>
      </c>
      <c r="B29" s="38">
        <v>28663</v>
      </c>
      <c r="C29" s="38">
        <v>27102</v>
      </c>
      <c r="D29" s="38">
        <v>31364</v>
      </c>
      <c r="E29" s="38">
        <v>38285</v>
      </c>
      <c r="F29" s="38">
        <v>40849</v>
      </c>
      <c r="G29" s="38">
        <v>36122</v>
      </c>
      <c r="H29" s="38">
        <v>39645</v>
      </c>
      <c r="I29" s="38">
        <v>49694</v>
      </c>
      <c r="J29" s="38">
        <v>60343</v>
      </c>
      <c r="K29" s="38">
        <v>63604</v>
      </c>
      <c r="L29" s="38">
        <v>61998</v>
      </c>
      <c r="M29" s="38"/>
      <c r="N29" s="38">
        <v>8233</v>
      </c>
      <c r="O29" s="38">
        <v>9843</v>
      </c>
      <c r="P29" s="38">
        <v>9651</v>
      </c>
      <c r="Q29" s="39">
        <v>10558</v>
      </c>
      <c r="R29" s="38">
        <v>9785</v>
      </c>
      <c r="S29" s="38">
        <v>10626</v>
      </c>
      <c r="T29" s="38">
        <v>10158</v>
      </c>
      <c r="U29" s="39">
        <v>10280</v>
      </c>
      <c r="V29" s="38">
        <v>9134</v>
      </c>
      <c r="W29" s="38">
        <v>8458</v>
      </c>
      <c r="X29" s="38">
        <v>8724</v>
      </c>
      <c r="Y29" s="39">
        <v>9806</v>
      </c>
      <c r="Z29" s="38">
        <v>8773</v>
      </c>
      <c r="AA29" s="38">
        <v>9733</v>
      </c>
      <c r="AB29" s="38">
        <v>9966</v>
      </c>
      <c r="AC29" s="39">
        <v>11173</v>
      </c>
      <c r="AD29" s="38">
        <v>11088</v>
      </c>
      <c r="AE29" s="38">
        <v>11868</v>
      </c>
      <c r="AF29" s="38">
        <v>12802</v>
      </c>
      <c r="AG29" s="39">
        <v>13936</v>
      </c>
      <c r="AH29" s="38">
        <v>13868</v>
      </c>
      <c r="AI29" s="38">
        <v>15910</v>
      </c>
      <c r="AJ29" s="38">
        <v>14997</v>
      </c>
      <c r="AK29" s="39">
        <v>15568</v>
      </c>
      <c r="AL29" s="38">
        <v>14143</v>
      </c>
      <c r="AM29" s="38">
        <v>16511</v>
      </c>
      <c r="AN29" s="38">
        <v>15699</v>
      </c>
      <c r="AO29" s="39">
        <v>17251</v>
      </c>
      <c r="AP29" s="38">
        <v>15536</v>
      </c>
      <c r="AQ29" s="38">
        <v>15130</v>
      </c>
      <c r="AR29" s="38">
        <v>15242</v>
      </c>
      <c r="AS29" s="39">
        <v>16090</v>
      </c>
      <c r="AT29" s="38">
        <v>14351</v>
      </c>
      <c r="AU29" s="38">
        <v>16702</v>
      </c>
    </row>
    <row r="30" spans="1:47" ht="13">
      <c r="A30" s="40" t="s">
        <v>181</v>
      </c>
      <c r="B30" s="41">
        <v>18.100000000000001</v>
      </c>
      <c r="C30" s="55">
        <v>16.8</v>
      </c>
      <c r="D30" s="55">
        <v>18.899999999999999</v>
      </c>
      <c r="E30" s="55">
        <v>19.3</v>
      </c>
      <c r="F30" s="55">
        <v>19.899999999999999</v>
      </c>
      <c r="G30" s="55">
        <v>20.399999999999999</v>
      </c>
      <c r="H30" s="55">
        <v>22.7</v>
      </c>
      <c r="I30" s="55">
        <v>22.4</v>
      </c>
      <c r="J30" s="55">
        <v>21.8</v>
      </c>
      <c r="K30" s="55">
        <v>19.5</v>
      </c>
      <c r="L30" s="55">
        <v>19.2</v>
      </c>
      <c r="M30" s="56"/>
      <c r="N30" s="55">
        <v>18.401554718814527</v>
      </c>
      <c r="O30" s="55">
        <v>18.388702631311592</v>
      </c>
      <c r="P30" s="55">
        <v>19.666355818049944</v>
      </c>
      <c r="Q30" s="57">
        <v>20.477363136957756</v>
      </c>
      <c r="R30" s="55">
        <v>19.724067450178843</v>
      </c>
      <c r="S30" s="55">
        <v>21.292399946075665</v>
      </c>
      <c r="T30" s="55">
        <v>18.974309897462099</v>
      </c>
      <c r="U30" s="57">
        <v>19.611480225515564</v>
      </c>
      <c r="V30" s="55">
        <v>21.2</v>
      </c>
      <c r="W30" s="55">
        <v>16.765192716954363</v>
      </c>
      <c r="X30" s="55">
        <v>20.861989912883999</v>
      </c>
      <c r="Y30" s="57">
        <v>22.557617785029574</v>
      </c>
      <c r="Z30" s="55">
        <v>21.281203693149436</v>
      </c>
      <c r="AA30" s="55">
        <v>22.4</v>
      </c>
      <c r="AB30" s="55">
        <v>23.600240818783867</v>
      </c>
      <c r="AC30" s="57">
        <v>23.21668307527074</v>
      </c>
      <c r="AD30" s="55">
        <v>23.728354978354979</v>
      </c>
      <c r="AE30" s="55">
        <v>20.062352544657905</v>
      </c>
      <c r="AF30" s="55">
        <v>22.652710513982193</v>
      </c>
      <c r="AG30" s="57">
        <v>23.213260619977039</v>
      </c>
      <c r="AH30" s="55">
        <v>22.793481396019612</v>
      </c>
      <c r="AI30" s="55">
        <v>21.5</v>
      </c>
      <c r="AJ30" s="55">
        <v>21.737680869507233</v>
      </c>
      <c r="AK30" s="57">
        <v>21.512076053442961</v>
      </c>
      <c r="AL30" s="55">
        <v>19.514954394400057</v>
      </c>
      <c r="AM30" s="55">
        <v>17.691236145599902</v>
      </c>
      <c r="AN30" s="55">
        <v>20.873941015351296</v>
      </c>
      <c r="AO30" s="57">
        <v>19.865515042606223</v>
      </c>
      <c r="AP30" s="55">
        <v>19.899999999999999</v>
      </c>
      <c r="AQ30" s="55">
        <v>18.711169861202908</v>
      </c>
      <c r="AR30" s="55">
        <v>18.383414250098411</v>
      </c>
      <c r="AS30" s="57">
        <v>19.912989434431324</v>
      </c>
      <c r="AT30" s="55">
        <v>19.831370636192599</v>
      </c>
      <c r="AU30" s="55">
        <v>19.853909711411806</v>
      </c>
    </row>
    <row r="31" spans="1:47" ht="13">
      <c r="A31" s="45" t="s">
        <v>162</v>
      </c>
      <c r="B31" s="31"/>
      <c r="C31" s="31"/>
      <c r="D31" s="32"/>
      <c r="E31" s="31"/>
      <c r="F31" s="31"/>
      <c r="G31" s="31"/>
      <c r="H31" s="31"/>
      <c r="I31" s="31"/>
      <c r="J31" s="31"/>
      <c r="K31" s="31"/>
      <c r="L31" s="31"/>
      <c r="M31" s="31"/>
      <c r="N31" s="31"/>
      <c r="O31" s="31"/>
      <c r="P31" s="31"/>
      <c r="Q31" s="33"/>
      <c r="R31" s="31"/>
      <c r="S31" s="31"/>
      <c r="T31" s="31"/>
      <c r="U31" s="33"/>
      <c r="V31" s="31"/>
      <c r="W31" s="31"/>
      <c r="X31" s="31"/>
      <c r="Y31" s="33"/>
      <c r="Z31" s="31"/>
      <c r="AA31" s="31"/>
      <c r="AB31" s="31"/>
      <c r="AC31" s="33"/>
      <c r="AD31" s="31"/>
      <c r="AE31" s="31"/>
      <c r="AF31" s="31"/>
      <c r="AG31" s="33"/>
      <c r="AH31" s="31"/>
      <c r="AI31" s="31"/>
      <c r="AJ31" s="31"/>
      <c r="AK31" s="33"/>
      <c r="AL31" s="31"/>
      <c r="AM31" s="31"/>
      <c r="AN31" s="31"/>
      <c r="AO31" s="33"/>
      <c r="AP31" s="31"/>
      <c r="AQ31" s="31"/>
      <c r="AR31" s="31"/>
      <c r="AS31" s="33"/>
      <c r="AT31" s="31"/>
      <c r="AU31" s="31"/>
    </row>
    <row r="32" spans="1:47" ht="13">
      <c r="A32" s="31"/>
      <c r="B32" s="31"/>
      <c r="C32" s="31"/>
      <c r="D32" s="32"/>
      <c r="E32" s="31"/>
      <c r="F32" s="31"/>
      <c r="G32" s="31"/>
      <c r="H32" s="31"/>
      <c r="I32" s="31"/>
      <c r="J32" s="31"/>
      <c r="K32" s="31"/>
      <c r="L32" s="31"/>
      <c r="M32" s="31"/>
      <c r="N32" s="31"/>
      <c r="O32" s="31"/>
      <c r="P32" s="31"/>
      <c r="Q32" s="33"/>
      <c r="R32" s="31"/>
      <c r="S32" s="31"/>
      <c r="T32" s="31"/>
      <c r="U32" s="33"/>
      <c r="V32" s="31"/>
      <c r="W32" s="31"/>
      <c r="X32" s="31"/>
      <c r="Y32" s="33"/>
      <c r="Z32" s="31"/>
      <c r="AA32" s="31"/>
      <c r="AB32" s="31"/>
      <c r="AC32" s="33"/>
      <c r="AD32" s="31"/>
      <c r="AE32" s="31"/>
      <c r="AF32" s="31"/>
      <c r="AG32" s="33"/>
      <c r="AH32" s="31"/>
      <c r="AI32" s="31"/>
      <c r="AJ32" s="31"/>
      <c r="AK32" s="33"/>
      <c r="AL32" s="31"/>
      <c r="AM32" s="31"/>
      <c r="AN32" s="31"/>
      <c r="AO32" s="33"/>
      <c r="AP32" s="31"/>
      <c r="AQ32" s="31"/>
      <c r="AR32" s="31"/>
      <c r="AS32" s="33"/>
      <c r="AT32" s="31"/>
      <c r="AU32" s="31"/>
    </row>
    <row r="33" spans="1:47" ht="14">
      <c r="A33" s="46" t="s">
        <v>182</v>
      </c>
      <c r="B33" s="47"/>
      <c r="C33" s="47"/>
      <c r="D33" s="47"/>
      <c r="E33" s="47">
        <v>2018</v>
      </c>
      <c r="F33" s="47" t="s">
        <v>183</v>
      </c>
      <c r="G33" s="47" t="s">
        <v>184</v>
      </c>
      <c r="H33" s="47" t="s">
        <v>185</v>
      </c>
      <c r="I33" s="47" t="s">
        <v>186</v>
      </c>
      <c r="J33" s="47" t="s">
        <v>187</v>
      </c>
      <c r="K33" s="47" t="s">
        <v>188</v>
      </c>
      <c r="L33" s="47" t="s">
        <v>1265</v>
      </c>
      <c r="M33" s="48"/>
      <c r="N33" s="49" t="s">
        <v>128</v>
      </c>
      <c r="O33" s="49" t="s">
        <v>129</v>
      </c>
      <c r="P33" s="49" t="s">
        <v>130</v>
      </c>
      <c r="Q33" s="50" t="s">
        <v>131</v>
      </c>
      <c r="R33" s="49" t="s">
        <v>132</v>
      </c>
      <c r="S33" s="49" t="s">
        <v>133</v>
      </c>
      <c r="T33" s="49" t="s">
        <v>134</v>
      </c>
      <c r="U33" s="50" t="s">
        <v>135</v>
      </c>
      <c r="V33" s="49" t="s">
        <v>136</v>
      </c>
      <c r="W33" s="49" t="s">
        <v>137</v>
      </c>
      <c r="X33" s="49" t="s">
        <v>138</v>
      </c>
      <c r="Y33" s="50" t="s">
        <v>139</v>
      </c>
      <c r="Z33" s="49" t="s">
        <v>140</v>
      </c>
      <c r="AA33" s="49" t="s">
        <v>141</v>
      </c>
      <c r="AB33" s="49" t="s">
        <v>142</v>
      </c>
      <c r="AC33" s="50" t="s">
        <v>143</v>
      </c>
      <c r="AD33" s="49" t="s">
        <v>144</v>
      </c>
      <c r="AE33" s="49" t="s">
        <v>145</v>
      </c>
      <c r="AF33" s="49" t="s">
        <v>146</v>
      </c>
      <c r="AG33" s="50" t="s">
        <v>147</v>
      </c>
      <c r="AH33" s="49" t="s">
        <v>148</v>
      </c>
      <c r="AI33" s="49" t="s">
        <v>149</v>
      </c>
      <c r="AJ33" s="49" t="s">
        <v>150</v>
      </c>
      <c r="AK33" s="50" t="s">
        <v>151</v>
      </c>
      <c r="AL33" s="49" t="s">
        <v>152</v>
      </c>
      <c r="AM33" s="49" t="s">
        <v>153</v>
      </c>
      <c r="AN33" s="49" t="s">
        <v>154</v>
      </c>
      <c r="AO33" s="50" t="s">
        <v>155</v>
      </c>
      <c r="AP33" s="49" t="s">
        <v>156</v>
      </c>
      <c r="AQ33" s="49" t="s">
        <v>157</v>
      </c>
      <c r="AR33" s="49" t="s">
        <v>158</v>
      </c>
      <c r="AS33" s="50" t="s">
        <v>820</v>
      </c>
      <c r="AT33" s="49" t="s">
        <v>1275</v>
      </c>
      <c r="AU33" s="49" t="s">
        <v>1344</v>
      </c>
    </row>
    <row r="34" spans="1:47" ht="13">
      <c r="A34" s="31" t="s">
        <v>189</v>
      </c>
      <c r="B34" s="38"/>
      <c r="C34" s="58"/>
      <c r="D34" s="38"/>
      <c r="E34" s="58">
        <v>7385</v>
      </c>
      <c r="F34" s="58">
        <v>8136</v>
      </c>
      <c r="G34" s="58">
        <v>7382</v>
      </c>
      <c r="H34" s="58">
        <v>8995</v>
      </c>
      <c r="I34" s="58">
        <v>11147</v>
      </c>
      <c r="J34" s="58">
        <v>13183</v>
      </c>
      <c r="K34" s="58">
        <v>12385</v>
      </c>
      <c r="L34" s="58">
        <v>11925</v>
      </c>
      <c r="M34" s="38"/>
      <c r="N34" s="58">
        <v>1515</v>
      </c>
      <c r="O34" s="58">
        <v>1810</v>
      </c>
      <c r="P34" s="58">
        <v>1898</v>
      </c>
      <c r="Q34" s="39">
        <v>2162</v>
      </c>
      <c r="R34" s="58">
        <v>1930</v>
      </c>
      <c r="S34" s="58">
        <v>2262.5304182700002</v>
      </c>
      <c r="T34" s="58">
        <v>1927.4103993842</v>
      </c>
      <c r="U34" s="39">
        <v>2016.060167183</v>
      </c>
      <c r="V34" s="58">
        <v>1932</v>
      </c>
      <c r="W34" s="58">
        <v>1418</v>
      </c>
      <c r="X34" s="58">
        <v>1820</v>
      </c>
      <c r="Y34" s="39">
        <v>2212</v>
      </c>
      <c r="Z34" s="58">
        <v>1867</v>
      </c>
      <c r="AA34" s="58">
        <v>2182</v>
      </c>
      <c r="AB34" s="58">
        <v>2352</v>
      </c>
      <c r="AC34" s="39">
        <v>2594</v>
      </c>
      <c r="AD34" s="58">
        <v>2631</v>
      </c>
      <c r="AE34" s="58">
        <v>2381</v>
      </c>
      <c r="AF34" s="58">
        <v>2900</v>
      </c>
      <c r="AG34" s="39">
        <v>3235</v>
      </c>
      <c r="AH34" s="58">
        <v>3161</v>
      </c>
      <c r="AI34" s="58">
        <v>3413</v>
      </c>
      <c r="AJ34" s="58">
        <v>3260</v>
      </c>
      <c r="AK34" s="39">
        <v>3349</v>
      </c>
      <c r="AL34" s="58">
        <v>2760</v>
      </c>
      <c r="AM34" s="58">
        <v>2921</v>
      </c>
      <c r="AN34" s="58">
        <v>3277</v>
      </c>
      <c r="AO34" s="39">
        <v>3427</v>
      </c>
      <c r="AP34" s="58">
        <v>3088</v>
      </c>
      <c r="AQ34" s="58">
        <v>2831</v>
      </c>
      <c r="AR34" s="58">
        <v>2802</v>
      </c>
      <c r="AS34" s="39">
        <v>3204</v>
      </c>
      <c r="AT34" s="58">
        <v>2846</v>
      </c>
      <c r="AU34" s="58">
        <v>3316</v>
      </c>
    </row>
    <row r="35" spans="1:47" ht="13">
      <c r="A35" s="59" t="s">
        <v>190</v>
      </c>
      <c r="B35" s="38"/>
      <c r="C35" s="37"/>
      <c r="D35" s="60"/>
      <c r="E35" s="37">
        <v>66</v>
      </c>
      <c r="F35" s="37">
        <v>194</v>
      </c>
      <c r="G35" s="37">
        <v>99</v>
      </c>
      <c r="H35" s="37">
        <v>270</v>
      </c>
      <c r="I35" s="37">
        <v>-37</v>
      </c>
      <c r="J35" s="37">
        <v>63</v>
      </c>
      <c r="K35" s="37">
        <v>0</v>
      </c>
      <c r="L35" s="37">
        <v>20</v>
      </c>
      <c r="M35" s="38"/>
      <c r="N35" s="37">
        <v>0</v>
      </c>
      <c r="O35" s="37">
        <v>77</v>
      </c>
      <c r="P35" s="37">
        <v>56</v>
      </c>
      <c r="Q35" s="39">
        <v>-67</v>
      </c>
      <c r="R35" s="37">
        <v>59</v>
      </c>
      <c r="S35" s="37">
        <v>39</v>
      </c>
      <c r="T35" s="37">
        <v>54</v>
      </c>
      <c r="U35" s="39">
        <v>42</v>
      </c>
      <c r="V35" s="37">
        <v>-65</v>
      </c>
      <c r="W35" s="37">
        <v>91</v>
      </c>
      <c r="X35" s="37">
        <v>21</v>
      </c>
      <c r="Y35" s="39">
        <v>52</v>
      </c>
      <c r="Z35" s="37">
        <v>149</v>
      </c>
      <c r="AA35" s="37">
        <v>15</v>
      </c>
      <c r="AB35" s="37">
        <v>-21</v>
      </c>
      <c r="AC35" s="39">
        <v>127</v>
      </c>
      <c r="AD35" s="37">
        <v>-43</v>
      </c>
      <c r="AE35" s="37">
        <v>-75</v>
      </c>
      <c r="AF35" s="37">
        <v>14</v>
      </c>
      <c r="AG35" s="39">
        <v>67</v>
      </c>
      <c r="AH35" s="37">
        <v>26</v>
      </c>
      <c r="AI35" s="37">
        <v>16</v>
      </c>
      <c r="AJ35" s="37">
        <v>19</v>
      </c>
      <c r="AK35" s="39">
        <v>2</v>
      </c>
      <c r="AL35" s="37">
        <v>2</v>
      </c>
      <c r="AM35" s="37">
        <v>18</v>
      </c>
      <c r="AN35" s="37">
        <v>17</v>
      </c>
      <c r="AO35" s="39">
        <v>-37</v>
      </c>
      <c r="AP35" s="37">
        <v>11</v>
      </c>
      <c r="AQ35" s="37">
        <v>6</v>
      </c>
      <c r="AR35" s="37">
        <v>-1</v>
      </c>
      <c r="AS35" s="39">
        <v>4</v>
      </c>
      <c r="AT35" s="37">
        <v>22</v>
      </c>
      <c r="AU35" s="37">
        <v>33</v>
      </c>
    </row>
    <row r="36" spans="1:47" ht="13">
      <c r="A36" s="59" t="s">
        <v>191</v>
      </c>
      <c r="B36" s="38"/>
      <c r="C36" s="37"/>
      <c r="D36" s="60"/>
      <c r="E36" s="37"/>
      <c r="F36" s="37">
        <v>28</v>
      </c>
      <c r="G36" s="61" t="s">
        <v>192</v>
      </c>
      <c r="H36" s="61" t="s">
        <v>192</v>
      </c>
      <c r="I36" s="61" t="s">
        <v>192</v>
      </c>
      <c r="J36" s="61" t="s">
        <v>192</v>
      </c>
      <c r="K36" s="61" t="s">
        <v>192</v>
      </c>
      <c r="L36" s="61" t="s">
        <v>192</v>
      </c>
      <c r="M36" s="38"/>
      <c r="N36" s="37"/>
      <c r="O36" s="37"/>
      <c r="P36" s="37"/>
      <c r="Q36" s="39"/>
      <c r="R36" s="37"/>
      <c r="S36" s="37"/>
      <c r="T36" s="37"/>
      <c r="U36" s="39">
        <v>28</v>
      </c>
      <c r="V36" s="60" t="s">
        <v>192</v>
      </c>
      <c r="W36" s="60" t="s">
        <v>192</v>
      </c>
      <c r="X36" s="60" t="s">
        <v>192</v>
      </c>
      <c r="Y36" s="39" t="s">
        <v>192</v>
      </c>
      <c r="Z36" s="60" t="s">
        <v>192</v>
      </c>
      <c r="AA36" s="60" t="s">
        <v>192</v>
      </c>
      <c r="AB36" s="60" t="s">
        <v>192</v>
      </c>
      <c r="AC36" s="39" t="s">
        <v>192</v>
      </c>
      <c r="AD36" s="60" t="s">
        <v>192</v>
      </c>
      <c r="AE36" s="60" t="s">
        <v>192</v>
      </c>
      <c r="AF36" s="60" t="s">
        <v>192</v>
      </c>
      <c r="AG36" s="39" t="s">
        <v>192</v>
      </c>
      <c r="AH36" s="60" t="s">
        <v>192</v>
      </c>
      <c r="AI36" s="60" t="s">
        <v>192</v>
      </c>
      <c r="AJ36" s="60" t="s">
        <v>192</v>
      </c>
      <c r="AK36" s="39" t="s">
        <v>192</v>
      </c>
      <c r="AL36" s="60" t="s">
        <v>192</v>
      </c>
      <c r="AM36" s="60" t="s">
        <v>192</v>
      </c>
      <c r="AN36" s="60" t="s">
        <v>192</v>
      </c>
      <c r="AO36" s="39" t="s">
        <v>192</v>
      </c>
      <c r="AP36" s="60" t="s">
        <v>192</v>
      </c>
      <c r="AQ36" s="60" t="s">
        <v>192</v>
      </c>
      <c r="AR36" s="60" t="s">
        <v>192</v>
      </c>
      <c r="AS36" s="39" t="s">
        <v>192</v>
      </c>
      <c r="AT36" s="60" t="s">
        <v>192</v>
      </c>
      <c r="AU36" s="60" t="s">
        <v>192</v>
      </c>
    </row>
    <row r="37" spans="1:47" ht="13">
      <c r="A37" s="62" t="s">
        <v>193</v>
      </c>
      <c r="B37" s="38"/>
      <c r="C37" s="37"/>
      <c r="D37" s="60"/>
      <c r="E37" s="37">
        <v>328</v>
      </c>
      <c r="F37" s="37"/>
      <c r="G37" s="37"/>
      <c r="H37" s="61" t="s">
        <v>192</v>
      </c>
      <c r="I37" s="61" t="s">
        <v>192</v>
      </c>
      <c r="J37" s="61" t="s">
        <v>192</v>
      </c>
      <c r="K37" s="61" t="s">
        <v>192</v>
      </c>
      <c r="L37" s="61" t="s">
        <v>192</v>
      </c>
      <c r="M37" s="38"/>
      <c r="N37" s="37">
        <v>95</v>
      </c>
      <c r="O37" s="37">
        <v>104</v>
      </c>
      <c r="P37" s="37">
        <v>70</v>
      </c>
      <c r="Q37" s="63">
        <v>59</v>
      </c>
      <c r="R37" s="37"/>
      <c r="S37" s="37"/>
      <c r="T37" s="37"/>
      <c r="U37" s="39"/>
      <c r="V37" s="60" t="s">
        <v>192</v>
      </c>
      <c r="W37" s="60" t="s">
        <v>192</v>
      </c>
      <c r="X37" s="60" t="s">
        <v>192</v>
      </c>
      <c r="Y37" s="39" t="s">
        <v>192</v>
      </c>
      <c r="Z37" s="60" t="s">
        <v>192</v>
      </c>
      <c r="AA37" s="60" t="s">
        <v>192</v>
      </c>
      <c r="AB37" s="60" t="s">
        <v>192</v>
      </c>
      <c r="AC37" s="39" t="s">
        <v>192</v>
      </c>
      <c r="AD37" s="60" t="s">
        <v>192</v>
      </c>
      <c r="AE37" s="60" t="s">
        <v>192</v>
      </c>
      <c r="AF37" s="60" t="s">
        <v>192</v>
      </c>
      <c r="AG37" s="39" t="s">
        <v>192</v>
      </c>
      <c r="AH37" s="60" t="s">
        <v>192</v>
      </c>
      <c r="AI37" s="60" t="s">
        <v>192</v>
      </c>
      <c r="AJ37" s="60" t="s">
        <v>192</v>
      </c>
      <c r="AK37" s="39" t="s">
        <v>192</v>
      </c>
      <c r="AL37" s="60" t="s">
        <v>192</v>
      </c>
      <c r="AM37" s="60" t="s">
        <v>192</v>
      </c>
      <c r="AN37" s="60" t="s">
        <v>192</v>
      </c>
      <c r="AO37" s="39" t="s">
        <v>192</v>
      </c>
      <c r="AP37" s="60" t="s">
        <v>192</v>
      </c>
      <c r="AQ37" s="60" t="s">
        <v>192</v>
      </c>
      <c r="AR37" s="60" t="s">
        <v>192</v>
      </c>
      <c r="AS37" s="39" t="s">
        <v>192</v>
      </c>
      <c r="AT37" s="60" t="s">
        <v>192</v>
      </c>
      <c r="AU37" s="60" t="s">
        <v>192</v>
      </c>
    </row>
    <row r="38" spans="1:47" ht="13">
      <c r="A38" s="62" t="s">
        <v>194</v>
      </c>
      <c r="B38" s="38"/>
      <c r="C38" s="37"/>
      <c r="D38" s="60"/>
      <c r="E38" s="37"/>
      <c r="F38" s="37">
        <v>28</v>
      </c>
      <c r="G38" s="37">
        <v>84</v>
      </c>
      <c r="H38" s="37">
        <v>-167</v>
      </c>
      <c r="I38" s="37">
        <v>560</v>
      </c>
      <c r="J38" s="37">
        <v>-287</v>
      </c>
      <c r="K38" s="37">
        <v>-51</v>
      </c>
      <c r="L38" s="37">
        <v>180</v>
      </c>
      <c r="M38" s="38"/>
      <c r="N38" s="37"/>
      <c r="O38" s="37"/>
      <c r="P38" s="37"/>
      <c r="Q38" s="63"/>
      <c r="R38" s="37"/>
      <c r="S38" s="37"/>
      <c r="T38" s="37"/>
      <c r="U38" s="39">
        <v>28</v>
      </c>
      <c r="V38" s="60">
        <v>34</v>
      </c>
      <c r="W38" s="60">
        <v>17</v>
      </c>
      <c r="X38" s="60">
        <v>33</v>
      </c>
      <c r="Y38" s="39" t="s">
        <v>192</v>
      </c>
      <c r="Z38" s="60" t="s">
        <v>192</v>
      </c>
      <c r="AA38" s="60" t="s">
        <v>192</v>
      </c>
      <c r="AB38" s="60" t="s">
        <v>192</v>
      </c>
      <c r="AC38" s="39">
        <v>-167</v>
      </c>
      <c r="AD38" s="60" t="s">
        <v>192</v>
      </c>
      <c r="AE38" s="60">
        <v>422</v>
      </c>
      <c r="AF38" s="60">
        <v>138</v>
      </c>
      <c r="AG38" s="39" t="s">
        <v>192</v>
      </c>
      <c r="AH38" s="60" t="s">
        <v>192</v>
      </c>
      <c r="AI38" s="60" t="s">
        <v>192</v>
      </c>
      <c r="AJ38" s="60">
        <v>-7</v>
      </c>
      <c r="AK38" s="39">
        <v>-280</v>
      </c>
      <c r="AL38" s="60" t="s">
        <v>192</v>
      </c>
      <c r="AM38" s="60">
        <v>142</v>
      </c>
      <c r="AN38" s="60">
        <v>-208</v>
      </c>
      <c r="AO38" s="39">
        <v>15</v>
      </c>
      <c r="AP38" s="60" t="s">
        <v>192</v>
      </c>
      <c r="AQ38" s="60">
        <v>49</v>
      </c>
      <c r="AR38" s="60">
        <v>101</v>
      </c>
      <c r="AS38" s="39">
        <v>30</v>
      </c>
      <c r="AT38" s="60" t="s">
        <v>192</v>
      </c>
      <c r="AU38" s="60" t="s">
        <v>192</v>
      </c>
    </row>
    <row r="39" spans="1:47" ht="13">
      <c r="A39" s="62" t="s">
        <v>195</v>
      </c>
      <c r="B39" s="38"/>
      <c r="C39" s="37"/>
      <c r="D39" s="60"/>
      <c r="E39" s="37"/>
      <c r="F39" s="37">
        <v>196</v>
      </c>
      <c r="G39" s="37">
        <v>104</v>
      </c>
      <c r="H39" s="61" t="s">
        <v>192</v>
      </c>
      <c r="I39" s="61">
        <v>85</v>
      </c>
      <c r="J39" s="61">
        <v>158</v>
      </c>
      <c r="K39" s="61">
        <v>290</v>
      </c>
      <c r="L39" s="61" t="s">
        <v>192</v>
      </c>
      <c r="M39" s="38"/>
      <c r="N39" s="37"/>
      <c r="O39" s="37"/>
      <c r="P39" s="37"/>
      <c r="Q39" s="63"/>
      <c r="R39" s="37"/>
      <c r="S39" s="37"/>
      <c r="T39" s="37">
        <v>179</v>
      </c>
      <c r="U39" s="39">
        <v>17</v>
      </c>
      <c r="V39" s="60">
        <v>10</v>
      </c>
      <c r="W39" s="60">
        <v>57</v>
      </c>
      <c r="X39" s="60">
        <v>22</v>
      </c>
      <c r="Y39" s="39">
        <v>15</v>
      </c>
      <c r="Z39" s="60" t="s">
        <v>192</v>
      </c>
      <c r="AA39" s="60" t="s">
        <v>192</v>
      </c>
      <c r="AB39" s="60" t="s">
        <v>192</v>
      </c>
      <c r="AC39" s="39">
        <v>0</v>
      </c>
      <c r="AD39" s="60" t="s">
        <v>192</v>
      </c>
      <c r="AE39" s="60">
        <v>73</v>
      </c>
      <c r="AF39" s="60">
        <v>12</v>
      </c>
      <c r="AG39" s="39" t="s">
        <v>192</v>
      </c>
      <c r="AH39" s="60" t="s">
        <v>192</v>
      </c>
      <c r="AI39" s="60" t="s">
        <v>192</v>
      </c>
      <c r="AJ39" s="60" t="s">
        <v>192</v>
      </c>
      <c r="AK39" s="39">
        <v>158</v>
      </c>
      <c r="AL39" s="60">
        <v>125</v>
      </c>
      <c r="AM39" s="60">
        <v>165</v>
      </c>
      <c r="AN39" s="60" t="s">
        <v>192</v>
      </c>
      <c r="AO39" s="39" t="s">
        <v>192</v>
      </c>
      <c r="AP39" s="60" t="s">
        <v>192</v>
      </c>
      <c r="AQ39" s="60">
        <v>98</v>
      </c>
      <c r="AR39" s="60">
        <v>-6</v>
      </c>
      <c r="AS39" s="39">
        <v>-92</v>
      </c>
      <c r="AT39" s="60" t="s">
        <v>192</v>
      </c>
      <c r="AU39" s="60" t="s">
        <v>192</v>
      </c>
    </row>
    <row r="40" spans="1:47" ht="13">
      <c r="A40" s="64" t="s">
        <v>196</v>
      </c>
      <c r="B40" s="38"/>
      <c r="C40" s="58"/>
      <c r="D40" s="38"/>
      <c r="E40" s="65">
        <v>7779</v>
      </c>
      <c r="F40" s="65">
        <v>8582</v>
      </c>
      <c r="G40" s="65">
        <v>7669</v>
      </c>
      <c r="H40" s="65">
        <v>9098</v>
      </c>
      <c r="I40" s="65">
        <v>11755</v>
      </c>
      <c r="J40" s="65">
        <v>13117</v>
      </c>
      <c r="K40" s="65">
        <v>12624</v>
      </c>
      <c r="L40" s="65">
        <v>12125</v>
      </c>
      <c r="M40" s="66"/>
      <c r="N40" s="65">
        <v>1611</v>
      </c>
      <c r="O40" s="65">
        <v>1991</v>
      </c>
      <c r="P40" s="65">
        <v>2024</v>
      </c>
      <c r="Q40" s="67">
        <v>2154</v>
      </c>
      <c r="R40" s="65">
        <v>1989</v>
      </c>
      <c r="S40" s="65">
        <v>2301.5304182700002</v>
      </c>
      <c r="T40" s="65">
        <v>2160.4103993842</v>
      </c>
      <c r="U40" s="68">
        <v>2131.060167183</v>
      </c>
      <c r="V40" s="65">
        <v>1911</v>
      </c>
      <c r="W40" s="65">
        <v>1583</v>
      </c>
      <c r="X40" s="65">
        <v>1896</v>
      </c>
      <c r="Y40" s="69">
        <v>2279</v>
      </c>
      <c r="Z40" s="65">
        <v>2016</v>
      </c>
      <c r="AA40" s="65">
        <v>2197</v>
      </c>
      <c r="AB40" s="65">
        <v>2331</v>
      </c>
      <c r="AC40" s="69">
        <v>2554</v>
      </c>
      <c r="AD40" s="65">
        <v>2588</v>
      </c>
      <c r="AE40" s="65">
        <v>2801</v>
      </c>
      <c r="AF40" s="65">
        <v>3064</v>
      </c>
      <c r="AG40" s="69">
        <v>3302</v>
      </c>
      <c r="AH40" s="65">
        <v>3187</v>
      </c>
      <c r="AI40" s="65">
        <v>3429</v>
      </c>
      <c r="AJ40" s="65">
        <v>3272</v>
      </c>
      <c r="AK40" s="69">
        <v>3229</v>
      </c>
      <c r="AL40" s="65">
        <v>2887</v>
      </c>
      <c r="AM40" s="65">
        <v>3246</v>
      </c>
      <c r="AN40" s="65">
        <v>3086</v>
      </c>
      <c r="AO40" s="69">
        <v>3405</v>
      </c>
      <c r="AP40" s="65">
        <v>3099</v>
      </c>
      <c r="AQ40" s="65">
        <v>2984</v>
      </c>
      <c r="AR40" s="65">
        <v>2896</v>
      </c>
      <c r="AS40" s="69">
        <v>3146</v>
      </c>
      <c r="AT40" s="65">
        <v>2868</v>
      </c>
      <c r="AU40" s="65">
        <v>3349</v>
      </c>
    </row>
    <row r="41" spans="1:47" ht="13">
      <c r="A41" s="62" t="s">
        <v>197</v>
      </c>
      <c r="B41" s="48"/>
      <c r="C41" s="58"/>
      <c r="D41" s="38"/>
      <c r="E41" s="58">
        <v>38285</v>
      </c>
      <c r="F41" s="58">
        <v>40849</v>
      </c>
      <c r="G41" s="58">
        <v>36122</v>
      </c>
      <c r="H41" s="58">
        <v>39645</v>
      </c>
      <c r="I41" s="58">
        <v>49694</v>
      </c>
      <c r="J41" s="38">
        <v>60343</v>
      </c>
      <c r="K41" s="38">
        <v>63604</v>
      </c>
      <c r="L41" s="38">
        <v>61998</v>
      </c>
      <c r="M41" s="70"/>
      <c r="N41" s="58">
        <v>8233</v>
      </c>
      <c r="O41" s="58">
        <v>9843</v>
      </c>
      <c r="P41" s="58">
        <v>9651</v>
      </c>
      <c r="Q41" s="71">
        <v>10558</v>
      </c>
      <c r="R41" s="58">
        <v>9785</v>
      </c>
      <c r="S41" s="58">
        <v>10626</v>
      </c>
      <c r="T41" s="58">
        <v>10158</v>
      </c>
      <c r="U41" s="72">
        <v>10280</v>
      </c>
      <c r="V41" s="58">
        <v>9134</v>
      </c>
      <c r="W41" s="58">
        <v>8458</v>
      </c>
      <c r="X41" s="58">
        <v>8724</v>
      </c>
      <c r="Y41" s="73">
        <v>9806</v>
      </c>
      <c r="Z41" s="58">
        <v>8773</v>
      </c>
      <c r="AA41" s="58">
        <v>9733</v>
      </c>
      <c r="AB41" s="58">
        <v>9966</v>
      </c>
      <c r="AC41" s="73">
        <v>11173</v>
      </c>
      <c r="AD41" s="58">
        <v>11088</v>
      </c>
      <c r="AE41" s="58">
        <v>11868</v>
      </c>
      <c r="AF41" s="58">
        <v>12802</v>
      </c>
      <c r="AG41" s="73">
        <v>13936</v>
      </c>
      <c r="AH41" s="58">
        <v>13868</v>
      </c>
      <c r="AI41" s="58">
        <v>15910</v>
      </c>
      <c r="AJ41" s="58">
        <v>14997</v>
      </c>
      <c r="AK41" s="73">
        <v>15568</v>
      </c>
      <c r="AL41" s="58">
        <v>14143</v>
      </c>
      <c r="AM41" s="58">
        <v>16511</v>
      </c>
      <c r="AN41" s="58">
        <v>15699</v>
      </c>
      <c r="AO41" s="73">
        <v>17251</v>
      </c>
      <c r="AP41" s="58">
        <v>15536</v>
      </c>
      <c r="AQ41" s="58">
        <v>15130</v>
      </c>
      <c r="AR41" s="58">
        <v>15242</v>
      </c>
      <c r="AS41" s="73">
        <v>16090</v>
      </c>
      <c r="AT41" s="58">
        <v>14351</v>
      </c>
      <c r="AU41" s="58">
        <v>16702</v>
      </c>
    </row>
    <row r="42" spans="1:47" ht="13">
      <c r="A42" s="40" t="s">
        <v>198</v>
      </c>
      <c r="B42" s="41"/>
      <c r="C42" s="55"/>
      <c r="D42" s="55"/>
      <c r="E42" s="55">
        <v>20.31866266161682</v>
      </c>
      <c r="F42" s="55">
        <v>20.984601826238098</v>
      </c>
      <c r="G42" s="55">
        <v>21.2</v>
      </c>
      <c r="H42" s="55">
        <v>22.9</v>
      </c>
      <c r="I42" s="55">
        <v>23.7</v>
      </c>
      <c r="J42" s="55">
        <v>21.7</v>
      </c>
      <c r="K42" s="55">
        <v>19.8</v>
      </c>
      <c r="L42" s="55">
        <v>19.600000000000001</v>
      </c>
      <c r="M42" s="56"/>
      <c r="N42" s="55">
        <v>19.600000000000001</v>
      </c>
      <c r="O42" s="55">
        <v>20.2</v>
      </c>
      <c r="P42" s="55">
        <v>20.971920008289295</v>
      </c>
      <c r="Q42" s="57">
        <v>20.401591210456527</v>
      </c>
      <c r="R42" s="55">
        <v>20.3</v>
      </c>
      <c r="S42" s="55">
        <v>21.659424226143422</v>
      </c>
      <c r="T42" s="55">
        <v>21.268068511362472</v>
      </c>
      <c r="U42" s="57">
        <v>20.730157268317122</v>
      </c>
      <c r="V42" s="55">
        <v>20.9</v>
      </c>
      <c r="W42" s="55">
        <v>18.712461574840386</v>
      </c>
      <c r="X42" s="55">
        <v>21.730857404860153</v>
      </c>
      <c r="Y42" s="57">
        <v>23.240872934937791</v>
      </c>
      <c r="Z42" s="55">
        <v>22.979596489228314</v>
      </c>
      <c r="AA42" s="55">
        <v>22.6</v>
      </c>
      <c r="AB42" s="55">
        <v>23.389524382901865</v>
      </c>
      <c r="AC42" s="57">
        <v>22.858677168173276</v>
      </c>
      <c r="AD42" s="55">
        <v>23.340548340548338</v>
      </c>
      <c r="AE42" s="55">
        <v>23.601280754971352</v>
      </c>
      <c r="AF42" s="55">
        <v>23.93376034994532</v>
      </c>
      <c r="AG42" s="57">
        <v>23.694029850746269</v>
      </c>
      <c r="AH42" s="55">
        <v>22.980963368906838</v>
      </c>
      <c r="AI42" s="55">
        <v>21.6</v>
      </c>
      <c r="AJ42" s="55">
        <v>21.817696872707877</v>
      </c>
      <c r="AK42" s="57">
        <v>20.741264131551901</v>
      </c>
      <c r="AL42" s="55">
        <v>20.412925121968463</v>
      </c>
      <c r="AM42" s="55">
        <v>19.659620858821391</v>
      </c>
      <c r="AN42" s="55">
        <v>19.657303012930761</v>
      </c>
      <c r="AO42" s="57">
        <v>19.737986203698334</v>
      </c>
      <c r="AP42" s="55">
        <v>19.899999999999999</v>
      </c>
      <c r="AQ42" s="55">
        <v>19.722405816259091</v>
      </c>
      <c r="AR42" s="55">
        <v>19.000131216375806</v>
      </c>
      <c r="AS42" s="57">
        <v>19.552517091361093</v>
      </c>
      <c r="AT42" s="55">
        <v>19.98467005783569</v>
      </c>
      <c r="AU42" s="55">
        <v>20.051490839420431</v>
      </c>
    </row>
    <row r="43" spans="1:47" ht="13">
      <c r="A43" s="45" t="s">
        <v>199</v>
      </c>
      <c r="B43" s="31"/>
      <c r="C43" s="31"/>
      <c r="D43" s="32"/>
      <c r="E43" s="31"/>
      <c r="F43" s="31"/>
      <c r="G43" s="31"/>
      <c r="H43" s="31"/>
      <c r="I43" s="31"/>
      <c r="J43" s="31"/>
      <c r="K43" s="31"/>
      <c r="L43" s="31"/>
      <c r="M43" s="31"/>
      <c r="N43" s="31"/>
      <c r="O43" s="31"/>
      <c r="P43" s="31"/>
      <c r="Q43" s="33"/>
      <c r="R43" s="31"/>
      <c r="S43" s="31"/>
      <c r="T43" s="31"/>
      <c r="U43" s="33"/>
      <c r="V43" s="31"/>
      <c r="W43" s="31"/>
      <c r="X43" s="31"/>
      <c r="Y43" s="33"/>
      <c r="Z43" s="31"/>
      <c r="AA43" s="31"/>
      <c r="AB43" s="31"/>
      <c r="AC43" s="33"/>
      <c r="AD43" s="31"/>
      <c r="AE43" s="31"/>
      <c r="AF43" s="31"/>
      <c r="AG43" s="33"/>
      <c r="AH43" s="31"/>
      <c r="AI43" s="31"/>
      <c r="AJ43" s="31"/>
      <c r="AK43" s="33"/>
      <c r="AL43" s="31"/>
      <c r="AM43" s="31"/>
      <c r="AN43" s="31"/>
      <c r="AO43" s="33"/>
      <c r="AP43" s="31"/>
      <c r="AQ43" s="31"/>
      <c r="AR43" s="31"/>
      <c r="AS43" s="33"/>
      <c r="AT43" s="31"/>
      <c r="AU43" s="31"/>
    </row>
    <row r="44" spans="1:47" ht="13">
      <c r="A44" s="31"/>
      <c r="B44" s="31"/>
      <c r="C44" s="31"/>
      <c r="D44" s="32"/>
      <c r="E44" s="31"/>
      <c r="F44" s="31"/>
      <c r="G44" s="31"/>
      <c r="H44" s="31"/>
      <c r="I44" s="31"/>
      <c r="J44" s="31"/>
      <c r="K44" s="31"/>
      <c r="L44" s="31"/>
      <c r="M44" s="31"/>
      <c r="N44" s="31"/>
      <c r="O44" s="31"/>
      <c r="P44" s="31"/>
      <c r="Q44" s="33"/>
      <c r="R44" s="31"/>
      <c r="S44" s="31"/>
      <c r="T44" s="31"/>
      <c r="U44" s="33"/>
      <c r="V44" s="31"/>
      <c r="W44" s="31"/>
      <c r="X44" s="31"/>
      <c r="Y44" s="33"/>
      <c r="Z44" s="31"/>
      <c r="AA44" s="31"/>
      <c r="AB44" s="31"/>
      <c r="AC44" s="33"/>
      <c r="AD44" s="31"/>
      <c r="AE44" s="31"/>
      <c r="AF44" s="31"/>
      <c r="AG44" s="33"/>
      <c r="AH44" s="31"/>
      <c r="AI44" s="31"/>
      <c r="AJ44" s="31"/>
      <c r="AK44" s="33"/>
      <c r="AL44" s="31"/>
      <c r="AM44" s="31"/>
      <c r="AN44" s="31"/>
      <c r="AO44" s="33"/>
      <c r="AP44" s="31"/>
      <c r="AQ44" s="31"/>
      <c r="AR44" s="31"/>
      <c r="AS44" s="33"/>
      <c r="AT44" s="31"/>
      <c r="AU44" s="31"/>
    </row>
    <row r="45" spans="1:47" ht="14">
      <c r="A45" s="46" t="s">
        <v>200</v>
      </c>
      <c r="B45" s="47">
        <v>2015</v>
      </c>
      <c r="C45" s="47">
        <v>2016</v>
      </c>
      <c r="D45" s="47" t="s">
        <v>127</v>
      </c>
      <c r="E45" s="47">
        <v>2018</v>
      </c>
      <c r="F45" s="47">
        <v>2019</v>
      </c>
      <c r="G45" s="47">
        <v>2020</v>
      </c>
      <c r="H45" s="47">
        <v>2021</v>
      </c>
      <c r="I45" s="47">
        <v>2022</v>
      </c>
      <c r="J45" s="47">
        <v>2023</v>
      </c>
      <c r="K45" s="47">
        <v>2024</v>
      </c>
      <c r="L45" s="47">
        <v>2025</v>
      </c>
      <c r="M45" s="48"/>
      <c r="N45" s="49" t="s">
        <v>128</v>
      </c>
      <c r="O45" s="49" t="s">
        <v>129</v>
      </c>
      <c r="P45" s="49" t="s">
        <v>130</v>
      </c>
      <c r="Q45" s="50" t="s">
        <v>131</v>
      </c>
      <c r="R45" s="49" t="s">
        <v>132</v>
      </c>
      <c r="S45" s="49" t="s">
        <v>133</v>
      </c>
      <c r="T45" s="49" t="s">
        <v>134</v>
      </c>
      <c r="U45" s="50" t="s">
        <v>135</v>
      </c>
      <c r="V45" s="49" t="s">
        <v>136</v>
      </c>
      <c r="W45" s="49" t="s">
        <v>137</v>
      </c>
      <c r="X45" s="49" t="s">
        <v>138</v>
      </c>
      <c r="Y45" s="50" t="s">
        <v>139</v>
      </c>
      <c r="Z45" s="49" t="s">
        <v>140</v>
      </c>
      <c r="AA45" s="49" t="s">
        <v>141</v>
      </c>
      <c r="AB45" s="49" t="s">
        <v>142</v>
      </c>
      <c r="AC45" s="50" t="s">
        <v>143</v>
      </c>
      <c r="AD45" s="49" t="s">
        <v>144</v>
      </c>
      <c r="AE45" s="49" t="s">
        <v>145</v>
      </c>
      <c r="AF45" s="49" t="s">
        <v>146</v>
      </c>
      <c r="AG45" s="50" t="s">
        <v>147</v>
      </c>
      <c r="AH45" s="49" t="s">
        <v>148</v>
      </c>
      <c r="AI45" s="49" t="s">
        <v>149</v>
      </c>
      <c r="AJ45" s="49" t="s">
        <v>150</v>
      </c>
      <c r="AK45" s="50" t="s">
        <v>151</v>
      </c>
      <c r="AL45" s="49" t="s">
        <v>152</v>
      </c>
      <c r="AM45" s="49" t="s">
        <v>153</v>
      </c>
      <c r="AN45" s="49" t="s">
        <v>154</v>
      </c>
      <c r="AO45" s="50" t="s">
        <v>155</v>
      </c>
      <c r="AP45" s="49" t="s">
        <v>156</v>
      </c>
      <c r="AQ45" s="49" t="s">
        <v>157</v>
      </c>
      <c r="AR45" s="49" t="s">
        <v>158</v>
      </c>
      <c r="AS45" s="50" t="s">
        <v>820</v>
      </c>
      <c r="AT45" s="49" t="s">
        <v>1275</v>
      </c>
      <c r="AU45" s="49" t="s">
        <v>1344</v>
      </c>
    </row>
    <row r="46" spans="1:47" ht="13">
      <c r="A46" s="37" t="s">
        <v>201</v>
      </c>
      <c r="B46" s="38">
        <v>4955</v>
      </c>
      <c r="C46" s="38">
        <v>4411</v>
      </c>
      <c r="D46" s="38">
        <v>5793</v>
      </c>
      <c r="E46" s="38">
        <v>7201</v>
      </c>
      <c r="F46" s="38">
        <v>7843</v>
      </c>
      <c r="G46" s="38">
        <v>7087</v>
      </c>
      <c r="H46" s="38">
        <v>8964</v>
      </c>
      <c r="I46" s="38">
        <v>10778</v>
      </c>
      <c r="J46" s="38">
        <v>12235</v>
      </c>
      <c r="K46" s="38">
        <v>11439</v>
      </c>
      <c r="L46" s="38">
        <v>11236</v>
      </c>
      <c r="M46" s="38"/>
      <c r="N46" s="38">
        <v>1458</v>
      </c>
      <c r="O46" s="38">
        <v>1766</v>
      </c>
      <c r="P46" s="38">
        <v>1861.0172940299999</v>
      </c>
      <c r="Q46" s="39">
        <v>2115.9827059700001</v>
      </c>
      <c r="R46" s="38">
        <v>1830</v>
      </c>
      <c r="S46" s="38">
        <v>2225</v>
      </c>
      <c r="T46" s="38">
        <v>1866</v>
      </c>
      <c r="U46" s="39">
        <v>1922</v>
      </c>
      <c r="V46" s="38">
        <v>1886</v>
      </c>
      <c r="W46" s="38">
        <v>1367</v>
      </c>
      <c r="X46" s="38">
        <v>1744</v>
      </c>
      <c r="Y46" s="39">
        <v>2090</v>
      </c>
      <c r="Z46" s="38">
        <v>1834</v>
      </c>
      <c r="AA46" s="38">
        <v>2138</v>
      </c>
      <c r="AB46" s="38">
        <v>2425</v>
      </c>
      <c r="AC46" s="39">
        <v>2567</v>
      </c>
      <c r="AD46" s="38">
        <v>2564</v>
      </c>
      <c r="AE46" s="38">
        <v>2292</v>
      </c>
      <c r="AF46" s="38">
        <v>2876</v>
      </c>
      <c r="AG46" s="39">
        <v>3046</v>
      </c>
      <c r="AH46" s="38">
        <v>2964</v>
      </c>
      <c r="AI46" s="38">
        <v>3428</v>
      </c>
      <c r="AJ46" s="38">
        <v>2929</v>
      </c>
      <c r="AK46" s="39">
        <v>2914</v>
      </c>
      <c r="AL46" s="38">
        <v>2644</v>
      </c>
      <c r="AM46" s="38">
        <v>2656</v>
      </c>
      <c r="AN46" s="38">
        <v>3013</v>
      </c>
      <c r="AO46" s="39">
        <v>3126</v>
      </c>
      <c r="AP46" s="38">
        <v>2881</v>
      </c>
      <c r="AQ46" s="38">
        <v>2700</v>
      </c>
      <c r="AR46" s="38">
        <v>2566</v>
      </c>
      <c r="AS46" s="39">
        <v>3089</v>
      </c>
      <c r="AT46" s="38">
        <v>2762</v>
      </c>
      <c r="AU46" s="38">
        <v>3186</v>
      </c>
    </row>
    <row r="47" spans="1:47" ht="13">
      <c r="A47" s="37" t="s">
        <v>174</v>
      </c>
      <c r="B47" s="38">
        <v>28663</v>
      </c>
      <c r="C47" s="38">
        <v>27102</v>
      </c>
      <c r="D47" s="38">
        <v>31364</v>
      </c>
      <c r="E47" s="38">
        <v>38285</v>
      </c>
      <c r="F47" s="38">
        <v>40849</v>
      </c>
      <c r="G47" s="38">
        <v>36122</v>
      </c>
      <c r="H47" s="38">
        <v>39645</v>
      </c>
      <c r="I47" s="38">
        <v>49694</v>
      </c>
      <c r="J47" s="38">
        <v>60343</v>
      </c>
      <c r="K47" s="38">
        <v>63604</v>
      </c>
      <c r="L47" s="38">
        <v>61998</v>
      </c>
      <c r="M47" s="38"/>
      <c r="N47" s="38">
        <v>8233</v>
      </c>
      <c r="O47" s="38">
        <v>9843</v>
      </c>
      <c r="P47" s="38">
        <v>9651</v>
      </c>
      <c r="Q47" s="39">
        <v>10558</v>
      </c>
      <c r="R47" s="38">
        <v>9785</v>
      </c>
      <c r="S47" s="38">
        <v>10626</v>
      </c>
      <c r="T47" s="38">
        <v>10158</v>
      </c>
      <c r="U47" s="39">
        <v>10280</v>
      </c>
      <c r="V47" s="38">
        <v>9134</v>
      </c>
      <c r="W47" s="38">
        <v>8458</v>
      </c>
      <c r="X47" s="38">
        <v>8724</v>
      </c>
      <c r="Y47" s="39">
        <v>9806</v>
      </c>
      <c r="Z47" s="38">
        <v>8773</v>
      </c>
      <c r="AA47" s="38">
        <v>9733</v>
      </c>
      <c r="AB47" s="38">
        <v>9966</v>
      </c>
      <c r="AC47" s="39">
        <v>11173</v>
      </c>
      <c r="AD47" s="38">
        <v>11088</v>
      </c>
      <c r="AE47" s="38">
        <v>11868</v>
      </c>
      <c r="AF47" s="38">
        <v>12802</v>
      </c>
      <c r="AG47" s="39">
        <v>13936</v>
      </c>
      <c r="AH47" s="38">
        <v>13868</v>
      </c>
      <c r="AI47" s="38">
        <v>15910</v>
      </c>
      <c r="AJ47" s="38">
        <v>14997</v>
      </c>
      <c r="AK47" s="39">
        <v>15568</v>
      </c>
      <c r="AL47" s="38">
        <v>14143</v>
      </c>
      <c r="AM47" s="38">
        <v>16511</v>
      </c>
      <c r="AN47" s="38">
        <v>15699</v>
      </c>
      <c r="AO47" s="39">
        <v>17251</v>
      </c>
      <c r="AP47" s="38">
        <v>15536</v>
      </c>
      <c r="AQ47" s="38">
        <v>15130</v>
      </c>
      <c r="AR47" s="38">
        <v>15242</v>
      </c>
      <c r="AS47" s="39">
        <v>16090</v>
      </c>
      <c r="AT47" s="38">
        <v>14351</v>
      </c>
      <c r="AU47" s="38">
        <v>16702</v>
      </c>
    </row>
    <row r="48" spans="1:47" ht="13">
      <c r="A48" s="40" t="s">
        <v>202</v>
      </c>
      <c r="B48" s="41">
        <v>17.3</v>
      </c>
      <c r="C48" s="55">
        <v>16.3</v>
      </c>
      <c r="D48" s="55">
        <v>18.5</v>
      </c>
      <c r="E48" s="55">
        <v>18.808933002481389</v>
      </c>
      <c r="F48" s="55">
        <v>19.199980415677249</v>
      </c>
      <c r="G48" s="55">
        <v>19.600000000000001</v>
      </c>
      <c r="H48" s="55">
        <v>22.6</v>
      </c>
      <c r="I48" s="55">
        <v>21.7</v>
      </c>
      <c r="J48" s="55">
        <v>20.3</v>
      </c>
      <c r="K48" s="55">
        <v>18</v>
      </c>
      <c r="L48" s="55">
        <v>18.100000000000001</v>
      </c>
      <c r="M48" s="56"/>
      <c r="N48" s="55">
        <v>17.709218996720516</v>
      </c>
      <c r="O48" s="55">
        <v>17.941684445799044</v>
      </c>
      <c r="P48" s="55">
        <v>19.283155051600868</v>
      </c>
      <c r="Q48" s="57">
        <v>20.041510759329419</v>
      </c>
      <c r="R48" s="55">
        <v>18.702095043433829</v>
      </c>
      <c r="S48" s="55">
        <v>20.939205721814417</v>
      </c>
      <c r="T48" s="55">
        <v>18.369757826343768</v>
      </c>
      <c r="U48" s="57">
        <v>18.696498054474709</v>
      </c>
      <c r="V48" s="55">
        <v>20.6</v>
      </c>
      <c r="W48" s="55">
        <v>16.162213289193662</v>
      </c>
      <c r="X48" s="55">
        <v>19.990829894543786</v>
      </c>
      <c r="Y48" s="57">
        <v>21.313481541913117</v>
      </c>
      <c r="Z48" s="55">
        <v>20.905049583950756</v>
      </c>
      <c r="AA48" s="55">
        <v>22</v>
      </c>
      <c r="AB48" s="55">
        <v>24.332731286373672</v>
      </c>
      <c r="AC48" s="57">
        <v>22.975029087979951</v>
      </c>
      <c r="AD48" s="55">
        <v>23.133116883116884</v>
      </c>
      <c r="AE48" s="55">
        <v>19.304010785305024</v>
      </c>
      <c r="AF48" s="55">
        <v>22.46523980628027</v>
      </c>
      <c r="AG48" s="57">
        <v>21.857060849598163</v>
      </c>
      <c r="AH48" s="55">
        <v>21.372944909143353</v>
      </c>
      <c r="AI48" s="55">
        <v>21.5</v>
      </c>
      <c r="AJ48" s="55">
        <v>19.530572781222912</v>
      </c>
      <c r="AK48" s="57">
        <v>18.717882836587872</v>
      </c>
      <c r="AL48" s="55">
        <v>18.694760658983242</v>
      </c>
      <c r="AM48" s="55">
        <v>16.086245533280845</v>
      </c>
      <c r="AN48" s="55">
        <v>19.192305242372125</v>
      </c>
      <c r="AO48" s="57">
        <v>18.120688655730103</v>
      </c>
      <c r="AP48" s="55">
        <v>18.5</v>
      </c>
      <c r="AQ48" s="55">
        <v>17.84534038334435</v>
      </c>
      <c r="AR48" s="55">
        <v>16.835061015614748</v>
      </c>
      <c r="AS48" s="57">
        <v>19.198259788688627</v>
      </c>
      <c r="AT48" s="55">
        <v>19.246045571737159</v>
      </c>
      <c r="AU48" s="55">
        <v>19.075559813196026</v>
      </c>
    </row>
    <row r="49" spans="1:48" ht="13">
      <c r="A49" s="45" t="s">
        <v>162</v>
      </c>
      <c r="B49" s="31"/>
      <c r="C49" s="31"/>
      <c r="D49" s="32"/>
      <c r="E49" s="31"/>
      <c r="F49" s="31"/>
      <c r="G49" s="31"/>
      <c r="H49" s="31"/>
      <c r="I49" s="31"/>
      <c r="J49" s="31"/>
      <c r="K49" s="31"/>
      <c r="L49" s="31"/>
      <c r="M49" s="31"/>
      <c r="N49" s="31"/>
      <c r="O49" s="31"/>
      <c r="P49" s="31"/>
      <c r="Q49" s="33"/>
      <c r="R49" s="31"/>
      <c r="S49" s="31"/>
      <c r="T49" s="31"/>
      <c r="U49" s="33"/>
      <c r="V49" s="31"/>
      <c r="W49" s="31"/>
      <c r="X49" s="31"/>
      <c r="Y49" s="33"/>
      <c r="Z49" s="31"/>
      <c r="AA49" s="31"/>
      <c r="AB49" s="31"/>
      <c r="AC49" s="33"/>
      <c r="AD49" s="31"/>
      <c r="AE49" s="31"/>
      <c r="AF49" s="31"/>
      <c r="AG49" s="33"/>
      <c r="AH49" s="31"/>
      <c r="AI49" s="31"/>
      <c r="AJ49" s="31"/>
      <c r="AK49" s="33"/>
      <c r="AL49" s="31"/>
      <c r="AM49" s="31"/>
      <c r="AN49" s="31"/>
      <c r="AO49" s="33"/>
      <c r="AP49" s="31"/>
      <c r="AQ49" s="31"/>
      <c r="AR49" s="31"/>
      <c r="AS49" s="33"/>
      <c r="AT49" s="31"/>
      <c r="AU49" s="31"/>
    </row>
    <row r="50" spans="1:48" ht="13">
      <c r="A50" s="45"/>
      <c r="B50" s="31"/>
      <c r="C50" s="31"/>
      <c r="D50" s="32"/>
      <c r="E50" s="31"/>
      <c r="F50" s="31"/>
      <c r="G50" s="31"/>
      <c r="H50" s="31"/>
      <c r="I50" s="31"/>
      <c r="J50" s="31"/>
      <c r="K50" s="31"/>
      <c r="L50" s="31"/>
      <c r="M50" s="31"/>
      <c r="N50" s="31"/>
      <c r="O50" s="31"/>
      <c r="P50" s="31"/>
      <c r="Q50" s="33"/>
      <c r="R50" s="31"/>
      <c r="S50" s="31"/>
      <c r="T50" s="31"/>
      <c r="U50" s="33"/>
      <c r="V50" s="31"/>
      <c r="W50" s="31"/>
      <c r="X50" s="31"/>
      <c r="Y50" s="33"/>
      <c r="Z50" s="31"/>
      <c r="AA50" s="31"/>
      <c r="AB50" s="31"/>
      <c r="AC50" s="33"/>
      <c r="AD50" s="31"/>
      <c r="AE50" s="31"/>
      <c r="AF50" s="31"/>
      <c r="AG50" s="33"/>
      <c r="AH50" s="31"/>
      <c r="AI50" s="31"/>
      <c r="AJ50" s="31"/>
      <c r="AK50" s="33"/>
      <c r="AL50" s="31"/>
      <c r="AM50" s="31"/>
      <c r="AN50" s="31"/>
      <c r="AO50" s="33"/>
      <c r="AP50" s="31"/>
      <c r="AQ50" s="31"/>
      <c r="AR50" s="31"/>
      <c r="AS50" s="33"/>
      <c r="AT50" s="31"/>
      <c r="AU50" s="31"/>
    </row>
    <row r="51" spans="1:48" ht="14">
      <c r="A51" s="46" t="s">
        <v>203</v>
      </c>
      <c r="B51" s="47">
        <v>2015</v>
      </c>
      <c r="C51" s="47">
        <v>2016</v>
      </c>
      <c r="D51" s="47" t="s">
        <v>127</v>
      </c>
      <c r="E51" s="47">
        <v>2018</v>
      </c>
      <c r="F51" s="47">
        <v>2019</v>
      </c>
      <c r="G51" s="47">
        <v>2020</v>
      </c>
      <c r="H51" s="47">
        <v>2021</v>
      </c>
      <c r="I51" s="47">
        <v>2022</v>
      </c>
      <c r="J51" s="47">
        <v>2023</v>
      </c>
      <c r="K51" s="47">
        <v>2024</v>
      </c>
      <c r="L51" s="47">
        <v>2025</v>
      </c>
      <c r="M51" s="48"/>
      <c r="N51" s="49" t="s">
        <v>128</v>
      </c>
      <c r="O51" s="49" t="s">
        <v>129</v>
      </c>
      <c r="P51" s="49" t="s">
        <v>130</v>
      </c>
      <c r="Q51" s="50" t="s">
        <v>131</v>
      </c>
      <c r="R51" s="49" t="s">
        <v>132</v>
      </c>
      <c r="S51" s="49" t="s">
        <v>133</v>
      </c>
      <c r="T51" s="49" t="s">
        <v>134</v>
      </c>
      <c r="U51" s="50" t="s">
        <v>135</v>
      </c>
      <c r="V51" s="49" t="s">
        <v>136</v>
      </c>
      <c r="W51" s="49" t="s">
        <v>137</v>
      </c>
      <c r="X51" s="49" t="s">
        <v>138</v>
      </c>
      <c r="Y51" s="50" t="s">
        <v>139</v>
      </c>
      <c r="Z51" s="49" t="s">
        <v>140</v>
      </c>
      <c r="AA51" s="49" t="s">
        <v>141</v>
      </c>
      <c r="AB51" s="49" t="s">
        <v>142</v>
      </c>
      <c r="AC51" s="50" t="s">
        <v>143</v>
      </c>
      <c r="AD51" s="49" t="s">
        <v>144</v>
      </c>
      <c r="AE51" s="49" t="s">
        <v>145</v>
      </c>
      <c r="AF51" s="49" t="s">
        <v>146</v>
      </c>
      <c r="AG51" s="50" t="s">
        <v>147</v>
      </c>
      <c r="AH51" s="49" t="s">
        <v>148</v>
      </c>
      <c r="AI51" s="49" t="s">
        <v>149</v>
      </c>
      <c r="AJ51" s="49" t="s">
        <v>150</v>
      </c>
      <c r="AK51" s="50" t="s">
        <v>151</v>
      </c>
      <c r="AL51" s="49" t="s">
        <v>152</v>
      </c>
      <c r="AM51" s="49" t="s">
        <v>153</v>
      </c>
      <c r="AN51" s="49" t="s">
        <v>154</v>
      </c>
      <c r="AO51" s="50" t="s">
        <v>155</v>
      </c>
      <c r="AP51" s="49" t="s">
        <v>156</v>
      </c>
      <c r="AQ51" s="49" t="s">
        <v>157</v>
      </c>
      <c r="AR51" s="49" t="s">
        <v>158</v>
      </c>
      <c r="AS51" s="50" t="s">
        <v>820</v>
      </c>
      <c r="AT51" s="49" t="s">
        <v>1275</v>
      </c>
      <c r="AU51" s="49" t="s">
        <v>1344</v>
      </c>
    </row>
    <row r="52" spans="1:48" ht="13">
      <c r="A52" s="37" t="s">
        <v>204</v>
      </c>
      <c r="B52" s="38">
        <v>28418</v>
      </c>
      <c r="C52" s="38">
        <v>29984</v>
      </c>
      <c r="D52" s="38">
        <v>27547</v>
      </c>
      <c r="E52" s="38">
        <v>36155</v>
      </c>
      <c r="F52" s="38">
        <v>41037</v>
      </c>
      <c r="G52" s="38">
        <v>43886</v>
      </c>
      <c r="H52" s="38">
        <v>48583</v>
      </c>
      <c r="I52" s="38">
        <v>61780</v>
      </c>
      <c r="J52" s="38">
        <v>67784</v>
      </c>
      <c r="K52" s="38">
        <v>83589</v>
      </c>
      <c r="L52" s="38">
        <v>80377</v>
      </c>
      <c r="M52" s="38"/>
      <c r="N52" s="38">
        <v>30465</v>
      </c>
      <c r="O52" s="38">
        <v>35024</v>
      </c>
      <c r="P52" s="38">
        <v>34487</v>
      </c>
      <c r="Q52" s="39">
        <v>36155</v>
      </c>
      <c r="R52" s="38">
        <v>39662</v>
      </c>
      <c r="S52" s="38">
        <v>40148</v>
      </c>
      <c r="T52" s="38">
        <v>41525</v>
      </c>
      <c r="U52" s="39">
        <v>41037</v>
      </c>
      <c r="V52" s="38">
        <v>43689</v>
      </c>
      <c r="W52" s="38">
        <v>44324</v>
      </c>
      <c r="X52" s="38">
        <v>44634</v>
      </c>
      <c r="Y52" s="39">
        <v>43886</v>
      </c>
      <c r="Z52" s="38">
        <v>46851</v>
      </c>
      <c r="AA52" s="38">
        <v>44517</v>
      </c>
      <c r="AB52" s="38">
        <v>47259</v>
      </c>
      <c r="AC52" s="39">
        <v>48583</v>
      </c>
      <c r="AD52" s="38">
        <v>52409</v>
      </c>
      <c r="AE52" s="38">
        <v>55543</v>
      </c>
      <c r="AF52" s="38">
        <v>61685</v>
      </c>
      <c r="AG52" s="39">
        <v>61780</v>
      </c>
      <c r="AH52" s="38">
        <v>65302</v>
      </c>
      <c r="AI52" s="38">
        <v>70294</v>
      </c>
      <c r="AJ52" s="38">
        <v>70640</v>
      </c>
      <c r="AK52" s="39">
        <v>67784</v>
      </c>
      <c r="AL52" s="38">
        <v>77934</v>
      </c>
      <c r="AM52" s="38">
        <v>81016</v>
      </c>
      <c r="AN52" s="38">
        <v>81565</v>
      </c>
      <c r="AO52" s="39">
        <v>83589</v>
      </c>
      <c r="AP52" s="38">
        <v>80850</v>
      </c>
      <c r="AQ52" s="38">
        <v>79352</v>
      </c>
      <c r="AR52" s="38">
        <v>81375</v>
      </c>
      <c r="AS52" s="39">
        <v>80377</v>
      </c>
      <c r="AT52" s="38">
        <v>83504</v>
      </c>
      <c r="AU52" s="38">
        <v>85891</v>
      </c>
      <c r="AV52" s="1120"/>
    </row>
    <row r="53" spans="1:48" ht="13">
      <c r="A53" s="37" t="s">
        <v>205</v>
      </c>
      <c r="B53" s="38">
        <v>6018</v>
      </c>
      <c r="C53" s="38">
        <v>6051</v>
      </c>
      <c r="D53" s="38">
        <v>8261</v>
      </c>
      <c r="E53" s="38">
        <v>10228</v>
      </c>
      <c r="F53" s="38">
        <v>9199</v>
      </c>
      <c r="G53" s="38">
        <v>9186</v>
      </c>
      <c r="H53" s="38">
        <v>13254</v>
      </c>
      <c r="I53" s="38">
        <v>17247</v>
      </c>
      <c r="J53" s="38">
        <v>16347</v>
      </c>
      <c r="K53" s="38">
        <v>18191</v>
      </c>
      <c r="L53" s="38">
        <v>16904</v>
      </c>
      <c r="M53" s="38"/>
      <c r="N53" s="38">
        <v>9570</v>
      </c>
      <c r="O53" s="38">
        <v>10202</v>
      </c>
      <c r="P53" s="38">
        <v>9985</v>
      </c>
      <c r="Q53" s="39">
        <v>10227</v>
      </c>
      <c r="R53" s="38">
        <v>9943</v>
      </c>
      <c r="S53" s="38">
        <v>11147</v>
      </c>
      <c r="T53" s="38">
        <v>10424</v>
      </c>
      <c r="U53" s="39">
        <v>9199</v>
      </c>
      <c r="V53" s="38">
        <v>9889</v>
      </c>
      <c r="W53" s="38">
        <v>9742</v>
      </c>
      <c r="X53" s="38">
        <v>9390</v>
      </c>
      <c r="Y53" s="39">
        <v>9186</v>
      </c>
      <c r="Z53" s="38">
        <v>10036</v>
      </c>
      <c r="AA53" s="38">
        <v>12820</v>
      </c>
      <c r="AB53" s="38">
        <v>13378</v>
      </c>
      <c r="AC53" s="39">
        <v>13254</v>
      </c>
      <c r="AD53" s="38">
        <v>14159</v>
      </c>
      <c r="AE53" s="38">
        <v>17249</v>
      </c>
      <c r="AF53" s="38">
        <v>19125</v>
      </c>
      <c r="AG53" s="39">
        <v>17247</v>
      </c>
      <c r="AH53" s="38">
        <v>17901</v>
      </c>
      <c r="AI53" s="38">
        <v>20771</v>
      </c>
      <c r="AJ53" s="38">
        <v>19460</v>
      </c>
      <c r="AK53" s="39">
        <v>16347</v>
      </c>
      <c r="AL53" s="38">
        <v>17038</v>
      </c>
      <c r="AM53" s="38">
        <v>20266</v>
      </c>
      <c r="AN53" s="38">
        <v>19280</v>
      </c>
      <c r="AO53" s="39">
        <v>18191</v>
      </c>
      <c r="AP53" s="38">
        <v>16841</v>
      </c>
      <c r="AQ53" s="38">
        <v>19239</v>
      </c>
      <c r="AR53" s="38">
        <v>19251</v>
      </c>
      <c r="AS53" s="39">
        <v>16904</v>
      </c>
      <c r="AT53" s="38">
        <v>17557</v>
      </c>
      <c r="AU53" s="38">
        <v>22328</v>
      </c>
    </row>
    <row r="54" spans="1:48" ht="13">
      <c r="A54" s="40" t="s">
        <v>206</v>
      </c>
      <c r="B54" s="52">
        <v>22400</v>
      </c>
      <c r="C54" s="52">
        <v>23933</v>
      </c>
      <c r="D54" s="52">
        <v>19286</v>
      </c>
      <c r="E54" s="52">
        <v>25927</v>
      </c>
      <c r="F54" s="52">
        <v>31838</v>
      </c>
      <c r="G54" s="52">
        <v>34700</v>
      </c>
      <c r="H54" s="52">
        <v>35329</v>
      </c>
      <c r="I54" s="52">
        <v>44533</v>
      </c>
      <c r="J54" s="52">
        <v>51437</v>
      </c>
      <c r="K54" s="52">
        <v>65398</v>
      </c>
      <c r="L54" s="52">
        <v>63473</v>
      </c>
      <c r="M54" s="53"/>
      <c r="N54" s="52">
        <v>20895</v>
      </c>
      <c r="O54" s="52">
        <v>24822</v>
      </c>
      <c r="P54" s="52">
        <v>24502</v>
      </c>
      <c r="Q54" s="52">
        <v>25928</v>
      </c>
      <c r="R54" s="52">
        <v>29719</v>
      </c>
      <c r="S54" s="52">
        <v>29001</v>
      </c>
      <c r="T54" s="52">
        <v>31101</v>
      </c>
      <c r="U54" s="52">
        <v>31838</v>
      </c>
      <c r="V54" s="52">
        <v>33800</v>
      </c>
      <c r="W54" s="52">
        <v>34582</v>
      </c>
      <c r="X54" s="52">
        <v>35244</v>
      </c>
      <c r="Y54" s="54">
        <v>34700</v>
      </c>
      <c r="Z54" s="52">
        <v>36816</v>
      </c>
      <c r="AA54" s="52">
        <v>31698</v>
      </c>
      <c r="AB54" s="52">
        <v>33881</v>
      </c>
      <c r="AC54" s="54">
        <v>35329</v>
      </c>
      <c r="AD54" s="52">
        <v>38250</v>
      </c>
      <c r="AE54" s="52">
        <v>38294</v>
      </c>
      <c r="AF54" s="52">
        <v>42560</v>
      </c>
      <c r="AG54" s="54">
        <v>44534</v>
      </c>
      <c r="AH54" s="52">
        <v>47401</v>
      </c>
      <c r="AI54" s="52">
        <v>49523</v>
      </c>
      <c r="AJ54" s="52">
        <v>51180</v>
      </c>
      <c r="AK54" s="54">
        <v>51437</v>
      </c>
      <c r="AL54" s="52">
        <v>60896</v>
      </c>
      <c r="AM54" s="52">
        <v>60750</v>
      </c>
      <c r="AN54" s="52">
        <v>62285</v>
      </c>
      <c r="AO54" s="54">
        <v>65398</v>
      </c>
      <c r="AP54" s="52">
        <v>64009</v>
      </c>
      <c r="AQ54" s="52">
        <v>60113</v>
      </c>
      <c r="AR54" s="52">
        <v>62124</v>
      </c>
      <c r="AS54" s="54">
        <v>63473</v>
      </c>
      <c r="AT54" s="52">
        <v>65947</v>
      </c>
      <c r="AU54" s="52">
        <v>63563</v>
      </c>
    </row>
    <row r="55" spans="1:48" ht="13">
      <c r="A55" s="74"/>
      <c r="B55" s="48"/>
      <c r="C55" s="56"/>
      <c r="D55" s="56"/>
      <c r="E55" s="56"/>
      <c r="F55" s="56"/>
      <c r="G55" s="56"/>
      <c r="H55" s="56"/>
      <c r="I55" s="56"/>
      <c r="J55" s="56"/>
      <c r="K55" s="56"/>
      <c r="L55" s="56"/>
      <c r="M55" s="56"/>
      <c r="N55" s="56"/>
      <c r="O55" s="56"/>
      <c r="P55" s="56"/>
      <c r="Q55" s="75"/>
      <c r="R55" s="56"/>
      <c r="S55" s="56"/>
      <c r="T55" s="56"/>
      <c r="U55" s="75"/>
      <c r="V55" s="56"/>
      <c r="W55" s="56"/>
      <c r="X55" s="56"/>
      <c r="Y55" s="75"/>
      <c r="Z55" s="56"/>
      <c r="AA55" s="56"/>
      <c r="AB55" s="56"/>
      <c r="AC55" s="75"/>
      <c r="AD55" s="56"/>
      <c r="AE55" s="56"/>
      <c r="AF55" s="56"/>
      <c r="AG55" s="75"/>
      <c r="AH55" s="56"/>
      <c r="AI55" s="56"/>
      <c r="AJ55" s="56"/>
      <c r="AK55" s="75"/>
      <c r="AL55" s="56"/>
      <c r="AM55" s="56"/>
      <c r="AN55" s="56"/>
      <c r="AO55" s="75"/>
      <c r="AP55" s="56"/>
      <c r="AQ55" s="56"/>
      <c r="AR55" s="56"/>
      <c r="AS55" s="75"/>
      <c r="AT55" s="56"/>
      <c r="AU55" s="56"/>
    </row>
    <row r="56" spans="1:48" ht="14">
      <c r="A56" s="46" t="s">
        <v>207</v>
      </c>
      <c r="B56" s="47" t="s">
        <v>208</v>
      </c>
      <c r="C56" s="47" t="s">
        <v>209</v>
      </c>
      <c r="D56" s="47" t="s">
        <v>210</v>
      </c>
      <c r="E56" s="47" t="s">
        <v>211</v>
      </c>
      <c r="F56" s="47" t="s">
        <v>212</v>
      </c>
      <c r="G56" s="47" t="s">
        <v>213</v>
      </c>
      <c r="H56" s="47" t="s">
        <v>214</v>
      </c>
      <c r="I56" s="47" t="s">
        <v>215</v>
      </c>
      <c r="J56" s="47" t="s">
        <v>216</v>
      </c>
      <c r="K56" s="47" t="s">
        <v>217</v>
      </c>
      <c r="L56" s="47" t="s">
        <v>1266</v>
      </c>
      <c r="M56" s="48"/>
      <c r="N56" s="49" t="s">
        <v>128</v>
      </c>
      <c r="O56" s="49" t="s">
        <v>129</v>
      </c>
      <c r="P56" s="49" t="s">
        <v>130</v>
      </c>
      <c r="Q56" s="50" t="s">
        <v>131</v>
      </c>
      <c r="R56" s="49" t="s">
        <v>132</v>
      </c>
      <c r="S56" s="49" t="s">
        <v>133</v>
      </c>
      <c r="T56" s="49" t="s">
        <v>134</v>
      </c>
      <c r="U56" s="50" t="s">
        <v>135</v>
      </c>
      <c r="V56" s="49" t="s">
        <v>136</v>
      </c>
      <c r="W56" s="49" t="s">
        <v>137</v>
      </c>
      <c r="X56" s="49" t="s">
        <v>138</v>
      </c>
      <c r="Y56" s="50" t="s">
        <v>139</v>
      </c>
      <c r="Z56" s="49" t="s">
        <v>140</v>
      </c>
      <c r="AA56" s="49" t="s">
        <v>141</v>
      </c>
      <c r="AB56" s="49" t="s">
        <v>142</v>
      </c>
      <c r="AC56" s="50" t="s">
        <v>143</v>
      </c>
      <c r="AD56" s="49" t="s">
        <v>144</v>
      </c>
      <c r="AE56" s="49" t="s">
        <v>145</v>
      </c>
      <c r="AF56" s="49" t="s">
        <v>146</v>
      </c>
      <c r="AG56" s="50" t="s">
        <v>147</v>
      </c>
      <c r="AH56" s="49" t="s">
        <v>148</v>
      </c>
      <c r="AI56" s="49" t="s">
        <v>149</v>
      </c>
      <c r="AJ56" s="49" t="s">
        <v>150</v>
      </c>
      <c r="AK56" s="50" t="s">
        <v>151</v>
      </c>
      <c r="AL56" s="49" t="s">
        <v>152</v>
      </c>
      <c r="AM56" s="49" t="s">
        <v>153</v>
      </c>
      <c r="AN56" s="49" t="s">
        <v>154</v>
      </c>
      <c r="AO56" s="50" t="s">
        <v>155</v>
      </c>
      <c r="AP56" s="49" t="s">
        <v>156</v>
      </c>
      <c r="AQ56" s="49" t="s">
        <v>157</v>
      </c>
      <c r="AR56" s="49" t="s">
        <v>158</v>
      </c>
      <c r="AS56" s="50" t="s">
        <v>820</v>
      </c>
      <c r="AT56" s="49" t="s">
        <v>1275</v>
      </c>
      <c r="AU56" s="49" t="s">
        <v>1344</v>
      </c>
    </row>
    <row r="57" spans="1:48" ht="13">
      <c r="A57" s="37" t="s">
        <v>218</v>
      </c>
      <c r="B57" s="38">
        <v>28663</v>
      </c>
      <c r="C57" s="38">
        <v>27102</v>
      </c>
      <c r="D57" s="38">
        <v>31364</v>
      </c>
      <c r="E57" s="38">
        <v>38285</v>
      </c>
      <c r="F57" s="38">
        <v>40848.650994699703</v>
      </c>
      <c r="G57" s="38">
        <v>36122</v>
      </c>
      <c r="H57" s="38">
        <v>39645</v>
      </c>
      <c r="I57" s="38">
        <v>49694</v>
      </c>
      <c r="J57" s="38">
        <v>60343</v>
      </c>
      <c r="K57" s="38">
        <v>63604</v>
      </c>
      <c r="L57" s="38">
        <v>61998</v>
      </c>
      <c r="M57" s="38"/>
      <c r="N57" s="38">
        <v>32186</v>
      </c>
      <c r="O57" s="38">
        <v>34151</v>
      </c>
      <c r="P57" s="38">
        <v>36191</v>
      </c>
      <c r="Q57" s="39">
        <v>38285</v>
      </c>
      <c r="R57" s="38">
        <v>39836.654848746701</v>
      </c>
      <c r="S57" s="38">
        <v>40620.661547384101</v>
      </c>
      <c r="T57" s="38">
        <v>41127.199441532801</v>
      </c>
      <c r="U57" s="39">
        <v>40848.650994699703</v>
      </c>
      <c r="V57" s="38">
        <v>40198</v>
      </c>
      <c r="W57" s="38">
        <v>38030</v>
      </c>
      <c r="X57" s="38">
        <v>36596</v>
      </c>
      <c r="Y57" s="39">
        <v>36122</v>
      </c>
      <c r="Z57" s="38">
        <v>35762</v>
      </c>
      <c r="AA57" s="38">
        <v>37036</v>
      </c>
      <c r="AB57" s="38">
        <v>38278</v>
      </c>
      <c r="AC57" s="39">
        <v>39645</v>
      </c>
      <c r="AD57" s="38">
        <v>41960</v>
      </c>
      <c r="AE57" s="38">
        <v>44095</v>
      </c>
      <c r="AF57" s="38">
        <v>46930</v>
      </c>
      <c r="AG57" s="39">
        <v>49694</v>
      </c>
      <c r="AH57" s="38">
        <v>52473</v>
      </c>
      <c r="AI57" s="38">
        <v>56515</v>
      </c>
      <c r="AJ57" s="38">
        <v>58711</v>
      </c>
      <c r="AK57" s="39">
        <v>60343</v>
      </c>
      <c r="AL57" s="38">
        <v>60618</v>
      </c>
      <c r="AM57" s="38">
        <v>61219</v>
      </c>
      <c r="AN57" s="38">
        <v>61921</v>
      </c>
      <c r="AO57" s="39">
        <v>63604</v>
      </c>
      <c r="AP57" s="38">
        <v>64996</v>
      </c>
      <c r="AQ57" s="38">
        <v>63616</v>
      </c>
      <c r="AR57" s="38">
        <v>63159</v>
      </c>
      <c r="AS57" s="39">
        <v>61998</v>
      </c>
      <c r="AT57" s="38">
        <v>60813</v>
      </c>
      <c r="AU57" s="38">
        <v>62385</v>
      </c>
    </row>
    <row r="58" spans="1:48" ht="13">
      <c r="A58" s="37" t="s">
        <v>219</v>
      </c>
      <c r="B58" s="38">
        <v>21727</v>
      </c>
      <c r="C58" s="38">
        <v>23167</v>
      </c>
      <c r="D58" s="38">
        <v>21674</v>
      </c>
      <c r="E58" s="38">
        <v>23086</v>
      </c>
      <c r="F58" s="38">
        <v>29518</v>
      </c>
      <c r="G58" s="38">
        <v>34033</v>
      </c>
      <c r="H58" s="38">
        <v>34485</v>
      </c>
      <c r="I58" s="38">
        <v>39794</v>
      </c>
      <c r="J58" s="38">
        <v>48815</v>
      </c>
      <c r="K58" s="38">
        <v>60153</v>
      </c>
      <c r="L58" s="38">
        <v>63023</v>
      </c>
      <c r="M58" s="38"/>
      <c r="N58" s="38">
        <v>21066</v>
      </c>
      <c r="O58" s="38">
        <v>21518</v>
      </c>
      <c r="P58" s="38">
        <v>21826</v>
      </c>
      <c r="Q58" s="39">
        <v>23086</v>
      </c>
      <c r="R58" s="38">
        <v>25173</v>
      </c>
      <c r="S58" s="38">
        <v>26794</v>
      </c>
      <c r="T58" s="38">
        <v>28050</v>
      </c>
      <c r="U58" s="39">
        <v>29518</v>
      </c>
      <c r="V58" s="38">
        <v>31092</v>
      </c>
      <c r="W58" s="38">
        <v>32065</v>
      </c>
      <c r="X58" s="38">
        <v>33313</v>
      </c>
      <c r="Y58" s="39">
        <v>34033</v>
      </c>
      <c r="Z58" s="38">
        <v>35029</v>
      </c>
      <c r="AA58" s="38">
        <v>34608</v>
      </c>
      <c r="AB58" s="38">
        <v>34468</v>
      </c>
      <c r="AC58" s="39">
        <v>34485</v>
      </c>
      <c r="AD58" s="38">
        <v>35195</v>
      </c>
      <c r="AE58" s="38">
        <v>35491</v>
      </c>
      <c r="AF58" s="38">
        <v>37663</v>
      </c>
      <c r="AG58" s="39">
        <v>39794</v>
      </c>
      <c r="AH58" s="38">
        <v>42208</v>
      </c>
      <c r="AI58" s="38">
        <v>44463</v>
      </c>
      <c r="AJ58" s="38">
        <v>47040</v>
      </c>
      <c r="AK58" s="39">
        <v>48815</v>
      </c>
      <c r="AL58" s="38">
        <v>52087</v>
      </c>
      <c r="AM58" s="38">
        <v>54757</v>
      </c>
      <c r="AN58" s="38">
        <v>57310</v>
      </c>
      <c r="AO58" s="39">
        <v>60153</v>
      </c>
      <c r="AP58" s="38">
        <v>62667</v>
      </c>
      <c r="AQ58" s="38">
        <v>62511</v>
      </c>
      <c r="AR58" s="38">
        <v>62786</v>
      </c>
      <c r="AS58" s="39">
        <v>63023</v>
      </c>
      <c r="AT58" s="38">
        <v>63133</v>
      </c>
      <c r="AU58" s="38">
        <v>63044</v>
      </c>
    </row>
    <row r="59" spans="1:48" ht="13">
      <c r="A59" s="40" t="s">
        <v>52</v>
      </c>
      <c r="B59" s="41">
        <v>1.3</v>
      </c>
      <c r="C59" s="55">
        <v>1.2</v>
      </c>
      <c r="D59" s="55">
        <v>1.4</v>
      </c>
      <c r="E59" s="55">
        <v>1.6583643766785066</v>
      </c>
      <c r="F59" s="55">
        <v>1.383855647222024</v>
      </c>
      <c r="G59" s="55">
        <v>1.1000000000000001</v>
      </c>
      <c r="H59" s="55">
        <v>1.1000000000000001</v>
      </c>
      <c r="I59" s="55">
        <v>1.2</v>
      </c>
      <c r="J59" s="55">
        <v>1.2361569189798218</v>
      </c>
      <c r="K59" s="55">
        <v>1.1000000000000001</v>
      </c>
      <c r="L59" s="55">
        <v>1</v>
      </c>
      <c r="M59" s="56"/>
      <c r="N59" s="55">
        <v>1.5278648058482864</v>
      </c>
      <c r="O59" s="55">
        <v>1.5870898782414722</v>
      </c>
      <c r="P59" s="55">
        <v>1.6581599926692936</v>
      </c>
      <c r="Q59" s="57">
        <v>1.6583643766785066</v>
      </c>
      <c r="R59" s="55">
        <v>1.582515188843074</v>
      </c>
      <c r="S59" s="55">
        <v>1.5160357373809099</v>
      </c>
      <c r="T59" s="55">
        <v>1.4662103187712228</v>
      </c>
      <c r="U59" s="57">
        <v>1.383855647222024</v>
      </c>
      <c r="V59" s="55">
        <v>1.3</v>
      </c>
      <c r="W59" s="55">
        <v>1.1859971932013098</v>
      </c>
      <c r="X59" s="55">
        <v>1.098550115570498</v>
      </c>
      <c r="Y59" s="57">
        <v>1.0613816002115595</v>
      </c>
      <c r="Z59" s="55">
        <v>1.0209255188558053</v>
      </c>
      <c r="AA59" s="55">
        <v>1.1000000000000001</v>
      </c>
      <c r="AB59" s="55">
        <v>1.1105373099686666</v>
      </c>
      <c r="AC59" s="57">
        <v>1.1498636811880039</v>
      </c>
      <c r="AD59" s="55">
        <v>1.1922148032390965</v>
      </c>
      <c r="AE59" s="55">
        <v>1.2424276577160407</v>
      </c>
      <c r="AF59" s="55">
        <v>1.2460505004911984</v>
      </c>
      <c r="AG59" s="57">
        <v>1.2487812232999951</v>
      </c>
      <c r="AH59" s="55">
        <v>1.2432003411675512</v>
      </c>
      <c r="AI59" s="55">
        <v>1.3</v>
      </c>
      <c r="AJ59" s="55">
        <v>1.2481079931972789</v>
      </c>
      <c r="AK59" s="57">
        <v>1.2361569189798218</v>
      </c>
      <c r="AL59" s="55">
        <v>1.1637836696296582</v>
      </c>
      <c r="AM59" s="55">
        <v>1.1180123089285388</v>
      </c>
      <c r="AN59" s="55">
        <v>1.0804746117606003</v>
      </c>
      <c r="AO59" s="57">
        <v>1.0573537479427459</v>
      </c>
      <c r="AP59" s="55">
        <v>1</v>
      </c>
      <c r="AQ59" s="55">
        <v>1.0176608916830601</v>
      </c>
      <c r="AR59" s="55">
        <v>1.01</v>
      </c>
      <c r="AS59" s="57">
        <v>0.98373609634577852</v>
      </c>
      <c r="AT59" s="55">
        <v>0.96325218190169959</v>
      </c>
      <c r="AU59" s="55">
        <v>0.98954698305945055</v>
      </c>
    </row>
    <row r="60" spans="1:48" ht="13">
      <c r="A60" s="45" t="s">
        <v>162</v>
      </c>
      <c r="B60" s="74"/>
      <c r="C60" s="74"/>
      <c r="D60" s="48"/>
      <c r="E60" s="74"/>
      <c r="F60" s="74"/>
      <c r="G60" s="74"/>
      <c r="H60" s="74"/>
      <c r="I60" s="74"/>
      <c r="J60" s="74"/>
      <c r="K60" s="74"/>
      <c r="L60" s="74"/>
      <c r="M60" s="76"/>
      <c r="N60" s="74"/>
      <c r="O60" s="74"/>
      <c r="P60" s="74"/>
      <c r="Q60" s="63"/>
      <c r="R60" s="74"/>
      <c r="S60" s="74"/>
      <c r="T60" s="74"/>
      <c r="U60" s="77"/>
      <c r="V60" s="74"/>
      <c r="W60" s="74"/>
      <c r="X60" s="74"/>
      <c r="Y60" s="77"/>
      <c r="Z60" s="74"/>
      <c r="AA60" s="74"/>
      <c r="AB60" s="74"/>
      <c r="AC60" s="77"/>
      <c r="AD60" s="74"/>
      <c r="AE60" s="74"/>
      <c r="AF60" s="74"/>
      <c r="AG60" s="77"/>
      <c r="AH60" s="74"/>
      <c r="AI60" s="74"/>
      <c r="AJ60" s="74"/>
      <c r="AK60" s="77"/>
      <c r="AL60" s="74"/>
      <c r="AM60" s="74"/>
      <c r="AN60" s="74"/>
      <c r="AO60" s="77"/>
      <c r="AP60" s="74"/>
      <c r="AQ60" s="74"/>
      <c r="AR60" s="74"/>
      <c r="AS60" s="77"/>
      <c r="AT60" s="74"/>
      <c r="AU60" s="74"/>
    </row>
    <row r="61" spans="1:48" ht="13">
      <c r="A61" s="45" t="s">
        <v>220</v>
      </c>
      <c r="B61" s="74"/>
      <c r="C61" s="74"/>
      <c r="D61" s="48"/>
      <c r="E61" s="74"/>
      <c r="F61" s="74"/>
      <c r="G61" s="74"/>
      <c r="H61" s="74"/>
      <c r="I61" s="74"/>
      <c r="J61" s="74"/>
      <c r="K61" s="74"/>
      <c r="L61" s="74"/>
      <c r="M61" s="76"/>
      <c r="N61" s="74"/>
      <c r="O61" s="74"/>
      <c r="P61" s="74"/>
      <c r="Q61" s="63"/>
      <c r="R61" s="74"/>
      <c r="S61" s="74"/>
      <c r="T61" s="74"/>
      <c r="U61" s="77"/>
      <c r="V61" s="74"/>
      <c r="W61" s="74"/>
      <c r="X61" s="74"/>
      <c r="Y61" s="77"/>
      <c r="Z61" s="74"/>
      <c r="AA61" s="74"/>
      <c r="AB61" s="74"/>
      <c r="AC61" s="77"/>
      <c r="AD61" s="74"/>
      <c r="AE61" s="74"/>
      <c r="AF61" s="74"/>
      <c r="AG61" s="77"/>
      <c r="AH61" s="74"/>
      <c r="AI61" s="74"/>
      <c r="AJ61" s="74"/>
      <c r="AK61" s="77"/>
      <c r="AL61" s="74"/>
      <c r="AM61" s="74"/>
      <c r="AN61" s="74"/>
      <c r="AO61" s="77"/>
      <c r="AP61" s="74"/>
      <c r="AQ61" s="74"/>
      <c r="AR61" s="74"/>
      <c r="AS61" s="77"/>
      <c r="AT61" s="74"/>
      <c r="AU61" s="74"/>
    </row>
    <row r="62" spans="1:48" ht="13">
      <c r="A62" s="45" t="s">
        <v>221</v>
      </c>
      <c r="B62" s="31"/>
      <c r="C62" s="31"/>
      <c r="D62" s="32"/>
      <c r="E62" s="31"/>
      <c r="F62" s="31"/>
      <c r="G62" s="31"/>
      <c r="H62" s="31"/>
      <c r="I62" s="31"/>
      <c r="J62" s="31"/>
      <c r="K62" s="31"/>
      <c r="L62" s="31"/>
      <c r="M62" s="31"/>
      <c r="N62" s="31"/>
      <c r="O62" s="31"/>
      <c r="P62" s="31"/>
      <c r="Q62" s="33"/>
      <c r="R62" s="31"/>
      <c r="S62" s="31"/>
      <c r="T62" s="31"/>
      <c r="U62" s="33"/>
      <c r="V62" s="31"/>
      <c r="W62" s="31"/>
      <c r="X62" s="31"/>
      <c r="Y62" s="33"/>
      <c r="Z62" s="31"/>
      <c r="AA62" s="31"/>
      <c r="AB62" s="31"/>
      <c r="AC62" s="33"/>
      <c r="AD62" s="31"/>
      <c r="AE62" s="31"/>
      <c r="AF62" s="31"/>
      <c r="AG62" s="33"/>
      <c r="AH62" s="31"/>
      <c r="AI62" s="31"/>
      <c r="AJ62" s="31"/>
      <c r="AK62" s="33"/>
      <c r="AL62" s="31"/>
      <c r="AM62" s="31"/>
      <c r="AN62" s="31"/>
      <c r="AO62" s="33"/>
      <c r="AP62" s="31"/>
      <c r="AQ62" s="31"/>
      <c r="AR62" s="31"/>
      <c r="AS62" s="33"/>
      <c r="AT62" s="31"/>
      <c r="AU62" s="31"/>
    </row>
    <row r="63" spans="1:48" ht="13">
      <c r="A63" s="31"/>
      <c r="B63" s="31"/>
      <c r="C63" s="31"/>
      <c r="D63" s="32"/>
      <c r="E63" s="31"/>
      <c r="F63" s="31"/>
      <c r="G63" s="31"/>
      <c r="H63" s="31"/>
      <c r="I63" s="31"/>
      <c r="J63" s="31"/>
      <c r="K63" s="31"/>
      <c r="L63" s="31"/>
      <c r="M63" s="31"/>
      <c r="N63" s="31"/>
      <c r="O63" s="31"/>
      <c r="P63" s="31"/>
      <c r="Q63" s="33"/>
      <c r="R63" s="31"/>
      <c r="S63" s="31"/>
      <c r="T63" s="31"/>
      <c r="U63" s="33"/>
      <c r="V63" s="31"/>
      <c r="W63" s="31"/>
      <c r="X63" s="31"/>
      <c r="Y63" s="33"/>
      <c r="Z63" s="31"/>
      <c r="AA63" s="31"/>
      <c r="AB63" s="31"/>
      <c r="AC63" s="33"/>
      <c r="AD63" s="31"/>
      <c r="AE63" s="31"/>
      <c r="AF63" s="31"/>
      <c r="AG63" s="33"/>
      <c r="AH63" s="31"/>
      <c r="AI63" s="31"/>
      <c r="AJ63" s="31"/>
      <c r="AK63" s="33"/>
      <c r="AL63" s="31"/>
      <c r="AM63" s="31"/>
      <c r="AN63" s="31"/>
      <c r="AO63" s="33"/>
      <c r="AP63" s="31"/>
      <c r="AQ63" s="31"/>
      <c r="AR63" s="31"/>
      <c r="AS63" s="33"/>
      <c r="AT63" s="31"/>
      <c r="AU63" s="31"/>
    </row>
    <row r="64" spans="1:48" ht="14">
      <c r="A64" s="46" t="s">
        <v>222</v>
      </c>
      <c r="B64" s="47" t="s">
        <v>208</v>
      </c>
      <c r="C64" s="47" t="s">
        <v>209</v>
      </c>
      <c r="D64" s="47" t="s">
        <v>210</v>
      </c>
      <c r="E64" s="47" t="s">
        <v>211</v>
      </c>
      <c r="F64" s="47" t="s">
        <v>212</v>
      </c>
      <c r="G64" s="47" t="s">
        <v>213</v>
      </c>
      <c r="H64" s="47" t="s">
        <v>214</v>
      </c>
      <c r="I64" s="47" t="s">
        <v>215</v>
      </c>
      <c r="J64" s="47" t="s">
        <v>216</v>
      </c>
      <c r="K64" s="47" t="s">
        <v>217</v>
      </c>
      <c r="L64" s="47" t="s">
        <v>1266</v>
      </c>
      <c r="M64" s="48"/>
      <c r="N64" s="49" t="s">
        <v>128</v>
      </c>
      <c r="O64" s="49" t="s">
        <v>129</v>
      </c>
      <c r="P64" s="49" t="s">
        <v>130</v>
      </c>
      <c r="Q64" s="50" t="s">
        <v>131</v>
      </c>
      <c r="R64" s="49" t="s">
        <v>132</v>
      </c>
      <c r="S64" s="49" t="s">
        <v>133</v>
      </c>
      <c r="T64" s="49" t="s">
        <v>134</v>
      </c>
      <c r="U64" s="50" t="s">
        <v>135</v>
      </c>
      <c r="V64" s="49" t="s">
        <v>136</v>
      </c>
      <c r="W64" s="49" t="s">
        <v>137</v>
      </c>
      <c r="X64" s="49" t="s">
        <v>138</v>
      </c>
      <c r="Y64" s="50" t="s">
        <v>139</v>
      </c>
      <c r="Z64" s="49" t="s">
        <v>140</v>
      </c>
      <c r="AA64" s="49" t="s">
        <v>141</v>
      </c>
      <c r="AB64" s="49" t="s">
        <v>142</v>
      </c>
      <c r="AC64" s="50" t="s">
        <v>143</v>
      </c>
      <c r="AD64" s="49" t="s">
        <v>144</v>
      </c>
      <c r="AE64" s="49" t="s">
        <v>145</v>
      </c>
      <c r="AF64" s="49" t="s">
        <v>146</v>
      </c>
      <c r="AG64" s="50" t="s">
        <v>147</v>
      </c>
      <c r="AH64" s="49" t="s">
        <v>148</v>
      </c>
      <c r="AI64" s="49" t="s">
        <v>149</v>
      </c>
      <c r="AJ64" s="49" t="s">
        <v>150</v>
      </c>
      <c r="AK64" s="50" t="s">
        <v>151</v>
      </c>
      <c r="AL64" s="49" t="s">
        <v>152</v>
      </c>
      <c r="AM64" s="49" t="s">
        <v>153</v>
      </c>
      <c r="AN64" s="49" t="s">
        <v>154</v>
      </c>
      <c r="AO64" s="50" t="s">
        <v>155</v>
      </c>
      <c r="AP64" s="49" t="s">
        <v>156</v>
      </c>
      <c r="AQ64" s="49" t="s">
        <v>157</v>
      </c>
      <c r="AR64" s="49" t="s">
        <v>158</v>
      </c>
      <c r="AS64" s="50" t="s">
        <v>820</v>
      </c>
      <c r="AT64" s="49" t="s">
        <v>1275</v>
      </c>
      <c r="AU64" s="49" t="s">
        <v>1344</v>
      </c>
    </row>
    <row r="65" spans="1:47" ht="13">
      <c r="A65" s="37" t="s">
        <v>223</v>
      </c>
      <c r="B65" s="38">
        <v>5175</v>
      </c>
      <c r="C65" s="38">
        <v>4548</v>
      </c>
      <c r="D65" s="38">
        <v>5930</v>
      </c>
      <c r="E65" s="38">
        <v>7385</v>
      </c>
      <c r="F65" s="38">
        <v>8136.0009848372001</v>
      </c>
      <c r="G65" s="38">
        <v>7382</v>
      </c>
      <c r="H65" s="38">
        <v>8995</v>
      </c>
      <c r="I65" s="38">
        <v>11147</v>
      </c>
      <c r="J65" s="38">
        <v>13183</v>
      </c>
      <c r="K65" s="38">
        <v>12385</v>
      </c>
      <c r="L65" s="38">
        <v>11925</v>
      </c>
      <c r="M65" s="38"/>
      <c r="N65" s="38">
        <v>6031</v>
      </c>
      <c r="O65" s="38">
        <v>6373</v>
      </c>
      <c r="P65" s="38">
        <v>6751</v>
      </c>
      <c r="Q65" s="39">
        <v>7385</v>
      </c>
      <c r="R65" s="38">
        <v>7800.0471575894999</v>
      </c>
      <c r="S65" s="38">
        <v>8252.5813732372008</v>
      </c>
      <c r="T65" s="38">
        <v>8281.6837509285997</v>
      </c>
      <c r="U65" s="39">
        <v>8136.0009848372001</v>
      </c>
      <c r="V65" s="38">
        <v>8138</v>
      </c>
      <c r="W65" s="38">
        <v>7293</v>
      </c>
      <c r="X65" s="38">
        <v>7186</v>
      </c>
      <c r="Y65" s="39">
        <v>7382</v>
      </c>
      <c r="Z65" s="38">
        <v>7317</v>
      </c>
      <c r="AA65" s="38">
        <v>8082</v>
      </c>
      <c r="AB65" s="38">
        <v>8613</v>
      </c>
      <c r="AC65" s="39">
        <v>8995</v>
      </c>
      <c r="AD65" s="38">
        <v>9760</v>
      </c>
      <c r="AE65" s="38">
        <v>9958</v>
      </c>
      <c r="AF65" s="38">
        <v>10506</v>
      </c>
      <c r="AG65" s="39">
        <v>11147</v>
      </c>
      <c r="AH65" s="38">
        <v>11677</v>
      </c>
      <c r="AI65" s="38">
        <v>12709</v>
      </c>
      <c r="AJ65" s="38">
        <v>13069</v>
      </c>
      <c r="AK65" s="39">
        <v>13183</v>
      </c>
      <c r="AL65" s="38">
        <v>12782</v>
      </c>
      <c r="AM65" s="38">
        <v>12290</v>
      </c>
      <c r="AN65" s="38">
        <v>12306</v>
      </c>
      <c r="AO65" s="39">
        <v>12385</v>
      </c>
      <c r="AP65" s="38">
        <v>12713</v>
      </c>
      <c r="AQ65" s="38">
        <v>12623</v>
      </c>
      <c r="AR65" s="38">
        <v>12148</v>
      </c>
      <c r="AS65" s="39">
        <v>11925</v>
      </c>
      <c r="AT65" s="38">
        <v>11683</v>
      </c>
      <c r="AU65" s="38">
        <v>12168</v>
      </c>
    </row>
    <row r="66" spans="1:47" ht="13">
      <c r="A66" s="37" t="s">
        <v>219</v>
      </c>
      <c r="B66" s="38">
        <v>21727</v>
      </c>
      <c r="C66" s="38">
        <v>23167</v>
      </c>
      <c r="D66" s="38">
        <v>21674</v>
      </c>
      <c r="E66" s="38">
        <v>23086</v>
      </c>
      <c r="F66" s="38">
        <v>29518</v>
      </c>
      <c r="G66" s="38">
        <v>34033</v>
      </c>
      <c r="H66" s="38">
        <v>34485</v>
      </c>
      <c r="I66" s="38">
        <v>39794</v>
      </c>
      <c r="J66" s="38">
        <v>48815</v>
      </c>
      <c r="K66" s="38">
        <v>60153</v>
      </c>
      <c r="L66" s="38">
        <v>63023</v>
      </c>
      <c r="M66" s="38"/>
      <c r="N66" s="38">
        <v>21066</v>
      </c>
      <c r="O66" s="38">
        <v>21518</v>
      </c>
      <c r="P66" s="38">
        <v>21826</v>
      </c>
      <c r="Q66" s="39">
        <v>23086</v>
      </c>
      <c r="R66" s="38">
        <v>25173</v>
      </c>
      <c r="S66" s="38">
        <v>26794</v>
      </c>
      <c r="T66" s="38">
        <v>28050</v>
      </c>
      <c r="U66" s="39">
        <v>29518</v>
      </c>
      <c r="V66" s="38">
        <v>31092</v>
      </c>
      <c r="W66" s="38">
        <v>32065</v>
      </c>
      <c r="X66" s="38">
        <v>33313</v>
      </c>
      <c r="Y66" s="39">
        <v>34033</v>
      </c>
      <c r="Z66" s="38">
        <v>35029</v>
      </c>
      <c r="AA66" s="38">
        <v>34608</v>
      </c>
      <c r="AB66" s="38">
        <v>34468</v>
      </c>
      <c r="AC66" s="39">
        <v>34485</v>
      </c>
      <c r="AD66" s="38">
        <v>35195</v>
      </c>
      <c r="AE66" s="38">
        <v>35491</v>
      </c>
      <c r="AF66" s="38">
        <v>37663</v>
      </c>
      <c r="AG66" s="39">
        <v>39794</v>
      </c>
      <c r="AH66" s="38">
        <v>42208</v>
      </c>
      <c r="AI66" s="38">
        <v>44463</v>
      </c>
      <c r="AJ66" s="38">
        <v>47040</v>
      </c>
      <c r="AK66" s="39">
        <v>48815</v>
      </c>
      <c r="AL66" s="38">
        <v>52087</v>
      </c>
      <c r="AM66" s="38">
        <v>54757</v>
      </c>
      <c r="AN66" s="38">
        <v>57310</v>
      </c>
      <c r="AO66" s="39">
        <v>60153</v>
      </c>
      <c r="AP66" s="38">
        <v>62667</v>
      </c>
      <c r="AQ66" s="38">
        <v>62511</v>
      </c>
      <c r="AR66" s="38">
        <v>62786</v>
      </c>
      <c r="AS66" s="39">
        <v>63023</v>
      </c>
      <c r="AT66" s="38">
        <v>63133</v>
      </c>
      <c r="AU66" s="38">
        <v>63044</v>
      </c>
    </row>
    <row r="67" spans="1:47" ht="13">
      <c r="A67" s="40" t="s">
        <v>224</v>
      </c>
      <c r="B67" s="55">
        <v>23.8</v>
      </c>
      <c r="C67" s="55">
        <v>19.600000000000001</v>
      </c>
      <c r="D67" s="55">
        <v>27.4</v>
      </c>
      <c r="E67" s="55">
        <v>32</v>
      </c>
      <c r="F67" s="55">
        <v>27.6</v>
      </c>
      <c r="G67" s="55">
        <v>21.7</v>
      </c>
      <c r="H67" s="55">
        <v>26.1</v>
      </c>
      <c r="I67" s="55">
        <v>28.011760566919637</v>
      </c>
      <c r="J67" s="55">
        <v>27</v>
      </c>
      <c r="K67" s="55">
        <v>20.6</v>
      </c>
      <c r="L67" s="55">
        <v>18.921663519667423</v>
      </c>
      <c r="M67" s="56"/>
      <c r="N67" s="55">
        <v>28.629070540206968</v>
      </c>
      <c r="O67" s="55">
        <v>29.617064782972395</v>
      </c>
      <c r="P67" s="55">
        <v>30.930999725098506</v>
      </c>
      <c r="Q67" s="57">
        <v>31.989084293511215</v>
      </c>
      <c r="R67" s="55">
        <v>30.985767121874623</v>
      </c>
      <c r="S67" s="55">
        <v>30.800109626174521</v>
      </c>
      <c r="T67" s="55">
        <v>29.524719254647415</v>
      </c>
      <c r="U67" s="57">
        <v>27.562846347439528</v>
      </c>
      <c r="V67" s="55">
        <v>26.17</v>
      </c>
      <c r="W67" s="55">
        <v>22.741306720723532</v>
      </c>
      <c r="X67" s="55">
        <v>21.571158406628044</v>
      </c>
      <c r="Y67" s="57">
        <v>21.7</v>
      </c>
      <c r="Z67" s="55">
        <v>20.888406748693939</v>
      </c>
      <c r="AA67" s="55">
        <v>23.4</v>
      </c>
      <c r="AB67" s="55">
        <v>24.988395033074156</v>
      </c>
      <c r="AC67" s="57">
        <v>26.1</v>
      </c>
      <c r="AD67" s="55">
        <v>27.731211819860775</v>
      </c>
      <c r="AE67" s="55">
        <v>28.057817474852779</v>
      </c>
      <c r="AF67" s="55">
        <v>27.894750816451158</v>
      </c>
      <c r="AG67" s="57">
        <v>28.011760566919637</v>
      </c>
      <c r="AH67" s="55">
        <v>27.665371493555725</v>
      </c>
      <c r="AI67" s="55">
        <v>28.6</v>
      </c>
      <c r="AJ67" s="55">
        <v>27.782738095238095</v>
      </c>
      <c r="AK67" s="57">
        <v>27.006043224418725</v>
      </c>
      <c r="AL67" s="55">
        <v>24.539712404246742</v>
      </c>
      <c r="AM67" s="55">
        <v>22.444618952827948</v>
      </c>
      <c r="AN67" s="55">
        <v>21.4726923748037</v>
      </c>
      <c r="AO67" s="57">
        <v>20.589164297707512</v>
      </c>
      <c r="AP67" s="55">
        <v>20.3</v>
      </c>
      <c r="AQ67" s="55">
        <v>20.193245988705989</v>
      </c>
      <c r="AR67" s="55">
        <v>19.349855063230656</v>
      </c>
      <c r="AS67" s="57">
        <v>18.921663519667423</v>
      </c>
      <c r="AT67" s="55">
        <v>18.505377536312228</v>
      </c>
      <c r="AU67" s="55">
        <v>19.299219592665441</v>
      </c>
    </row>
    <row r="68" spans="1:47" ht="13">
      <c r="A68" s="45" t="s">
        <v>162</v>
      </c>
      <c r="B68" s="74"/>
      <c r="C68" s="74"/>
      <c r="D68" s="48"/>
      <c r="E68" s="74"/>
      <c r="F68" s="74"/>
      <c r="G68" s="74"/>
      <c r="H68" s="74"/>
      <c r="I68" s="74"/>
      <c r="J68" s="74"/>
      <c r="K68" s="74"/>
      <c r="L68" s="74"/>
      <c r="M68" s="76"/>
      <c r="N68" s="74"/>
      <c r="O68" s="74"/>
      <c r="P68" s="74"/>
      <c r="Q68" s="63"/>
      <c r="R68" s="74"/>
      <c r="S68" s="74"/>
      <c r="T68" s="74"/>
      <c r="U68" s="77"/>
      <c r="V68" s="74"/>
      <c r="W68" s="74"/>
      <c r="X68" s="74"/>
      <c r="Y68" s="77"/>
      <c r="Z68" s="74"/>
      <c r="AA68" s="74"/>
      <c r="AB68" s="74"/>
      <c r="AC68" s="77"/>
      <c r="AD68" s="74"/>
      <c r="AE68" s="74"/>
      <c r="AF68" s="74"/>
      <c r="AG68" s="77"/>
      <c r="AH68" s="74"/>
      <c r="AI68" s="74"/>
      <c r="AJ68" s="74"/>
      <c r="AK68" s="77"/>
      <c r="AL68" s="74"/>
      <c r="AM68" s="74"/>
      <c r="AN68" s="74"/>
      <c r="AO68" s="77"/>
      <c r="AP68" s="74"/>
      <c r="AQ68" s="74"/>
      <c r="AR68" s="74"/>
      <c r="AS68" s="77"/>
      <c r="AT68" s="74"/>
      <c r="AU68" s="74"/>
    </row>
    <row r="69" spans="1:47" ht="13">
      <c r="A69" s="45" t="s">
        <v>220</v>
      </c>
      <c r="B69" s="74"/>
      <c r="C69" s="74"/>
      <c r="D69" s="48"/>
      <c r="E69" s="74"/>
      <c r="F69" s="74"/>
      <c r="G69" s="74"/>
      <c r="H69" s="74"/>
      <c r="I69" s="74"/>
      <c r="J69" s="74"/>
      <c r="K69" s="74"/>
      <c r="L69" s="74"/>
      <c r="M69" s="76"/>
      <c r="N69" s="74"/>
      <c r="O69" s="74"/>
      <c r="P69" s="74"/>
      <c r="Q69" s="63"/>
      <c r="R69" s="74"/>
      <c r="S69" s="74"/>
      <c r="T69" s="74"/>
      <c r="U69" s="77"/>
      <c r="V69" s="74"/>
      <c r="W69" s="74"/>
      <c r="X69" s="74"/>
      <c r="Y69" s="77"/>
      <c r="Z69" s="74"/>
      <c r="AA69" s="74"/>
      <c r="AB69" s="74"/>
      <c r="AC69" s="77"/>
      <c r="AD69" s="74"/>
      <c r="AE69" s="74"/>
      <c r="AF69" s="74"/>
      <c r="AG69" s="77"/>
      <c r="AH69" s="74"/>
      <c r="AI69" s="74"/>
      <c r="AJ69" s="74"/>
      <c r="AK69" s="77"/>
      <c r="AL69" s="74"/>
      <c r="AM69" s="74"/>
      <c r="AN69" s="74"/>
      <c r="AO69" s="77"/>
      <c r="AP69" s="74"/>
      <c r="AQ69" s="74"/>
      <c r="AR69" s="74"/>
      <c r="AS69" s="77"/>
      <c r="AT69" s="74"/>
      <c r="AU69" s="74"/>
    </row>
    <row r="70" spans="1:47" ht="13">
      <c r="A70" s="45" t="s">
        <v>221</v>
      </c>
      <c r="B70" s="31"/>
      <c r="C70" s="31"/>
      <c r="D70" s="32"/>
      <c r="E70" s="31"/>
      <c r="F70" s="31"/>
      <c r="G70" s="31"/>
      <c r="H70" s="31"/>
      <c r="I70" s="31"/>
      <c r="J70" s="31"/>
      <c r="K70" s="31"/>
      <c r="L70" s="31"/>
      <c r="M70" s="31"/>
      <c r="N70" s="31"/>
      <c r="O70" s="31"/>
      <c r="P70" s="31"/>
      <c r="Q70" s="33"/>
      <c r="R70" s="31"/>
      <c r="S70" s="31"/>
      <c r="T70" s="31"/>
      <c r="U70" s="33"/>
      <c r="V70" s="31"/>
      <c r="W70" s="31"/>
      <c r="X70" s="31"/>
      <c r="Y70" s="33"/>
      <c r="Z70" s="31"/>
      <c r="AA70" s="31"/>
      <c r="AB70" s="31"/>
      <c r="AC70" s="33"/>
      <c r="AD70" s="31"/>
      <c r="AE70" s="31"/>
      <c r="AF70" s="31"/>
      <c r="AG70" s="33"/>
      <c r="AH70" s="31"/>
      <c r="AI70" s="31"/>
      <c r="AJ70" s="31"/>
      <c r="AK70" s="33"/>
      <c r="AL70" s="31"/>
      <c r="AM70" s="31"/>
      <c r="AN70" s="31"/>
      <c r="AO70" s="33"/>
      <c r="AP70" s="31"/>
      <c r="AQ70" s="31"/>
      <c r="AR70" s="31"/>
      <c r="AS70" s="33"/>
      <c r="AT70" s="31"/>
      <c r="AU70" s="31"/>
    </row>
    <row r="71" spans="1:47" ht="13">
      <c r="A71" s="31"/>
      <c r="B71" s="31"/>
      <c r="C71" s="31"/>
      <c r="D71" s="32"/>
      <c r="E71" s="31"/>
      <c r="F71" s="31"/>
      <c r="G71" s="31"/>
      <c r="H71" s="31"/>
      <c r="I71" s="31"/>
      <c r="J71" s="31"/>
      <c r="K71" s="31"/>
      <c r="L71" s="31"/>
      <c r="M71" s="31"/>
      <c r="N71" s="31"/>
      <c r="O71" s="31"/>
      <c r="P71" s="31"/>
      <c r="Q71" s="33"/>
      <c r="R71" s="31"/>
      <c r="S71" s="31"/>
      <c r="T71" s="31"/>
      <c r="U71" s="33"/>
      <c r="V71" s="31"/>
      <c r="W71" s="31"/>
      <c r="X71" s="31"/>
      <c r="Y71" s="33"/>
      <c r="Z71" s="31"/>
      <c r="AA71" s="31"/>
      <c r="AB71" s="31"/>
      <c r="AC71" s="33"/>
      <c r="AD71" s="31"/>
      <c r="AE71" s="31"/>
      <c r="AF71" s="31"/>
      <c r="AG71" s="33"/>
      <c r="AH71" s="31"/>
      <c r="AI71" s="31"/>
      <c r="AJ71" s="31"/>
      <c r="AK71" s="33"/>
      <c r="AL71" s="31"/>
      <c r="AM71" s="31"/>
      <c r="AN71" s="31"/>
      <c r="AO71" s="33"/>
      <c r="AP71" s="31"/>
      <c r="AQ71" s="31"/>
      <c r="AR71" s="31"/>
      <c r="AS71" s="33"/>
      <c r="AT71" s="31"/>
      <c r="AU71" s="31"/>
    </row>
    <row r="72" spans="1:47" ht="14">
      <c r="A72" s="46" t="s">
        <v>225</v>
      </c>
      <c r="B72" s="47">
        <v>2015</v>
      </c>
      <c r="C72" s="47">
        <v>2016</v>
      </c>
      <c r="D72" s="47" t="s">
        <v>127</v>
      </c>
      <c r="E72" s="47">
        <v>2018</v>
      </c>
      <c r="F72" s="47">
        <v>2019</v>
      </c>
      <c r="G72" s="47">
        <v>2020</v>
      </c>
      <c r="H72" s="47">
        <v>2021</v>
      </c>
      <c r="I72" s="47">
        <v>2022</v>
      </c>
      <c r="J72" s="47">
        <v>2023</v>
      </c>
      <c r="K72" s="47">
        <v>2024</v>
      </c>
      <c r="L72" s="47">
        <v>2025</v>
      </c>
      <c r="M72" s="48"/>
      <c r="N72" s="49" t="s">
        <v>128</v>
      </c>
      <c r="O72" s="49" t="s">
        <v>129</v>
      </c>
      <c r="P72" s="49" t="s">
        <v>130</v>
      </c>
      <c r="Q72" s="50" t="s">
        <v>131</v>
      </c>
      <c r="R72" s="49" t="s">
        <v>132</v>
      </c>
      <c r="S72" s="49" t="s">
        <v>133</v>
      </c>
      <c r="T72" s="49" t="s">
        <v>134</v>
      </c>
      <c r="U72" s="50" t="s">
        <v>135</v>
      </c>
      <c r="V72" s="49" t="s">
        <v>136</v>
      </c>
      <c r="W72" s="49" t="s">
        <v>137</v>
      </c>
      <c r="X72" s="49" t="s">
        <v>138</v>
      </c>
      <c r="Y72" s="50" t="s">
        <v>139</v>
      </c>
      <c r="Z72" s="49" t="s">
        <v>140</v>
      </c>
      <c r="AA72" s="49" t="s">
        <v>141</v>
      </c>
      <c r="AB72" s="49" t="s">
        <v>142</v>
      </c>
      <c r="AC72" s="50" t="s">
        <v>143</v>
      </c>
      <c r="AD72" s="49" t="s">
        <v>144</v>
      </c>
      <c r="AE72" s="49" t="s">
        <v>145</v>
      </c>
      <c r="AF72" s="49" t="s">
        <v>146</v>
      </c>
      <c r="AG72" s="50" t="s">
        <v>147</v>
      </c>
      <c r="AH72" s="49" t="s">
        <v>148</v>
      </c>
      <c r="AI72" s="49" t="s">
        <v>149</v>
      </c>
      <c r="AJ72" s="49" t="s">
        <v>150</v>
      </c>
      <c r="AK72" s="50" t="s">
        <v>151</v>
      </c>
      <c r="AL72" s="49" t="s">
        <v>152</v>
      </c>
      <c r="AM72" s="49" t="s">
        <v>153</v>
      </c>
      <c r="AN72" s="49" t="s">
        <v>154</v>
      </c>
      <c r="AO72" s="50" t="s">
        <v>155</v>
      </c>
      <c r="AP72" s="49" t="s">
        <v>156</v>
      </c>
      <c r="AQ72" s="49" t="s">
        <v>157</v>
      </c>
      <c r="AR72" s="49" t="s">
        <v>158</v>
      </c>
      <c r="AS72" s="50" t="s">
        <v>820</v>
      </c>
      <c r="AT72" s="49" t="s">
        <v>1275</v>
      </c>
      <c r="AU72" s="49" t="s">
        <v>1344</v>
      </c>
    </row>
    <row r="73" spans="1:47" ht="13">
      <c r="A73" s="37" t="s">
        <v>226</v>
      </c>
      <c r="B73" s="38">
        <v>7153</v>
      </c>
      <c r="C73" s="38">
        <v>7061</v>
      </c>
      <c r="D73" s="38">
        <v>8440</v>
      </c>
      <c r="E73" s="38">
        <v>10516</v>
      </c>
      <c r="F73" s="38">
        <v>10508</v>
      </c>
      <c r="G73" s="38">
        <v>8930</v>
      </c>
      <c r="H73" s="38">
        <v>11861</v>
      </c>
      <c r="I73" s="38">
        <v>16945</v>
      </c>
      <c r="J73" s="38">
        <v>18747</v>
      </c>
      <c r="K73" s="38">
        <v>19191</v>
      </c>
      <c r="L73" s="38">
        <v>18100</v>
      </c>
      <c r="M73" s="38"/>
      <c r="N73" s="38">
        <v>9746</v>
      </c>
      <c r="O73" s="38">
        <v>10664</v>
      </c>
      <c r="P73" s="38">
        <v>10789</v>
      </c>
      <c r="Q73" s="39">
        <v>10516</v>
      </c>
      <c r="R73" s="38">
        <v>11207</v>
      </c>
      <c r="S73" s="38">
        <v>11285</v>
      </c>
      <c r="T73" s="38">
        <v>11392</v>
      </c>
      <c r="U73" s="39">
        <v>10508</v>
      </c>
      <c r="V73" s="38">
        <v>10933</v>
      </c>
      <c r="W73" s="38">
        <v>10531</v>
      </c>
      <c r="X73" s="38">
        <v>9821</v>
      </c>
      <c r="Y73" s="39">
        <v>8930</v>
      </c>
      <c r="Z73" s="38">
        <v>9808</v>
      </c>
      <c r="AA73" s="38">
        <v>10271</v>
      </c>
      <c r="AB73" s="38">
        <v>11199</v>
      </c>
      <c r="AC73" s="39">
        <v>11861</v>
      </c>
      <c r="AD73" s="38">
        <v>13245</v>
      </c>
      <c r="AE73" s="38">
        <v>15119</v>
      </c>
      <c r="AF73" s="38">
        <v>16634</v>
      </c>
      <c r="AG73" s="39">
        <v>16945</v>
      </c>
      <c r="AH73" s="38">
        <v>18930</v>
      </c>
      <c r="AI73" s="38">
        <v>20157</v>
      </c>
      <c r="AJ73" s="38">
        <v>20031</v>
      </c>
      <c r="AK73" s="39">
        <v>18747</v>
      </c>
      <c r="AL73" s="38">
        <v>20592</v>
      </c>
      <c r="AM73" s="38">
        <v>21373</v>
      </c>
      <c r="AN73" s="38">
        <v>20202</v>
      </c>
      <c r="AO73" s="39">
        <v>19191</v>
      </c>
      <c r="AP73" s="38">
        <v>18273</v>
      </c>
      <c r="AQ73" s="38">
        <v>18018</v>
      </c>
      <c r="AR73" s="38">
        <v>18262</v>
      </c>
      <c r="AS73" s="39">
        <v>18100</v>
      </c>
      <c r="AT73" s="38">
        <v>20576</v>
      </c>
      <c r="AU73" s="38">
        <v>22652</v>
      </c>
    </row>
    <row r="74" spans="1:47" ht="13">
      <c r="A74" s="37" t="s">
        <v>227</v>
      </c>
      <c r="B74" s="38">
        <v>6122</v>
      </c>
      <c r="C74" s="38">
        <v>6578</v>
      </c>
      <c r="D74" s="38">
        <v>6271</v>
      </c>
      <c r="E74" s="38">
        <v>8005</v>
      </c>
      <c r="F74" s="38">
        <v>7287</v>
      </c>
      <c r="G74" s="38">
        <v>6045</v>
      </c>
      <c r="H74" s="38">
        <v>7174</v>
      </c>
      <c r="I74" s="38">
        <v>9581</v>
      </c>
      <c r="J74" s="38">
        <v>10455</v>
      </c>
      <c r="K74" s="38">
        <v>12424</v>
      </c>
      <c r="L74" s="38">
        <v>11155</v>
      </c>
      <c r="M74" s="38"/>
      <c r="N74" s="38">
        <v>6909</v>
      </c>
      <c r="O74" s="38">
        <v>7898</v>
      </c>
      <c r="P74" s="38">
        <v>7821</v>
      </c>
      <c r="Q74" s="39">
        <v>8005</v>
      </c>
      <c r="R74" s="38">
        <v>8501</v>
      </c>
      <c r="S74" s="38">
        <v>8757</v>
      </c>
      <c r="T74" s="38">
        <v>8068</v>
      </c>
      <c r="U74" s="39">
        <v>7287</v>
      </c>
      <c r="V74" s="38">
        <v>7300</v>
      </c>
      <c r="W74" s="38">
        <v>6139</v>
      </c>
      <c r="X74" s="38">
        <v>6197</v>
      </c>
      <c r="Y74" s="39">
        <v>6045</v>
      </c>
      <c r="Z74" s="38">
        <v>6391</v>
      </c>
      <c r="AA74" s="38">
        <v>6669</v>
      </c>
      <c r="AB74" s="38">
        <v>6765</v>
      </c>
      <c r="AC74" s="39">
        <v>7174</v>
      </c>
      <c r="AD74" s="38">
        <v>8225</v>
      </c>
      <c r="AE74" s="38">
        <v>8381</v>
      </c>
      <c r="AF74" s="38">
        <v>9174</v>
      </c>
      <c r="AG74" s="39">
        <v>9581</v>
      </c>
      <c r="AH74" s="38">
        <v>10088</v>
      </c>
      <c r="AI74" s="38">
        <v>11082</v>
      </c>
      <c r="AJ74" s="38">
        <v>10832</v>
      </c>
      <c r="AK74" s="39">
        <v>10455</v>
      </c>
      <c r="AL74" s="38">
        <v>10607</v>
      </c>
      <c r="AM74" s="38">
        <v>11271</v>
      </c>
      <c r="AN74" s="38">
        <v>10883</v>
      </c>
      <c r="AO74" s="39">
        <v>12424</v>
      </c>
      <c r="AP74" s="38">
        <v>11382</v>
      </c>
      <c r="AQ74" s="38">
        <v>11790</v>
      </c>
      <c r="AR74" s="38">
        <v>11343</v>
      </c>
      <c r="AS74" s="39">
        <v>11155</v>
      </c>
      <c r="AT74" s="38">
        <v>11099</v>
      </c>
      <c r="AU74" s="38">
        <v>11956</v>
      </c>
    </row>
    <row r="75" spans="1:47" ht="13">
      <c r="A75" s="37" t="s">
        <v>228</v>
      </c>
      <c r="B75" s="38">
        <v>-2214</v>
      </c>
      <c r="C75" s="38">
        <v>-2446</v>
      </c>
      <c r="D75" s="38">
        <v>-3966</v>
      </c>
      <c r="E75" s="38">
        <v>-4711</v>
      </c>
      <c r="F75" s="38">
        <v>-4050</v>
      </c>
      <c r="G75" s="38">
        <v>-3605</v>
      </c>
      <c r="H75" s="38">
        <v>-5512</v>
      </c>
      <c r="I75" s="38">
        <v>-6375</v>
      </c>
      <c r="J75" s="38">
        <v>-5902</v>
      </c>
      <c r="K75" s="38">
        <v>-5756</v>
      </c>
      <c r="L75" s="38">
        <v>-5683</v>
      </c>
      <c r="M75" s="38"/>
      <c r="N75" s="38">
        <v>-4871</v>
      </c>
      <c r="O75" s="38">
        <v>-4749</v>
      </c>
      <c r="P75" s="38">
        <v>-4421</v>
      </c>
      <c r="Q75" s="39">
        <v>-4711</v>
      </c>
      <c r="R75" s="38">
        <v>-4575</v>
      </c>
      <c r="S75" s="38">
        <v>-4536</v>
      </c>
      <c r="T75" s="38">
        <v>-3701</v>
      </c>
      <c r="U75" s="39">
        <v>-4050</v>
      </c>
      <c r="V75" s="38">
        <v>-4108</v>
      </c>
      <c r="W75" s="38">
        <v>-3764</v>
      </c>
      <c r="X75" s="38">
        <v>-3431</v>
      </c>
      <c r="Y75" s="39">
        <v>-3605</v>
      </c>
      <c r="Z75" s="38">
        <v>-4171</v>
      </c>
      <c r="AA75" s="38">
        <v>-4796</v>
      </c>
      <c r="AB75" s="38">
        <v>-4905</v>
      </c>
      <c r="AC75" s="39">
        <v>-5512</v>
      </c>
      <c r="AD75" s="38">
        <v>-6181</v>
      </c>
      <c r="AE75" s="38">
        <v>-6239</v>
      </c>
      <c r="AF75" s="38">
        <v>-6249</v>
      </c>
      <c r="AG75" s="39">
        <v>-6375</v>
      </c>
      <c r="AH75" s="38">
        <v>-7017</v>
      </c>
      <c r="AI75" s="38">
        <v>-7196</v>
      </c>
      <c r="AJ75" s="38">
        <v>-6210</v>
      </c>
      <c r="AK75" s="39">
        <v>-5902</v>
      </c>
      <c r="AL75" s="38">
        <v>-6213</v>
      </c>
      <c r="AM75" s="38">
        <v>-6151</v>
      </c>
      <c r="AN75" s="38">
        <v>-5314</v>
      </c>
      <c r="AO75" s="39">
        <v>-5756</v>
      </c>
      <c r="AP75" s="38">
        <v>-5564</v>
      </c>
      <c r="AQ75" s="38">
        <v>-5900</v>
      </c>
      <c r="AR75" s="38">
        <v>-5616</v>
      </c>
      <c r="AS75" s="39">
        <v>-5683</v>
      </c>
      <c r="AT75" s="38">
        <v>-6588</v>
      </c>
      <c r="AU75" s="38">
        <v>-7603</v>
      </c>
    </row>
    <row r="76" spans="1:47" ht="13">
      <c r="A76" s="37" t="s">
        <v>229</v>
      </c>
      <c r="B76" s="38">
        <v>-451</v>
      </c>
      <c r="C76" s="38">
        <v>-346</v>
      </c>
      <c r="D76" s="38">
        <v>-572</v>
      </c>
      <c r="E76" s="38">
        <v>-913.44890729360009</v>
      </c>
      <c r="F76" s="38">
        <v>-591.53879033500004</v>
      </c>
      <c r="G76" s="38">
        <v>-799</v>
      </c>
      <c r="H76" s="38">
        <v>-1337</v>
      </c>
      <c r="I76" s="38">
        <v>-1586</v>
      </c>
      <c r="J76" s="38">
        <v>-1564</v>
      </c>
      <c r="K76" s="38">
        <v>-1537</v>
      </c>
      <c r="L76" s="38">
        <v>-1546</v>
      </c>
      <c r="M76" s="38"/>
      <c r="N76" s="38">
        <v>-629</v>
      </c>
      <c r="O76" s="38">
        <v>-711</v>
      </c>
      <c r="P76" s="38">
        <v>-724</v>
      </c>
      <c r="Q76" s="39">
        <v>-913.44890729360009</v>
      </c>
      <c r="R76" s="38">
        <v>-785.31213207259998</v>
      </c>
      <c r="S76" s="38">
        <v>-715.36444091190003</v>
      </c>
      <c r="T76" s="38">
        <v>-638.63430398390005</v>
      </c>
      <c r="U76" s="39">
        <v>-591.53879033500004</v>
      </c>
      <c r="V76" s="38">
        <v>-688</v>
      </c>
      <c r="W76" s="38">
        <v>-822</v>
      </c>
      <c r="X76" s="38">
        <v>-766</v>
      </c>
      <c r="Y76" s="39">
        <v>-799</v>
      </c>
      <c r="Z76" s="38">
        <v>-783</v>
      </c>
      <c r="AA76" s="38">
        <v>-776</v>
      </c>
      <c r="AB76" s="38">
        <v>-956</v>
      </c>
      <c r="AC76" s="39">
        <v>-1337</v>
      </c>
      <c r="AD76" s="38">
        <v>-1496</v>
      </c>
      <c r="AE76" s="38">
        <v>-1700</v>
      </c>
      <c r="AF76" s="38">
        <v>-1815</v>
      </c>
      <c r="AG76" s="39">
        <v>-1586</v>
      </c>
      <c r="AH76" s="38">
        <v>-1559</v>
      </c>
      <c r="AI76" s="38">
        <v>-1623</v>
      </c>
      <c r="AJ76" s="38">
        <v>-1675</v>
      </c>
      <c r="AK76" s="39">
        <v>-1564</v>
      </c>
      <c r="AL76" s="38">
        <v>-1466</v>
      </c>
      <c r="AM76" s="38">
        <v>-1448</v>
      </c>
      <c r="AN76" s="38">
        <v>-1376</v>
      </c>
      <c r="AO76" s="39">
        <v>-1537</v>
      </c>
      <c r="AP76" s="38">
        <v>-1362</v>
      </c>
      <c r="AQ76" s="38">
        <v>-1169</v>
      </c>
      <c r="AR76" s="38">
        <v>-1391</v>
      </c>
      <c r="AS76" s="39">
        <v>-1546</v>
      </c>
      <c r="AT76" s="38">
        <v>-1603</v>
      </c>
      <c r="AU76" s="38">
        <v>-2104</v>
      </c>
    </row>
    <row r="77" spans="1:47" ht="13">
      <c r="A77" s="40" t="s">
        <v>85</v>
      </c>
      <c r="B77" s="78">
        <v>10610</v>
      </c>
      <c r="C77" s="78">
        <v>10847</v>
      </c>
      <c r="D77" s="52">
        <v>10173</v>
      </c>
      <c r="E77" s="78">
        <v>12896.551092706401</v>
      </c>
      <c r="F77" s="78">
        <v>13153.461209665</v>
      </c>
      <c r="G77" s="78">
        <v>10571</v>
      </c>
      <c r="H77" s="78">
        <v>12186</v>
      </c>
      <c r="I77" s="78">
        <v>18564</v>
      </c>
      <c r="J77" s="78">
        <v>21736</v>
      </c>
      <c r="K77" s="78">
        <v>24322</v>
      </c>
      <c r="L77" s="78">
        <v>22026</v>
      </c>
      <c r="M77" s="65"/>
      <c r="N77" s="78">
        <v>11155</v>
      </c>
      <c r="O77" s="78">
        <v>13102</v>
      </c>
      <c r="P77" s="78">
        <v>13465</v>
      </c>
      <c r="Q77" s="79">
        <v>12896.551092706401</v>
      </c>
      <c r="R77" s="78">
        <v>14347.6878679274</v>
      </c>
      <c r="S77" s="78">
        <v>14790.635559088099</v>
      </c>
      <c r="T77" s="78">
        <v>15120.365696016101</v>
      </c>
      <c r="U77" s="79">
        <v>13153.461209665</v>
      </c>
      <c r="V77" s="78">
        <v>13457</v>
      </c>
      <c r="W77" s="78">
        <v>12084</v>
      </c>
      <c r="X77" s="78">
        <v>11821</v>
      </c>
      <c r="Y77" s="79">
        <v>10571</v>
      </c>
      <c r="Z77" s="78">
        <v>11245</v>
      </c>
      <c r="AA77" s="78">
        <v>11368</v>
      </c>
      <c r="AB77" s="78">
        <v>12104</v>
      </c>
      <c r="AC77" s="79">
        <v>12186</v>
      </c>
      <c r="AD77" s="78">
        <v>13793</v>
      </c>
      <c r="AE77" s="78">
        <v>15561</v>
      </c>
      <c r="AF77" s="78">
        <v>17744</v>
      </c>
      <c r="AG77" s="79">
        <v>18564</v>
      </c>
      <c r="AH77" s="78">
        <v>20442</v>
      </c>
      <c r="AI77" s="78">
        <v>22420</v>
      </c>
      <c r="AJ77" s="78">
        <v>22978</v>
      </c>
      <c r="AK77" s="79">
        <v>21736</v>
      </c>
      <c r="AL77" s="78">
        <v>23520</v>
      </c>
      <c r="AM77" s="78">
        <v>25045</v>
      </c>
      <c r="AN77" s="78">
        <v>24395</v>
      </c>
      <c r="AO77" s="79">
        <v>24322</v>
      </c>
      <c r="AP77" s="78">
        <v>22729</v>
      </c>
      <c r="AQ77" s="78">
        <v>22739</v>
      </c>
      <c r="AR77" s="78">
        <v>22598</v>
      </c>
      <c r="AS77" s="79">
        <v>22026</v>
      </c>
      <c r="AT77" s="78">
        <v>23484</v>
      </c>
      <c r="AU77" s="78">
        <v>24901</v>
      </c>
    </row>
    <row r="78" spans="1:47" ht="13">
      <c r="A78" s="45" t="s">
        <v>162</v>
      </c>
      <c r="B78" s="31"/>
      <c r="C78" s="31"/>
      <c r="D78" s="32"/>
      <c r="E78" s="31"/>
      <c r="F78" s="31"/>
      <c r="G78" s="31"/>
      <c r="H78" s="31"/>
      <c r="I78" s="31"/>
      <c r="J78" s="31"/>
      <c r="K78" s="31"/>
      <c r="L78" s="31"/>
      <c r="M78" s="31"/>
      <c r="N78" s="31"/>
      <c r="O78" s="31"/>
      <c r="P78" s="31"/>
      <c r="Q78" s="33"/>
      <c r="R78" s="31"/>
      <c r="S78" s="31"/>
      <c r="T78" s="31"/>
      <c r="U78" s="33"/>
      <c r="V78" s="31"/>
      <c r="W78" s="31"/>
      <c r="X78" s="31"/>
      <c r="Y78" s="33"/>
      <c r="Z78" s="31"/>
      <c r="AA78" s="31"/>
      <c r="AB78" s="31"/>
      <c r="AC78" s="33"/>
      <c r="AD78" s="31"/>
      <c r="AE78" s="31"/>
      <c r="AF78" s="31"/>
      <c r="AG78" s="33"/>
      <c r="AH78" s="31"/>
      <c r="AI78" s="31"/>
      <c r="AJ78" s="31"/>
      <c r="AK78" s="33"/>
      <c r="AL78" s="31"/>
      <c r="AM78" s="31"/>
      <c r="AN78" s="31"/>
      <c r="AO78" s="33"/>
      <c r="AP78" s="31"/>
      <c r="AQ78" s="31"/>
      <c r="AR78" s="31"/>
      <c r="AS78" s="33"/>
      <c r="AT78" s="31"/>
      <c r="AU78" s="31"/>
    </row>
    <row r="79" spans="1:47" ht="13">
      <c r="A79" s="31"/>
      <c r="B79" s="31"/>
      <c r="C79" s="31"/>
      <c r="D79" s="32"/>
      <c r="E79" s="31"/>
      <c r="F79" s="31"/>
      <c r="G79" s="31"/>
      <c r="H79" s="31"/>
      <c r="I79" s="31"/>
      <c r="J79" s="31"/>
      <c r="K79" s="31"/>
      <c r="L79" s="31"/>
      <c r="M79" s="31"/>
      <c r="N79" s="31"/>
      <c r="O79" s="31"/>
      <c r="P79" s="31"/>
      <c r="Q79" s="33"/>
      <c r="R79" s="31"/>
      <c r="S79" s="31"/>
      <c r="T79" s="31"/>
      <c r="U79" s="33"/>
      <c r="V79" s="31"/>
      <c r="W79" s="31"/>
      <c r="X79" s="31"/>
      <c r="Y79" s="33"/>
      <c r="Z79" s="31"/>
      <c r="AA79" s="31"/>
      <c r="AB79" s="31"/>
      <c r="AC79" s="33"/>
      <c r="AD79" s="31"/>
      <c r="AE79" s="31"/>
      <c r="AF79" s="31"/>
      <c r="AG79" s="33"/>
      <c r="AH79" s="31"/>
      <c r="AI79" s="31"/>
      <c r="AJ79" s="31"/>
      <c r="AK79" s="33"/>
      <c r="AL79" s="31"/>
      <c r="AM79" s="31"/>
      <c r="AN79" s="31"/>
      <c r="AO79" s="33"/>
      <c r="AP79" s="31"/>
      <c r="AQ79" s="31"/>
      <c r="AR79" s="31"/>
      <c r="AS79" s="33"/>
      <c r="AT79" s="31"/>
      <c r="AU79" s="31"/>
    </row>
    <row r="80" spans="1:47" ht="14">
      <c r="A80" s="46" t="s">
        <v>230</v>
      </c>
      <c r="B80" s="47" t="s">
        <v>208</v>
      </c>
      <c r="C80" s="47" t="s">
        <v>209</v>
      </c>
      <c r="D80" s="47" t="s">
        <v>210</v>
      </c>
      <c r="E80" s="47" t="s">
        <v>211</v>
      </c>
      <c r="F80" s="47" t="s">
        <v>212</v>
      </c>
      <c r="G80" s="47" t="s">
        <v>213</v>
      </c>
      <c r="H80" s="47" t="s">
        <v>214</v>
      </c>
      <c r="I80" s="47" t="s">
        <v>215</v>
      </c>
      <c r="J80" s="47" t="s">
        <v>216</v>
      </c>
      <c r="K80" s="47" t="s">
        <v>217</v>
      </c>
      <c r="L80" s="47" t="s">
        <v>1266</v>
      </c>
      <c r="M80" s="48"/>
      <c r="N80" s="49" t="s">
        <v>128</v>
      </c>
      <c r="O80" s="49" t="s">
        <v>129</v>
      </c>
      <c r="P80" s="49" t="s">
        <v>130</v>
      </c>
      <c r="Q80" s="50" t="s">
        <v>131</v>
      </c>
      <c r="R80" s="49" t="s">
        <v>132</v>
      </c>
      <c r="S80" s="49" t="s">
        <v>133</v>
      </c>
      <c r="T80" s="49" t="s">
        <v>134</v>
      </c>
      <c r="U80" s="50" t="s">
        <v>135</v>
      </c>
      <c r="V80" s="49" t="s">
        <v>136</v>
      </c>
      <c r="W80" s="49" t="s">
        <v>137</v>
      </c>
      <c r="X80" s="49" t="s">
        <v>138</v>
      </c>
      <c r="Y80" s="50" t="s">
        <v>139</v>
      </c>
      <c r="Z80" s="49" t="s">
        <v>140</v>
      </c>
      <c r="AA80" s="49" t="s">
        <v>141</v>
      </c>
      <c r="AB80" s="49" t="s">
        <v>142</v>
      </c>
      <c r="AC80" s="50" t="s">
        <v>143</v>
      </c>
      <c r="AD80" s="49" t="s">
        <v>144</v>
      </c>
      <c r="AE80" s="49" t="s">
        <v>145</v>
      </c>
      <c r="AF80" s="49" t="s">
        <v>146</v>
      </c>
      <c r="AG80" s="50" t="s">
        <v>147</v>
      </c>
      <c r="AH80" s="49" t="s">
        <v>148</v>
      </c>
      <c r="AI80" s="49" t="s">
        <v>149</v>
      </c>
      <c r="AJ80" s="49" t="s">
        <v>150</v>
      </c>
      <c r="AK80" s="50" t="s">
        <v>151</v>
      </c>
      <c r="AL80" s="49" t="s">
        <v>152</v>
      </c>
      <c r="AM80" s="49" t="s">
        <v>153</v>
      </c>
      <c r="AN80" s="49" t="s">
        <v>154</v>
      </c>
      <c r="AO80" s="50" t="s">
        <v>155</v>
      </c>
      <c r="AP80" s="49" t="s">
        <v>156</v>
      </c>
      <c r="AQ80" s="49" t="s">
        <v>157</v>
      </c>
      <c r="AR80" s="49" t="s">
        <v>158</v>
      </c>
      <c r="AS80" s="50" t="s">
        <v>820</v>
      </c>
      <c r="AT80" s="49" t="s">
        <v>1275</v>
      </c>
      <c r="AU80" s="49" t="s">
        <v>1344</v>
      </c>
    </row>
    <row r="81" spans="1:47" ht="13">
      <c r="A81" s="37" t="s">
        <v>218</v>
      </c>
      <c r="B81" s="38">
        <v>28663</v>
      </c>
      <c r="C81" s="38">
        <v>27102</v>
      </c>
      <c r="D81" s="38">
        <v>31364</v>
      </c>
      <c r="E81" s="38">
        <v>38285</v>
      </c>
      <c r="F81" s="38">
        <v>40848.650994699703</v>
      </c>
      <c r="G81" s="38">
        <v>36122</v>
      </c>
      <c r="H81" s="38">
        <v>39645</v>
      </c>
      <c r="I81" s="38">
        <v>49694</v>
      </c>
      <c r="J81" s="38">
        <v>60343</v>
      </c>
      <c r="K81" s="38">
        <v>63604</v>
      </c>
      <c r="L81" s="38">
        <v>61998</v>
      </c>
      <c r="M81" s="38"/>
      <c r="N81" s="38">
        <v>32186</v>
      </c>
      <c r="O81" s="38">
        <v>34151</v>
      </c>
      <c r="P81" s="38">
        <v>36191</v>
      </c>
      <c r="Q81" s="39">
        <v>38285</v>
      </c>
      <c r="R81" s="38">
        <v>39836.654848746701</v>
      </c>
      <c r="S81" s="38">
        <v>40620.661547384101</v>
      </c>
      <c r="T81" s="38">
        <v>41127.199441532801</v>
      </c>
      <c r="U81" s="39">
        <v>40848.650994699703</v>
      </c>
      <c r="V81" s="38">
        <v>40198</v>
      </c>
      <c r="W81" s="38">
        <v>38030</v>
      </c>
      <c r="X81" s="38">
        <v>36596</v>
      </c>
      <c r="Y81" s="39">
        <v>36122</v>
      </c>
      <c r="Z81" s="38">
        <v>35762</v>
      </c>
      <c r="AA81" s="38">
        <v>37036</v>
      </c>
      <c r="AB81" s="38">
        <v>38278</v>
      </c>
      <c r="AC81" s="39">
        <v>39645</v>
      </c>
      <c r="AD81" s="38">
        <v>41960</v>
      </c>
      <c r="AE81" s="38">
        <v>44095</v>
      </c>
      <c r="AF81" s="38">
        <v>46930</v>
      </c>
      <c r="AG81" s="39">
        <v>49694</v>
      </c>
      <c r="AH81" s="38">
        <v>52473</v>
      </c>
      <c r="AI81" s="38">
        <v>56515</v>
      </c>
      <c r="AJ81" s="38">
        <v>58711</v>
      </c>
      <c r="AK81" s="39">
        <v>60343</v>
      </c>
      <c r="AL81" s="38">
        <v>60618</v>
      </c>
      <c r="AM81" s="38">
        <v>61219</v>
      </c>
      <c r="AN81" s="38">
        <v>61922</v>
      </c>
      <c r="AO81" s="39">
        <v>63604</v>
      </c>
      <c r="AP81" s="38">
        <v>64996</v>
      </c>
      <c r="AQ81" s="38">
        <v>63616</v>
      </c>
      <c r="AR81" s="38">
        <v>63159</v>
      </c>
      <c r="AS81" s="39">
        <v>61998</v>
      </c>
      <c r="AT81" s="38">
        <v>60813</v>
      </c>
      <c r="AU81" s="38">
        <v>62385</v>
      </c>
    </row>
    <row r="82" spans="1:47" ht="13">
      <c r="A82" s="37" t="s">
        <v>231</v>
      </c>
      <c r="B82" s="38">
        <v>27626</v>
      </c>
      <c r="C82" s="38">
        <v>29201</v>
      </c>
      <c r="D82" s="38">
        <v>29161</v>
      </c>
      <c r="E82" s="38">
        <v>32735</v>
      </c>
      <c r="F82" s="38">
        <v>39705</v>
      </c>
      <c r="G82" s="38">
        <v>43515</v>
      </c>
      <c r="H82" s="38">
        <v>46220</v>
      </c>
      <c r="I82" s="38">
        <v>56000</v>
      </c>
      <c r="J82" s="38">
        <v>67160</v>
      </c>
      <c r="K82" s="38">
        <v>78377</v>
      </c>
      <c r="L82" s="38">
        <v>81108</v>
      </c>
      <c r="M82" s="38"/>
      <c r="N82" s="38">
        <v>29257</v>
      </c>
      <c r="O82" s="38">
        <v>30325</v>
      </c>
      <c r="P82" s="38">
        <v>31029</v>
      </c>
      <c r="Q82" s="39">
        <v>32735</v>
      </c>
      <c r="R82" s="38">
        <v>35158</v>
      </c>
      <c r="S82" s="38">
        <v>37095</v>
      </c>
      <c r="T82" s="38">
        <v>38395</v>
      </c>
      <c r="U82" s="39">
        <v>39705</v>
      </c>
      <c r="V82" s="38">
        <v>41263</v>
      </c>
      <c r="W82" s="38">
        <v>42145</v>
      </c>
      <c r="X82" s="38">
        <v>43042</v>
      </c>
      <c r="Y82" s="39">
        <v>43515</v>
      </c>
      <c r="Z82" s="38">
        <v>44678</v>
      </c>
      <c r="AA82" s="38">
        <v>44843</v>
      </c>
      <c r="AB82" s="38">
        <v>45430</v>
      </c>
      <c r="AC82" s="39">
        <v>46220</v>
      </c>
      <c r="AD82" s="38">
        <v>47924</v>
      </c>
      <c r="AE82" s="38">
        <v>49663</v>
      </c>
      <c r="AF82" s="38">
        <v>53096</v>
      </c>
      <c r="AG82" s="39">
        <v>56000</v>
      </c>
      <c r="AH82" s="38">
        <v>59344</v>
      </c>
      <c r="AI82" s="38">
        <v>62921</v>
      </c>
      <c r="AJ82" s="38">
        <v>65940</v>
      </c>
      <c r="AK82" s="39">
        <v>67160</v>
      </c>
      <c r="AL82" s="38">
        <v>70391</v>
      </c>
      <c r="AM82" s="38">
        <v>73534</v>
      </c>
      <c r="AN82" s="38">
        <v>75788</v>
      </c>
      <c r="AO82" s="39">
        <v>78377</v>
      </c>
      <c r="AP82" s="38">
        <v>80990</v>
      </c>
      <c r="AQ82" s="38">
        <v>81274</v>
      </c>
      <c r="AR82" s="38">
        <v>81346</v>
      </c>
      <c r="AS82" s="39">
        <v>81108</v>
      </c>
      <c r="AT82" s="38">
        <v>81091</v>
      </c>
      <c r="AU82" s="38">
        <v>82100</v>
      </c>
    </row>
    <row r="83" spans="1:47" ht="13">
      <c r="A83" s="40" t="s">
        <v>55</v>
      </c>
      <c r="B83" s="55">
        <v>1</v>
      </c>
      <c r="C83" s="55">
        <v>0.9</v>
      </c>
      <c r="D83" s="55">
        <v>1.1000000000000001</v>
      </c>
      <c r="E83" s="55">
        <v>1.1695433022758515</v>
      </c>
      <c r="F83" s="55">
        <v>1.0288037021710037</v>
      </c>
      <c r="G83" s="55">
        <v>0.83010456164540958</v>
      </c>
      <c r="H83" s="55">
        <v>0.9</v>
      </c>
      <c r="I83" s="55">
        <v>0.9</v>
      </c>
      <c r="J83" s="55">
        <v>0.89848275040574144</v>
      </c>
      <c r="K83" s="55">
        <v>0.81150082294550696</v>
      </c>
      <c r="L83" s="55">
        <v>0.76438822310992749</v>
      </c>
      <c r="M83" s="56"/>
      <c r="N83" s="55">
        <v>1.1001127935194996</v>
      </c>
      <c r="O83" s="55">
        <v>1.1261665292662819</v>
      </c>
      <c r="P83" s="55">
        <v>1.1663605014663703</v>
      </c>
      <c r="Q83" s="57">
        <v>1.1695433022758515</v>
      </c>
      <c r="R83" s="55">
        <v>1.1330751137364667</v>
      </c>
      <c r="S83" s="55">
        <v>1.0950441177351153</v>
      </c>
      <c r="T83" s="55">
        <v>1.0711602927863733</v>
      </c>
      <c r="U83" s="57">
        <v>1.0288296140111752</v>
      </c>
      <c r="V83" s="55">
        <v>0.97</v>
      </c>
      <c r="W83" s="55">
        <v>0.90236089690354726</v>
      </c>
      <c r="X83" s="55">
        <v>0.85023930114771618</v>
      </c>
      <c r="Y83" s="57">
        <v>0.8</v>
      </c>
      <c r="Z83" s="55">
        <v>0.80043869465956397</v>
      </c>
      <c r="AA83" s="55">
        <v>0.8</v>
      </c>
      <c r="AB83" s="55">
        <v>0.84257098833370014</v>
      </c>
      <c r="AC83" s="57">
        <v>0.9</v>
      </c>
      <c r="AD83" s="55">
        <v>0.87555295885151485</v>
      </c>
      <c r="AE83" s="55">
        <v>0.88788434045466447</v>
      </c>
      <c r="AF83" s="55">
        <v>0.88387072472502637</v>
      </c>
      <c r="AG83" s="57">
        <v>0.88739285714285709</v>
      </c>
      <c r="AH83" s="55">
        <v>0.88421744405500136</v>
      </c>
      <c r="AI83" s="55">
        <v>0.89819000000000004</v>
      </c>
      <c r="AJ83" s="55">
        <v>0.89037003336366394</v>
      </c>
      <c r="AK83" s="57">
        <v>0.89848275040574144</v>
      </c>
      <c r="AL83" s="55">
        <v>0.8611612279978974</v>
      </c>
      <c r="AM83" s="55">
        <v>0.83252645034949824</v>
      </c>
      <c r="AN83" s="55">
        <v>0.81704227582202982</v>
      </c>
      <c r="AO83" s="57">
        <v>0.81150082294550696</v>
      </c>
      <c r="AP83" s="55">
        <v>0.8</v>
      </c>
      <c r="AQ83" s="55">
        <v>0.8</v>
      </c>
      <c r="AR83" s="55">
        <v>0.8</v>
      </c>
      <c r="AS83" s="57">
        <v>0.76438822310992749</v>
      </c>
      <c r="AT83" s="55">
        <v>0.7499352579201144</v>
      </c>
      <c r="AU83" s="55">
        <v>0.75986601705237511</v>
      </c>
    </row>
    <row r="84" spans="1:47" ht="13">
      <c r="A84" s="45" t="s">
        <v>162</v>
      </c>
      <c r="B84" s="74"/>
      <c r="C84" s="74"/>
      <c r="D84" s="48"/>
      <c r="E84" s="74"/>
      <c r="F84" s="74"/>
      <c r="G84" s="74"/>
      <c r="H84" s="74"/>
      <c r="I84" s="74"/>
      <c r="J84" s="74"/>
      <c r="K84" s="74"/>
      <c r="L84" s="74"/>
      <c r="M84" s="76"/>
      <c r="N84" s="74"/>
      <c r="O84" s="74"/>
      <c r="P84" s="74"/>
      <c r="Q84" s="63"/>
      <c r="R84" s="74"/>
      <c r="S84" s="74"/>
      <c r="T84" s="74"/>
      <c r="U84" s="77"/>
      <c r="V84" s="74"/>
      <c r="W84" s="74"/>
      <c r="X84" s="74"/>
      <c r="Y84" s="77"/>
      <c r="Z84" s="74"/>
      <c r="AA84" s="74"/>
      <c r="AB84" s="74"/>
      <c r="AC84" s="77"/>
      <c r="AD84" s="74"/>
      <c r="AE84" s="74"/>
      <c r="AF84" s="74"/>
      <c r="AG84" s="77"/>
      <c r="AH84" s="74"/>
      <c r="AI84" s="74"/>
      <c r="AJ84" s="74"/>
      <c r="AK84" s="77"/>
      <c r="AL84" s="74"/>
      <c r="AM84" s="74"/>
      <c r="AN84" s="74"/>
      <c r="AO84" s="77"/>
      <c r="AP84" s="74"/>
      <c r="AQ84" s="74"/>
      <c r="AR84" s="74"/>
      <c r="AS84" s="77"/>
      <c r="AT84" s="74"/>
      <c r="AU84" s="74"/>
    </row>
    <row r="85" spans="1:47" ht="13">
      <c r="A85" s="45" t="s">
        <v>232</v>
      </c>
      <c r="B85" s="74"/>
      <c r="C85" s="74"/>
      <c r="D85" s="48"/>
      <c r="E85" s="74"/>
      <c r="F85" s="74"/>
      <c r="G85" s="74"/>
      <c r="H85" s="74"/>
      <c r="I85" s="74"/>
      <c r="J85" s="74"/>
      <c r="K85" s="74"/>
      <c r="L85" s="74"/>
      <c r="M85" s="76"/>
      <c r="N85" s="74"/>
      <c r="O85" s="74"/>
      <c r="P85" s="74"/>
      <c r="Q85" s="63"/>
      <c r="R85" s="74"/>
      <c r="S85" s="74"/>
      <c r="T85" s="74"/>
      <c r="U85" s="77"/>
      <c r="V85" s="74"/>
      <c r="W85" s="74"/>
      <c r="X85" s="74"/>
      <c r="Y85" s="77"/>
      <c r="Z85" s="74"/>
      <c r="AA85" s="74"/>
      <c r="AB85" s="74"/>
      <c r="AC85" s="77"/>
      <c r="AD85" s="74"/>
      <c r="AE85" s="74"/>
      <c r="AF85" s="74"/>
      <c r="AG85" s="77"/>
      <c r="AH85" s="74"/>
      <c r="AI85" s="74"/>
      <c r="AJ85" s="74"/>
      <c r="AK85" s="77"/>
      <c r="AL85" s="74"/>
      <c r="AM85" s="74"/>
      <c r="AN85" s="74"/>
      <c r="AO85" s="77"/>
      <c r="AP85" s="74"/>
      <c r="AQ85" s="74"/>
      <c r="AR85" s="74"/>
      <c r="AS85" s="77"/>
      <c r="AT85" s="74"/>
      <c r="AU85" s="74"/>
    </row>
    <row r="86" spans="1:47" ht="13">
      <c r="A86" s="45" t="s">
        <v>233</v>
      </c>
      <c r="B86" s="31"/>
      <c r="C86" s="31"/>
      <c r="D86" s="32"/>
      <c r="E86" s="31"/>
      <c r="F86" s="31"/>
      <c r="G86" s="31"/>
      <c r="H86" s="31"/>
      <c r="I86" s="31"/>
      <c r="J86" s="31"/>
      <c r="K86" s="31"/>
      <c r="L86" s="31"/>
      <c r="M86" s="31"/>
      <c r="N86" s="31"/>
      <c r="O86" s="31"/>
      <c r="P86" s="31"/>
      <c r="Q86" s="33"/>
      <c r="R86" s="31"/>
      <c r="S86" s="31"/>
      <c r="T86" s="31"/>
      <c r="U86" s="33"/>
      <c r="V86" s="31"/>
      <c r="W86" s="31"/>
      <c r="X86" s="31"/>
      <c r="Y86" s="33"/>
      <c r="Z86" s="31"/>
      <c r="AA86" s="31"/>
      <c r="AB86" s="31"/>
      <c r="AC86" s="33"/>
      <c r="AD86" s="31"/>
      <c r="AE86" s="31"/>
      <c r="AF86" s="31"/>
      <c r="AG86" s="33"/>
      <c r="AH86" s="31"/>
      <c r="AI86" s="31"/>
      <c r="AJ86" s="31"/>
      <c r="AK86" s="33"/>
      <c r="AL86" s="31"/>
      <c r="AM86" s="31"/>
      <c r="AN86" s="31"/>
      <c r="AO86" s="33"/>
      <c r="AP86" s="31"/>
      <c r="AQ86" s="31"/>
      <c r="AR86" s="31"/>
      <c r="AS86" s="33"/>
      <c r="AT86" s="31"/>
      <c r="AU86" s="31"/>
    </row>
    <row r="87" spans="1:47" ht="13">
      <c r="A87" s="31"/>
      <c r="B87" s="31"/>
      <c r="C87" s="31"/>
      <c r="D87" s="32"/>
      <c r="E87" s="31"/>
      <c r="F87" s="31"/>
      <c r="G87" s="31"/>
      <c r="H87" s="31"/>
      <c r="I87" s="31"/>
      <c r="J87" s="31"/>
      <c r="K87" s="31"/>
      <c r="L87" s="31"/>
      <c r="M87" s="31"/>
      <c r="N87" s="31"/>
      <c r="O87" s="31"/>
      <c r="P87" s="31"/>
      <c r="Q87" s="33"/>
      <c r="R87" s="31"/>
      <c r="S87" s="31"/>
      <c r="T87" s="31"/>
      <c r="U87" s="33"/>
      <c r="V87" s="31"/>
      <c r="W87" s="31"/>
      <c r="X87" s="31"/>
      <c r="Y87" s="33"/>
      <c r="Z87" s="31"/>
      <c r="AA87" s="31"/>
      <c r="AB87" s="31"/>
      <c r="AC87" s="33"/>
      <c r="AD87" s="31"/>
      <c r="AE87" s="31"/>
      <c r="AF87" s="31"/>
      <c r="AG87" s="33"/>
      <c r="AH87" s="31"/>
      <c r="AI87" s="31"/>
      <c r="AJ87" s="31"/>
      <c r="AK87" s="33"/>
      <c r="AL87" s="31"/>
      <c r="AM87" s="31"/>
      <c r="AN87" s="31"/>
      <c r="AO87" s="33"/>
      <c r="AP87" s="31"/>
      <c r="AQ87" s="31"/>
      <c r="AR87" s="31"/>
      <c r="AS87" s="33"/>
      <c r="AT87" s="31"/>
      <c r="AU87" s="31"/>
    </row>
    <row r="88" spans="1:47" ht="14">
      <c r="A88" s="46" t="s">
        <v>234</v>
      </c>
      <c r="B88" s="47">
        <v>2015</v>
      </c>
      <c r="C88" s="47">
        <v>2016</v>
      </c>
      <c r="D88" s="47" t="s">
        <v>127</v>
      </c>
      <c r="E88" s="47">
        <v>2018</v>
      </c>
      <c r="F88" s="47">
        <v>2019</v>
      </c>
      <c r="G88" s="47">
        <v>2020</v>
      </c>
      <c r="H88" s="47">
        <v>2021</v>
      </c>
      <c r="I88" s="47">
        <v>2022</v>
      </c>
      <c r="J88" s="47">
        <v>2023</v>
      </c>
      <c r="K88" s="47">
        <v>2024</v>
      </c>
      <c r="L88" s="47">
        <v>2025</v>
      </c>
      <c r="M88" s="48"/>
      <c r="N88" s="49" t="s">
        <v>128</v>
      </c>
      <c r="O88" s="49" t="s">
        <v>129</v>
      </c>
      <c r="P88" s="49" t="s">
        <v>130</v>
      </c>
      <c r="Q88" s="50" t="s">
        <v>131</v>
      </c>
      <c r="R88" s="49" t="s">
        <v>132</v>
      </c>
      <c r="S88" s="49" t="s">
        <v>133</v>
      </c>
      <c r="T88" s="49" t="s">
        <v>134</v>
      </c>
      <c r="U88" s="50" t="s">
        <v>135</v>
      </c>
      <c r="V88" s="49" t="s">
        <v>136</v>
      </c>
      <c r="W88" s="49" t="s">
        <v>137</v>
      </c>
      <c r="X88" s="49" t="s">
        <v>138</v>
      </c>
      <c r="Y88" s="50" t="s">
        <v>139</v>
      </c>
      <c r="Z88" s="49" t="s">
        <v>140</v>
      </c>
      <c r="AA88" s="49" t="s">
        <v>141</v>
      </c>
      <c r="AB88" s="49" t="s">
        <v>142</v>
      </c>
      <c r="AC88" s="50" t="s">
        <v>143</v>
      </c>
      <c r="AD88" s="49" t="s">
        <v>144</v>
      </c>
      <c r="AE88" s="49" t="s">
        <v>145</v>
      </c>
      <c r="AF88" s="49" t="s">
        <v>146</v>
      </c>
      <c r="AG88" s="50" t="s">
        <v>147</v>
      </c>
      <c r="AH88" s="49" t="s">
        <v>148</v>
      </c>
      <c r="AI88" s="49" t="s">
        <v>149</v>
      </c>
      <c r="AJ88" s="49" t="s">
        <v>150</v>
      </c>
      <c r="AK88" s="50" t="s">
        <v>151</v>
      </c>
      <c r="AL88" s="49" t="s">
        <v>152</v>
      </c>
      <c r="AM88" s="49" t="s">
        <v>153</v>
      </c>
      <c r="AN88" s="49" t="s">
        <v>154</v>
      </c>
      <c r="AO88" s="50" t="s">
        <v>155</v>
      </c>
      <c r="AP88" s="49" t="s">
        <v>156</v>
      </c>
      <c r="AQ88" s="49" t="s">
        <v>157</v>
      </c>
      <c r="AR88" s="49" t="s">
        <v>158</v>
      </c>
      <c r="AS88" s="50" t="s">
        <v>820</v>
      </c>
      <c r="AT88" s="49" t="s">
        <v>1275</v>
      </c>
      <c r="AU88" s="49" t="s">
        <v>1344</v>
      </c>
    </row>
    <row r="89" spans="1:47" ht="13">
      <c r="A89" s="37" t="s">
        <v>235</v>
      </c>
      <c r="B89" s="38">
        <v>7471</v>
      </c>
      <c r="C89" s="38">
        <v>8120</v>
      </c>
      <c r="D89" s="38">
        <v>7239</v>
      </c>
      <c r="E89" s="38">
        <v>7080</v>
      </c>
      <c r="F89" s="38">
        <v>9025</v>
      </c>
      <c r="G89" s="38">
        <v>10960</v>
      </c>
      <c r="H89" s="38">
        <v>9545</v>
      </c>
      <c r="I89" s="38">
        <v>11025</v>
      </c>
      <c r="J89" s="38">
        <v>14225</v>
      </c>
      <c r="K89" s="38">
        <v>22219</v>
      </c>
      <c r="L89" s="38">
        <v>21200</v>
      </c>
      <c r="M89" s="38"/>
      <c r="N89" s="38">
        <v>4805</v>
      </c>
      <c r="O89" s="38">
        <v>7286</v>
      </c>
      <c r="P89" s="38">
        <v>7095</v>
      </c>
      <c r="Q89" s="39">
        <v>7080</v>
      </c>
      <c r="R89" s="38">
        <v>9035</v>
      </c>
      <c r="S89" s="38">
        <v>9111</v>
      </c>
      <c r="T89" s="38">
        <v>9267</v>
      </c>
      <c r="U89" s="39">
        <v>9025</v>
      </c>
      <c r="V89" s="38">
        <v>9089</v>
      </c>
      <c r="W89" s="38">
        <v>11198</v>
      </c>
      <c r="X89" s="38">
        <v>10688</v>
      </c>
      <c r="Y89" s="39">
        <v>10960</v>
      </c>
      <c r="Z89" s="38">
        <v>10610</v>
      </c>
      <c r="AA89" s="38">
        <v>10669</v>
      </c>
      <c r="AB89" s="38">
        <v>10581</v>
      </c>
      <c r="AC89" s="39">
        <v>9545</v>
      </c>
      <c r="AD89" s="38">
        <v>9434</v>
      </c>
      <c r="AE89" s="38">
        <v>9631</v>
      </c>
      <c r="AF89" s="38">
        <v>10792</v>
      </c>
      <c r="AG89" s="39">
        <v>11025</v>
      </c>
      <c r="AH89" s="38">
        <v>11936</v>
      </c>
      <c r="AI89" s="38">
        <v>14320</v>
      </c>
      <c r="AJ89" s="38">
        <v>14038</v>
      </c>
      <c r="AK89" s="39">
        <v>14225</v>
      </c>
      <c r="AL89" s="38">
        <v>20132</v>
      </c>
      <c r="AM89" s="38">
        <v>22648</v>
      </c>
      <c r="AN89" s="38">
        <v>22655</v>
      </c>
      <c r="AO89" s="39">
        <v>22219</v>
      </c>
      <c r="AP89" s="38">
        <v>21539</v>
      </c>
      <c r="AQ89" s="38">
        <v>21517</v>
      </c>
      <c r="AR89" s="38">
        <v>21730</v>
      </c>
      <c r="AS89" s="39">
        <v>21200</v>
      </c>
      <c r="AT89" s="38">
        <v>20033</v>
      </c>
      <c r="AU89" s="38">
        <v>18964</v>
      </c>
    </row>
    <row r="90" spans="1:47" ht="13">
      <c r="A90" s="37" t="s">
        <v>236</v>
      </c>
      <c r="B90" s="38">
        <v>-461</v>
      </c>
      <c r="C90" s="38">
        <v>-481</v>
      </c>
      <c r="D90" s="38">
        <v>-1808</v>
      </c>
      <c r="E90" s="38">
        <v>-5872</v>
      </c>
      <c r="F90" s="38">
        <v>-8540</v>
      </c>
      <c r="G90" s="38">
        <v>-15053</v>
      </c>
      <c r="H90" s="38">
        <v>-10792</v>
      </c>
      <c r="I90" s="38">
        <v>-7326</v>
      </c>
      <c r="J90" s="38">
        <v>-6401</v>
      </c>
      <c r="K90" s="38">
        <v>-7179</v>
      </c>
      <c r="L90" s="38">
        <v>-9574</v>
      </c>
      <c r="M90" s="38"/>
      <c r="N90" s="38">
        <v>-2255</v>
      </c>
      <c r="O90" s="38">
        <v>-4259</v>
      </c>
      <c r="P90" s="38">
        <v>-3949</v>
      </c>
      <c r="Q90" s="39">
        <v>-5872</v>
      </c>
      <c r="R90" s="38">
        <v>-5371</v>
      </c>
      <c r="S90" s="38">
        <v>-4883</v>
      </c>
      <c r="T90" s="38">
        <v>-6814</v>
      </c>
      <c r="U90" s="39">
        <v>-8540</v>
      </c>
      <c r="V90" s="38">
        <v>-10225</v>
      </c>
      <c r="W90" s="38">
        <v>-13005</v>
      </c>
      <c r="X90" s="38">
        <v>-14250</v>
      </c>
      <c r="Y90" s="39">
        <v>-15053</v>
      </c>
      <c r="Z90" s="38">
        <v>-16191</v>
      </c>
      <c r="AA90" s="38">
        <v>-10931</v>
      </c>
      <c r="AB90" s="38">
        <v>-11745</v>
      </c>
      <c r="AC90" s="39">
        <v>-10792</v>
      </c>
      <c r="AD90" s="38">
        <v>-11207</v>
      </c>
      <c r="AE90" s="38">
        <v>-10380</v>
      </c>
      <c r="AF90" s="38">
        <v>-11879</v>
      </c>
      <c r="AG90" s="39">
        <v>-7326</v>
      </c>
      <c r="AH90" s="38">
        <v>-4587</v>
      </c>
      <c r="AI90" s="38">
        <v>-4949</v>
      </c>
      <c r="AJ90" s="38">
        <v>-6330</v>
      </c>
      <c r="AK90" s="39">
        <v>-6401</v>
      </c>
      <c r="AL90" s="38">
        <v>-13879</v>
      </c>
      <c r="AM90" s="38">
        <v>-6598</v>
      </c>
      <c r="AN90" s="38">
        <v>-7129</v>
      </c>
      <c r="AO90" s="39">
        <v>-7179</v>
      </c>
      <c r="AP90" s="38">
        <v>-9107</v>
      </c>
      <c r="AQ90" s="38">
        <v>-7659</v>
      </c>
      <c r="AR90" s="38">
        <v>-10050</v>
      </c>
      <c r="AS90" s="39">
        <v>-9574</v>
      </c>
      <c r="AT90" s="38">
        <v>-9214</v>
      </c>
      <c r="AU90" s="38">
        <v>-6928</v>
      </c>
    </row>
    <row r="91" spans="1:47" ht="13">
      <c r="A91" s="37" t="s">
        <v>237</v>
      </c>
      <c r="B91" s="58">
        <v>-4591</v>
      </c>
      <c r="C91" s="38">
        <v>-5653</v>
      </c>
      <c r="D91" s="38">
        <v>-7</v>
      </c>
      <c r="E91" s="38" t="s">
        <v>192</v>
      </c>
      <c r="F91" s="38">
        <v>0</v>
      </c>
      <c r="G91" s="38">
        <v>-44</v>
      </c>
      <c r="H91" s="38">
        <v>-58</v>
      </c>
      <c r="I91" s="38">
        <v>-8</v>
      </c>
      <c r="J91" s="38" t="s">
        <v>192</v>
      </c>
      <c r="K91" s="38">
        <v>-68</v>
      </c>
      <c r="L91" s="38">
        <v>-35</v>
      </c>
      <c r="M91" s="38"/>
      <c r="N91" s="38" t="s">
        <v>192</v>
      </c>
      <c r="O91" s="38" t="s">
        <v>192</v>
      </c>
      <c r="P91" s="38" t="s">
        <v>192</v>
      </c>
      <c r="Q91" s="39" t="s">
        <v>192</v>
      </c>
      <c r="R91" s="38">
        <v>-20</v>
      </c>
      <c r="S91" s="38">
        <v>-4.1180000000000003</v>
      </c>
      <c r="T91" s="38">
        <v>-28</v>
      </c>
      <c r="U91" s="39">
        <v>0</v>
      </c>
      <c r="V91" s="38">
        <v>-55</v>
      </c>
      <c r="W91" s="38">
        <v>-12</v>
      </c>
      <c r="X91" s="38">
        <v>-76</v>
      </c>
      <c r="Y91" s="39">
        <v>-44</v>
      </c>
      <c r="Z91" s="38">
        <v>-166</v>
      </c>
      <c r="AA91" s="38">
        <v>-61</v>
      </c>
      <c r="AB91" s="38">
        <v>-27</v>
      </c>
      <c r="AC91" s="39">
        <v>-58</v>
      </c>
      <c r="AD91" s="38">
        <v>-71</v>
      </c>
      <c r="AE91" s="38">
        <v>-126</v>
      </c>
      <c r="AF91" s="38">
        <v>-458</v>
      </c>
      <c r="AG91" s="39">
        <v>-8</v>
      </c>
      <c r="AH91" s="38">
        <v>-67</v>
      </c>
      <c r="AI91" s="38">
        <v>-272</v>
      </c>
      <c r="AJ91" s="38">
        <v>-65</v>
      </c>
      <c r="AK91" s="39" t="s">
        <v>192</v>
      </c>
      <c r="AL91" s="38">
        <v>-141</v>
      </c>
      <c r="AM91" s="38">
        <v>-161</v>
      </c>
      <c r="AN91" s="38" t="s">
        <v>192</v>
      </c>
      <c r="AO91" s="39">
        <v>-68</v>
      </c>
      <c r="AP91" s="38">
        <v>-85</v>
      </c>
      <c r="AQ91" s="38">
        <v>-2</v>
      </c>
      <c r="AR91" s="38">
        <v>-4</v>
      </c>
      <c r="AS91" s="39">
        <v>-35</v>
      </c>
      <c r="AT91" s="38">
        <v>-89</v>
      </c>
      <c r="AU91" s="38">
        <v>-306</v>
      </c>
    </row>
    <row r="92" spans="1:47" ht="13">
      <c r="A92" s="37" t="s">
        <v>238</v>
      </c>
      <c r="B92" s="58"/>
      <c r="C92" s="38"/>
      <c r="D92" s="38"/>
      <c r="E92" s="38"/>
      <c r="F92" s="38">
        <v>-1.8277108099999999</v>
      </c>
      <c r="G92" s="38" t="s">
        <v>192</v>
      </c>
      <c r="H92" s="38" t="s">
        <v>192</v>
      </c>
      <c r="I92" s="38" t="s">
        <v>192</v>
      </c>
      <c r="J92" s="38" t="s">
        <v>192</v>
      </c>
      <c r="K92" s="38">
        <v>-194</v>
      </c>
      <c r="L92" s="38">
        <v>-587</v>
      </c>
      <c r="M92" s="38"/>
      <c r="N92" s="38"/>
      <c r="O92" s="38"/>
      <c r="P92" s="38"/>
      <c r="Q92" s="39"/>
      <c r="R92" s="38">
        <v>-3</v>
      </c>
      <c r="S92" s="38">
        <v>-6.8019999999999996</v>
      </c>
      <c r="T92" s="38">
        <v>-9</v>
      </c>
      <c r="U92" s="39">
        <v>-1.8277108099999999</v>
      </c>
      <c r="V92" s="38">
        <v>0</v>
      </c>
      <c r="W92" s="38">
        <v>0</v>
      </c>
      <c r="X92" s="38" t="s">
        <v>192</v>
      </c>
      <c r="Y92" s="39" t="s">
        <v>192</v>
      </c>
      <c r="Z92" s="38">
        <v>0</v>
      </c>
      <c r="AA92" s="38" t="s">
        <v>192</v>
      </c>
      <c r="AB92" s="38" t="s">
        <v>192</v>
      </c>
      <c r="AC92" s="39" t="s">
        <v>192</v>
      </c>
      <c r="AD92" s="38" t="s">
        <v>192</v>
      </c>
      <c r="AE92" s="38" t="s">
        <v>192</v>
      </c>
      <c r="AF92" s="38" t="s">
        <v>192</v>
      </c>
      <c r="AG92" s="39" t="s">
        <v>192</v>
      </c>
      <c r="AH92" s="38" t="s">
        <v>192</v>
      </c>
      <c r="AI92" s="38" t="s">
        <v>192</v>
      </c>
      <c r="AJ92" s="38" t="s">
        <v>192</v>
      </c>
      <c r="AK92" s="39" t="s">
        <v>192</v>
      </c>
      <c r="AL92" s="38">
        <v>-36</v>
      </c>
      <c r="AM92" s="38">
        <v>-88</v>
      </c>
      <c r="AN92" s="38">
        <v>-373</v>
      </c>
      <c r="AO92" s="39">
        <v>-194</v>
      </c>
      <c r="AP92" s="38">
        <v>-30</v>
      </c>
      <c r="AQ92" s="38">
        <v>-572</v>
      </c>
      <c r="AR92" s="38">
        <v>-588</v>
      </c>
      <c r="AS92" s="39">
        <v>-587</v>
      </c>
      <c r="AT92" s="38">
        <v>-234</v>
      </c>
      <c r="AU92" s="38">
        <v>-300</v>
      </c>
    </row>
    <row r="93" spans="1:47" ht="13">
      <c r="A93" s="40" t="s">
        <v>239</v>
      </c>
      <c r="B93" s="52">
        <v>2419</v>
      </c>
      <c r="C93" s="52">
        <v>1986</v>
      </c>
      <c r="D93" s="52">
        <v>5424</v>
      </c>
      <c r="E93" s="52">
        <v>1208</v>
      </c>
      <c r="F93" s="52">
        <v>483.17228919000001</v>
      </c>
      <c r="G93" s="52">
        <v>-4137</v>
      </c>
      <c r="H93" s="52">
        <v>-1304</v>
      </c>
      <c r="I93" s="52">
        <v>3691</v>
      </c>
      <c r="J93" s="52">
        <v>7824</v>
      </c>
      <c r="K93" s="52">
        <v>14778</v>
      </c>
      <c r="L93" s="52">
        <v>11004</v>
      </c>
      <c r="M93" s="53"/>
      <c r="N93" s="52">
        <v>2550</v>
      </c>
      <c r="O93" s="52">
        <v>3027</v>
      </c>
      <c r="P93" s="52">
        <v>3146</v>
      </c>
      <c r="Q93" s="54">
        <v>1208</v>
      </c>
      <c r="R93" s="52">
        <v>3641</v>
      </c>
      <c r="S93" s="52">
        <v>4217.08</v>
      </c>
      <c r="T93" s="52">
        <v>2416</v>
      </c>
      <c r="U93" s="54">
        <v>483.17228919000001</v>
      </c>
      <c r="V93" s="52">
        <v>-1191</v>
      </c>
      <c r="W93" s="52">
        <v>-1819</v>
      </c>
      <c r="X93" s="52">
        <v>-3638</v>
      </c>
      <c r="Y93" s="54">
        <v>-4137</v>
      </c>
      <c r="Z93" s="52">
        <v>-5747</v>
      </c>
      <c r="AA93" s="52">
        <v>-322</v>
      </c>
      <c r="AB93" s="52">
        <v>-1191</v>
      </c>
      <c r="AC93" s="54">
        <v>-1304</v>
      </c>
      <c r="AD93" s="52">
        <v>-1844</v>
      </c>
      <c r="AE93" s="52">
        <v>-876</v>
      </c>
      <c r="AF93" s="52">
        <v>-1545</v>
      </c>
      <c r="AG93" s="54">
        <v>3691</v>
      </c>
      <c r="AH93" s="52">
        <v>7281</v>
      </c>
      <c r="AI93" s="52">
        <v>9099</v>
      </c>
      <c r="AJ93" s="52">
        <v>7643</v>
      </c>
      <c r="AK93" s="54">
        <v>7824</v>
      </c>
      <c r="AL93" s="52">
        <v>6076</v>
      </c>
      <c r="AM93" s="52">
        <v>15801</v>
      </c>
      <c r="AN93" s="52">
        <v>15152</v>
      </c>
      <c r="AO93" s="54">
        <v>14778</v>
      </c>
      <c r="AP93" s="52">
        <v>12317</v>
      </c>
      <c r="AQ93" s="52">
        <v>13284</v>
      </c>
      <c r="AR93" s="52">
        <v>11088</v>
      </c>
      <c r="AS93" s="54">
        <v>11004</v>
      </c>
      <c r="AT93" s="52">
        <v>10496</v>
      </c>
      <c r="AU93" s="52">
        <v>11430</v>
      </c>
    </row>
    <row r="94" spans="1:47" ht="13">
      <c r="A94" s="37" t="s">
        <v>240</v>
      </c>
      <c r="B94" s="38">
        <v>14929</v>
      </c>
      <c r="C94" s="38">
        <v>15813</v>
      </c>
      <c r="D94" s="38">
        <v>12047</v>
      </c>
      <c r="E94" s="38">
        <v>18847</v>
      </c>
      <c r="F94" s="38">
        <v>22813</v>
      </c>
      <c r="G94" s="38">
        <v>23739</v>
      </c>
      <c r="H94" s="38">
        <v>25785</v>
      </c>
      <c r="I94" s="38">
        <v>33508</v>
      </c>
      <c r="J94" s="38">
        <v>37210</v>
      </c>
      <c r="K94" s="38">
        <v>43180</v>
      </c>
      <c r="L94" s="38">
        <v>42272</v>
      </c>
      <c r="M94" s="38"/>
      <c r="N94" s="38">
        <v>16090</v>
      </c>
      <c r="O94" s="38">
        <v>17537</v>
      </c>
      <c r="P94" s="38">
        <v>17406</v>
      </c>
      <c r="Q94" s="39">
        <v>18847</v>
      </c>
      <c r="R94" s="38">
        <v>20685</v>
      </c>
      <c r="S94" s="38">
        <v>19889</v>
      </c>
      <c r="T94" s="38">
        <v>21834</v>
      </c>
      <c r="U94" s="39">
        <v>22813</v>
      </c>
      <c r="V94" s="38">
        <v>24712</v>
      </c>
      <c r="W94" s="38">
        <v>23383</v>
      </c>
      <c r="X94" s="38">
        <v>24556</v>
      </c>
      <c r="Y94" s="39">
        <v>23739</v>
      </c>
      <c r="Z94" s="38">
        <v>26206</v>
      </c>
      <c r="AA94" s="38">
        <v>21028</v>
      </c>
      <c r="AB94" s="38">
        <v>23301</v>
      </c>
      <c r="AC94" s="39">
        <v>25785</v>
      </c>
      <c r="AD94" s="38">
        <v>28817</v>
      </c>
      <c r="AE94" s="38">
        <v>28663</v>
      </c>
      <c r="AF94" s="38">
        <v>31766</v>
      </c>
      <c r="AG94" s="39">
        <v>33508</v>
      </c>
      <c r="AH94" s="38">
        <v>35464</v>
      </c>
      <c r="AI94" s="38">
        <v>35205</v>
      </c>
      <c r="AJ94" s="38">
        <v>37143</v>
      </c>
      <c r="AK94" s="39">
        <v>37210</v>
      </c>
      <c r="AL94" s="38">
        <v>40764</v>
      </c>
      <c r="AM94" s="38">
        <v>38104</v>
      </c>
      <c r="AN94" s="38">
        <v>39630</v>
      </c>
      <c r="AO94" s="39">
        <v>43180</v>
      </c>
      <c r="AP94" s="38">
        <v>42470</v>
      </c>
      <c r="AQ94" s="38">
        <v>38596</v>
      </c>
      <c r="AR94" s="38">
        <v>40394</v>
      </c>
      <c r="AS94" s="39">
        <v>42272</v>
      </c>
      <c r="AT94" s="38">
        <v>45914</v>
      </c>
      <c r="AU94" s="38">
        <v>44597</v>
      </c>
    </row>
    <row r="95" spans="1:47" ht="13">
      <c r="A95" s="74" t="s">
        <v>241</v>
      </c>
      <c r="B95" s="80">
        <v>16.2</v>
      </c>
      <c r="C95" s="80">
        <v>12.6</v>
      </c>
      <c r="D95" s="81">
        <v>45</v>
      </c>
      <c r="E95" s="80">
        <v>6.4095081445322863</v>
      </c>
      <c r="F95" s="80">
        <v>2.1179690930171398</v>
      </c>
      <c r="G95" s="80">
        <v>-17.425550735015374</v>
      </c>
      <c r="H95" s="80">
        <v>-5.0999999999999996</v>
      </c>
      <c r="I95" s="80">
        <v>11.015608678783501</v>
      </c>
      <c r="J95" s="80">
        <v>21.026605751142199</v>
      </c>
      <c r="K95" s="80">
        <v>34.224177860120399</v>
      </c>
      <c r="L95" s="80">
        <v>26.031415594246798</v>
      </c>
      <c r="M95" s="80"/>
      <c r="N95" s="80">
        <v>15.848353014294592</v>
      </c>
      <c r="O95" s="80">
        <v>17.260648913725266</v>
      </c>
      <c r="P95" s="80">
        <v>18.074227277950133</v>
      </c>
      <c r="Q95" s="82">
        <v>6.4095081445322863</v>
      </c>
      <c r="R95" s="80">
        <v>17.602127145274356</v>
      </c>
      <c r="S95" s="80">
        <v>21.203077077781689</v>
      </c>
      <c r="T95" s="80">
        <v>11.065310982870752</v>
      </c>
      <c r="U95" s="82">
        <v>2.1179690930171398</v>
      </c>
      <c r="V95" s="80">
        <v>-4.82</v>
      </c>
      <c r="W95" s="80">
        <v>-7.7791557969464993</v>
      </c>
      <c r="X95" s="80">
        <v>-14.815116468480207</v>
      </c>
      <c r="Y95" s="82">
        <v>-17.425550735015374</v>
      </c>
      <c r="Z95" s="80">
        <v>-21.930092345264445</v>
      </c>
      <c r="AA95" s="80">
        <v>-1.5</v>
      </c>
      <c r="AB95" s="80">
        <v>-5.1111492575744597</v>
      </c>
      <c r="AC95" s="82">
        <v>-5.0999999999999996</v>
      </c>
      <c r="AD95" s="80">
        <v>-6.3990005899295603</v>
      </c>
      <c r="AE95" s="80">
        <v>-3.0562048634127601</v>
      </c>
      <c r="AF95" s="80">
        <v>-4.8635376333931397</v>
      </c>
      <c r="AG95" s="82">
        <v>11.015608678783501</v>
      </c>
      <c r="AH95" s="80">
        <v>20.530100098688798</v>
      </c>
      <c r="AI95" s="80">
        <v>25.846</v>
      </c>
      <c r="AJ95" s="80">
        <v>20.576674563859601</v>
      </c>
      <c r="AK95" s="82">
        <v>21.026605751142199</v>
      </c>
      <c r="AL95" s="80">
        <v>14.905308605632399</v>
      </c>
      <c r="AM95" s="80">
        <v>41.4707117363007</v>
      </c>
      <c r="AN95" s="80">
        <v>38.233661367650797</v>
      </c>
      <c r="AO95" s="82">
        <v>34.224177860120399</v>
      </c>
      <c r="AP95" s="80">
        <v>29</v>
      </c>
      <c r="AQ95" s="80">
        <v>34.418074411856203</v>
      </c>
      <c r="AR95" s="80">
        <v>27.449621230875898</v>
      </c>
      <c r="AS95" s="82">
        <v>26.031415594246798</v>
      </c>
      <c r="AT95" s="80">
        <v>22.9</v>
      </c>
      <c r="AU95" s="80">
        <v>25.6</v>
      </c>
    </row>
    <row r="96" spans="1:47" ht="13">
      <c r="A96" s="37" t="s">
        <v>242</v>
      </c>
      <c r="B96" s="38">
        <v>6566</v>
      </c>
      <c r="C96" s="38">
        <v>5765</v>
      </c>
      <c r="D96" s="38">
        <v>7183</v>
      </c>
      <c r="E96" s="38">
        <v>8753</v>
      </c>
      <c r="F96" s="38">
        <v>10114</v>
      </c>
      <c r="G96" s="38">
        <v>9128</v>
      </c>
      <c r="H96" s="38">
        <v>10740</v>
      </c>
      <c r="I96" s="38">
        <v>13276</v>
      </c>
      <c r="J96" s="38">
        <v>15846</v>
      </c>
      <c r="K96" s="38">
        <v>15827</v>
      </c>
      <c r="L96" s="38">
        <v>15011</v>
      </c>
      <c r="M96" s="38"/>
      <c r="N96" s="38">
        <v>7284</v>
      </c>
      <c r="O96" s="38">
        <v>7655</v>
      </c>
      <c r="P96" s="38">
        <v>8110</v>
      </c>
      <c r="Q96" s="39">
        <v>8753</v>
      </c>
      <c r="R96" s="38">
        <v>9322.9659393982001</v>
      </c>
      <c r="S96" s="38">
        <v>9901.7304271999001</v>
      </c>
      <c r="T96" s="38">
        <v>10125</v>
      </c>
      <c r="U96" s="39">
        <v>10114</v>
      </c>
      <c r="V96" s="38">
        <v>10084</v>
      </c>
      <c r="W96" s="38">
        <v>9212</v>
      </c>
      <c r="X96" s="38">
        <v>8977</v>
      </c>
      <c r="Y96" s="39">
        <v>9128</v>
      </c>
      <c r="Z96" s="38">
        <v>9004</v>
      </c>
      <c r="AA96" s="38">
        <v>9738</v>
      </c>
      <c r="AB96" s="38">
        <v>10307</v>
      </c>
      <c r="AC96" s="39">
        <v>10740</v>
      </c>
      <c r="AD96" s="38">
        <v>11589</v>
      </c>
      <c r="AE96" s="38">
        <v>11863</v>
      </c>
      <c r="AF96" s="38">
        <v>12475</v>
      </c>
      <c r="AG96" s="39">
        <v>13276</v>
      </c>
      <c r="AH96" s="38">
        <v>13975</v>
      </c>
      <c r="AI96" s="38">
        <v>15163</v>
      </c>
      <c r="AJ96" s="38">
        <v>15699</v>
      </c>
      <c r="AK96" s="39">
        <v>15846</v>
      </c>
      <c r="AL96" s="38">
        <v>15482</v>
      </c>
      <c r="AM96" s="38">
        <v>15135</v>
      </c>
      <c r="AN96" s="38">
        <v>15618</v>
      </c>
      <c r="AO96" s="39">
        <v>15827</v>
      </c>
      <c r="AP96" s="38">
        <v>16260</v>
      </c>
      <c r="AQ96" s="38">
        <v>16153</v>
      </c>
      <c r="AR96" s="38">
        <v>15274</v>
      </c>
      <c r="AS96" s="39">
        <v>15011</v>
      </c>
      <c r="AT96" s="38">
        <v>14746</v>
      </c>
      <c r="AU96" s="38">
        <v>15267</v>
      </c>
    </row>
    <row r="97" spans="1:47" ht="13">
      <c r="A97" s="40" t="s">
        <v>79</v>
      </c>
      <c r="B97" s="41">
        <v>0.37</v>
      </c>
      <c r="C97" s="83">
        <v>0.34</v>
      </c>
      <c r="D97" s="83">
        <v>0.76</v>
      </c>
      <c r="E97" s="83">
        <v>0.13800982520278762</v>
      </c>
      <c r="F97" s="83">
        <v>0.05</v>
      </c>
      <c r="G97" s="83">
        <v>-0.45322085889570551</v>
      </c>
      <c r="H97" s="83">
        <v>-0.12</v>
      </c>
      <c r="I97" s="83">
        <v>0.27802048809882496</v>
      </c>
      <c r="J97" s="83">
        <v>0.49381469325927796</v>
      </c>
      <c r="K97" s="83">
        <v>0.93377985593327439</v>
      </c>
      <c r="L97" s="83">
        <v>0.73306242089134632</v>
      </c>
      <c r="M97" s="84"/>
      <c r="N97" s="83">
        <v>0.35013044075243716</v>
      </c>
      <c r="O97" s="83">
        <v>0.39542782495101242</v>
      </c>
      <c r="P97" s="83">
        <v>0.38791615289765724</v>
      </c>
      <c r="Q97" s="85">
        <v>0.13800982520278762</v>
      </c>
      <c r="R97" s="83">
        <v>0.39054095270405198</v>
      </c>
      <c r="S97" s="83">
        <v>0.42589323462248035</v>
      </c>
      <c r="T97" s="83">
        <v>0.24</v>
      </c>
      <c r="U97" s="85">
        <v>0.05</v>
      </c>
      <c r="V97" s="83">
        <v>-0.12</v>
      </c>
      <c r="W97" s="83">
        <v>-0.19745983499782893</v>
      </c>
      <c r="X97" s="83">
        <v>-0.40525788125208867</v>
      </c>
      <c r="Y97" s="85">
        <v>-0.45322085889570551</v>
      </c>
      <c r="Z97" s="83">
        <v>-0.64</v>
      </c>
      <c r="AA97" s="83">
        <v>-0.03</v>
      </c>
      <c r="AB97" s="83">
        <v>-0.115552537110701</v>
      </c>
      <c r="AC97" s="85">
        <v>-0.12</v>
      </c>
      <c r="AD97" s="83">
        <v>-0.15911640348606437</v>
      </c>
      <c r="AE97" s="83">
        <v>-7.3843041389193287E-2</v>
      </c>
      <c r="AF97" s="83">
        <v>-0.12384769539078157</v>
      </c>
      <c r="AG97" s="85">
        <v>0.27802048809882496</v>
      </c>
      <c r="AH97" s="83">
        <v>0.5210017889087657</v>
      </c>
      <c r="AI97" s="83">
        <v>0.6</v>
      </c>
      <c r="AJ97" s="83">
        <v>0.48684629594241674</v>
      </c>
      <c r="AK97" s="85">
        <v>0.49381469325927796</v>
      </c>
      <c r="AL97" s="83">
        <v>0.39245575507040437</v>
      </c>
      <c r="AM97" s="83">
        <v>1.0440700363396103</v>
      </c>
      <c r="AN97" s="83">
        <v>0.97016263285952109</v>
      </c>
      <c r="AO97" s="85">
        <v>0.93377985593327439</v>
      </c>
      <c r="AP97" s="83" t="s">
        <v>243</v>
      </c>
      <c r="AQ97" s="83">
        <v>0.82248777165500586</v>
      </c>
      <c r="AR97" s="83">
        <v>0.7259395050412466</v>
      </c>
      <c r="AS97" s="85">
        <v>0.73306242089134632</v>
      </c>
      <c r="AT97" s="83">
        <v>0.71178624711786243</v>
      </c>
      <c r="AU97" s="83">
        <v>0.74877169996724535</v>
      </c>
    </row>
    <row r="98" spans="1:47" ht="13">
      <c r="A98" s="45" t="s">
        <v>166</v>
      </c>
      <c r="B98" s="31"/>
      <c r="C98" s="31"/>
      <c r="D98" s="32"/>
      <c r="E98" s="31"/>
      <c r="F98" s="31"/>
      <c r="G98" s="31"/>
      <c r="H98" s="31"/>
      <c r="I98" s="31"/>
      <c r="J98" s="31"/>
      <c r="K98" s="31"/>
      <c r="L98" s="31"/>
      <c r="M98" s="31"/>
      <c r="N98" s="31"/>
      <c r="O98" s="31"/>
      <c r="P98" s="31"/>
      <c r="Q98" s="33"/>
      <c r="R98" s="31"/>
      <c r="S98" s="31"/>
      <c r="T98" s="31"/>
      <c r="U98" s="33"/>
      <c r="V98" s="31"/>
      <c r="W98" s="31"/>
      <c r="X98" s="31"/>
      <c r="Y98" s="33"/>
      <c r="Z98" s="31"/>
      <c r="AA98" s="31"/>
      <c r="AB98" s="31"/>
      <c r="AC98" s="33"/>
      <c r="AD98" s="31"/>
      <c r="AE98" s="31"/>
      <c r="AF98" s="31"/>
      <c r="AG98" s="33"/>
      <c r="AH98" s="31"/>
      <c r="AI98" s="31"/>
      <c r="AJ98" s="31"/>
      <c r="AK98" s="33"/>
      <c r="AL98" s="31"/>
      <c r="AM98" s="31"/>
      <c r="AN98" s="31"/>
      <c r="AO98" s="33"/>
      <c r="AP98" s="31"/>
      <c r="AQ98" s="31"/>
      <c r="AR98" s="31"/>
      <c r="AS98" s="33"/>
      <c r="AT98" s="31"/>
      <c r="AU98" s="31"/>
    </row>
    <row r="99" spans="1:47" ht="13">
      <c r="A99" s="31"/>
      <c r="B99" s="31"/>
      <c r="C99" s="31"/>
      <c r="D99" s="32"/>
      <c r="E99" s="31"/>
      <c r="F99" s="31"/>
      <c r="G99" s="31"/>
      <c r="H99" s="31"/>
      <c r="I99" s="31"/>
      <c r="J99" s="31"/>
      <c r="K99" s="31"/>
      <c r="L99" s="31"/>
      <c r="M99" s="31"/>
      <c r="N99" s="31"/>
      <c r="O99" s="31"/>
      <c r="P99" s="31"/>
      <c r="Q99" s="33"/>
      <c r="R99" s="31"/>
      <c r="S99" s="31"/>
      <c r="T99" s="31"/>
      <c r="U99" s="33"/>
      <c r="V99" s="31"/>
      <c r="W99" s="31"/>
      <c r="X99" s="31"/>
      <c r="Y99" s="33"/>
      <c r="Z99" s="31"/>
      <c r="AA99" s="31"/>
      <c r="AB99" s="31"/>
      <c r="AC99" s="33"/>
      <c r="AD99" s="31"/>
      <c r="AE99" s="31"/>
      <c r="AF99" s="31"/>
      <c r="AG99" s="33"/>
      <c r="AH99" s="31"/>
      <c r="AI99" s="31"/>
      <c r="AJ99" s="31"/>
      <c r="AK99" s="33"/>
      <c r="AL99" s="31"/>
      <c r="AM99" s="31"/>
      <c r="AN99" s="31"/>
      <c r="AO99" s="33"/>
      <c r="AP99" s="31"/>
      <c r="AQ99" s="31"/>
      <c r="AR99" s="31"/>
      <c r="AS99" s="33"/>
      <c r="AT99" s="31"/>
      <c r="AU99" s="31"/>
    </row>
    <row r="100" spans="1:47" ht="14">
      <c r="A100" s="46" t="s">
        <v>244</v>
      </c>
      <c r="B100" s="47">
        <v>2015</v>
      </c>
      <c r="C100" s="47">
        <v>2016</v>
      </c>
      <c r="D100" s="47" t="s">
        <v>127</v>
      </c>
      <c r="E100" s="47">
        <v>2018</v>
      </c>
      <c r="F100" s="47">
        <v>2019</v>
      </c>
      <c r="G100" s="47">
        <v>2020</v>
      </c>
      <c r="H100" s="47">
        <v>2021</v>
      </c>
      <c r="I100" s="47">
        <v>2022</v>
      </c>
      <c r="J100" s="47">
        <v>2023</v>
      </c>
      <c r="K100" s="47">
        <v>2024</v>
      </c>
      <c r="L100" s="47">
        <v>2025</v>
      </c>
      <c r="M100" s="48"/>
      <c r="N100" s="49" t="s">
        <v>128</v>
      </c>
      <c r="O100" s="49" t="s">
        <v>129</v>
      </c>
      <c r="P100" s="49" t="s">
        <v>130</v>
      </c>
      <c r="Q100" s="50" t="s">
        <v>131</v>
      </c>
      <c r="R100" s="49" t="s">
        <v>132</v>
      </c>
      <c r="S100" s="49" t="s">
        <v>133</v>
      </c>
      <c r="T100" s="49" t="s">
        <v>134</v>
      </c>
      <c r="U100" s="50" t="s">
        <v>135</v>
      </c>
      <c r="V100" s="49" t="s">
        <v>136</v>
      </c>
      <c r="W100" s="49" t="s">
        <v>137</v>
      </c>
      <c r="X100" s="49" t="s">
        <v>138</v>
      </c>
      <c r="Y100" s="50" t="s">
        <v>139</v>
      </c>
      <c r="Z100" s="49" t="s">
        <v>140</v>
      </c>
      <c r="AA100" s="49" t="s">
        <v>141</v>
      </c>
      <c r="AB100" s="49" t="s">
        <v>142</v>
      </c>
      <c r="AC100" s="50" t="s">
        <v>143</v>
      </c>
      <c r="AD100" s="49" t="s">
        <v>144</v>
      </c>
      <c r="AE100" s="49" t="s">
        <v>145</v>
      </c>
      <c r="AF100" s="49" t="s">
        <v>146</v>
      </c>
      <c r="AG100" s="50" t="s">
        <v>147</v>
      </c>
      <c r="AH100" s="49" t="s">
        <v>148</v>
      </c>
      <c r="AI100" s="49" t="s">
        <v>149</v>
      </c>
      <c r="AJ100" s="49" t="s">
        <v>150</v>
      </c>
      <c r="AK100" s="50" t="s">
        <v>151</v>
      </c>
      <c r="AL100" s="49" t="s">
        <v>152</v>
      </c>
      <c r="AM100" s="49" t="s">
        <v>153</v>
      </c>
      <c r="AN100" s="49" t="s">
        <v>154</v>
      </c>
      <c r="AO100" s="50" t="s">
        <v>155</v>
      </c>
      <c r="AP100" s="49" t="s">
        <v>156</v>
      </c>
      <c r="AQ100" s="49" t="s">
        <v>157</v>
      </c>
      <c r="AR100" s="49" t="s">
        <v>158</v>
      </c>
      <c r="AS100" s="50" t="s">
        <v>820</v>
      </c>
      <c r="AT100" s="49" t="s">
        <v>1275</v>
      </c>
      <c r="AU100" s="49" t="s">
        <v>1344</v>
      </c>
    </row>
    <row r="101" spans="1:47" ht="13">
      <c r="A101" s="37" t="s">
        <v>240</v>
      </c>
      <c r="B101" s="38">
        <v>14929</v>
      </c>
      <c r="C101" s="38">
        <v>15813</v>
      </c>
      <c r="D101" s="38">
        <v>12047</v>
      </c>
      <c r="E101" s="38">
        <v>18847</v>
      </c>
      <c r="F101" s="38">
        <v>22813</v>
      </c>
      <c r="G101" s="38">
        <v>23739</v>
      </c>
      <c r="H101" s="38">
        <v>25785</v>
      </c>
      <c r="I101" s="38">
        <v>33508</v>
      </c>
      <c r="J101" s="38">
        <v>37210</v>
      </c>
      <c r="K101" s="38">
        <v>43180</v>
      </c>
      <c r="L101" s="38">
        <v>42272</v>
      </c>
      <c r="M101" s="38"/>
      <c r="N101" s="38">
        <v>16090</v>
      </c>
      <c r="O101" s="38">
        <v>17537</v>
      </c>
      <c r="P101" s="38">
        <v>17406</v>
      </c>
      <c r="Q101" s="39">
        <v>18847</v>
      </c>
      <c r="R101" s="38">
        <v>20685</v>
      </c>
      <c r="S101" s="38">
        <v>19889</v>
      </c>
      <c r="T101" s="38">
        <v>21834</v>
      </c>
      <c r="U101" s="39">
        <v>22813</v>
      </c>
      <c r="V101" s="38">
        <v>24712</v>
      </c>
      <c r="W101" s="38">
        <v>23383</v>
      </c>
      <c r="X101" s="38">
        <v>24556</v>
      </c>
      <c r="Y101" s="39">
        <v>23739</v>
      </c>
      <c r="Z101" s="38">
        <v>26206</v>
      </c>
      <c r="AA101" s="38">
        <v>21028</v>
      </c>
      <c r="AB101" s="38">
        <v>23301</v>
      </c>
      <c r="AC101" s="39">
        <v>25785</v>
      </c>
      <c r="AD101" s="38">
        <v>28817</v>
      </c>
      <c r="AE101" s="38">
        <v>28663</v>
      </c>
      <c r="AF101" s="38">
        <v>31766</v>
      </c>
      <c r="AG101" s="39">
        <v>33508</v>
      </c>
      <c r="AH101" s="38">
        <v>35464</v>
      </c>
      <c r="AI101" s="38">
        <v>35205</v>
      </c>
      <c r="AJ101" s="38">
        <v>37143</v>
      </c>
      <c r="AK101" s="39">
        <v>37210</v>
      </c>
      <c r="AL101" s="38">
        <v>40764</v>
      </c>
      <c r="AM101" s="38">
        <v>38104</v>
      </c>
      <c r="AN101" s="38">
        <v>39630</v>
      </c>
      <c r="AO101" s="39">
        <v>43180</v>
      </c>
      <c r="AP101" s="38">
        <v>42470</v>
      </c>
      <c r="AQ101" s="38">
        <v>38596</v>
      </c>
      <c r="AR101" s="38">
        <v>40394</v>
      </c>
      <c r="AS101" s="39">
        <v>42272</v>
      </c>
      <c r="AT101" s="38">
        <v>45914</v>
      </c>
      <c r="AU101" s="38">
        <v>44597</v>
      </c>
    </row>
    <row r="102" spans="1:47" ht="13">
      <c r="A102" s="37" t="s">
        <v>204</v>
      </c>
      <c r="B102" s="38">
        <v>28418</v>
      </c>
      <c r="C102" s="38">
        <v>29984</v>
      </c>
      <c r="D102" s="38">
        <v>27547</v>
      </c>
      <c r="E102" s="38">
        <v>36155</v>
      </c>
      <c r="F102" s="38">
        <v>41037</v>
      </c>
      <c r="G102" s="38">
        <v>43886</v>
      </c>
      <c r="H102" s="38">
        <v>48583</v>
      </c>
      <c r="I102" s="38">
        <v>61780</v>
      </c>
      <c r="J102" s="38">
        <v>67784</v>
      </c>
      <c r="K102" s="38">
        <v>83589</v>
      </c>
      <c r="L102" s="38">
        <v>80377</v>
      </c>
      <c r="M102" s="38"/>
      <c r="N102" s="38">
        <v>30465</v>
      </c>
      <c r="O102" s="38">
        <v>35024</v>
      </c>
      <c r="P102" s="38">
        <v>34487</v>
      </c>
      <c r="Q102" s="39">
        <v>36155</v>
      </c>
      <c r="R102" s="38">
        <v>39662</v>
      </c>
      <c r="S102" s="38">
        <v>40148</v>
      </c>
      <c r="T102" s="38">
        <v>41525</v>
      </c>
      <c r="U102" s="39">
        <v>41037</v>
      </c>
      <c r="V102" s="38">
        <v>43689</v>
      </c>
      <c r="W102" s="38">
        <v>44324</v>
      </c>
      <c r="X102" s="38">
        <v>44634</v>
      </c>
      <c r="Y102" s="39">
        <v>43886</v>
      </c>
      <c r="Z102" s="38">
        <v>46851</v>
      </c>
      <c r="AA102" s="38">
        <v>44517</v>
      </c>
      <c r="AB102" s="38">
        <v>47259</v>
      </c>
      <c r="AC102" s="39">
        <v>48583</v>
      </c>
      <c r="AD102" s="38">
        <v>52409</v>
      </c>
      <c r="AE102" s="38">
        <v>55543</v>
      </c>
      <c r="AF102" s="38">
        <v>61685</v>
      </c>
      <c r="AG102" s="39">
        <v>61780</v>
      </c>
      <c r="AH102" s="38">
        <v>65302</v>
      </c>
      <c r="AI102" s="38">
        <v>70294</v>
      </c>
      <c r="AJ102" s="38">
        <v>70640</v>
      </c>
      <c r="AK102" s="39">
        <v>67784</v>
      </c>
      <c r="AL102" s="38">
        <v>77934</v>
      </c>
      <c r="AM102" s="38">
        <v>81016</v>
      </c>
      <c r="AN102" s="38">
        <v>81565</v>
      </c>
      <c r="AO102" s="39">
        <v>83589</v>
      </c>
      <c r="AP102" s="38">
        <v>80850</v>
      </c>
      <c r="AQ102" s="38">
        <v>79352</v>
      </c>
      <c r="AR102" s="38">
        <v>81375</v>
      </c>
      <c r="AS102" s="39">
        <v>80377</v>
      </c>
      <c r="AT102" s="38">
        <v>83504</v>
      </c>
      <c r="AU102" s="38">
        <v>85891</v>
      </c>
    </row>
    <row r="103" spans="1:47" ht="13">
      <c r="A103" s="40" t="s">
        <v>245</v>
      </c>
      <c r="B103" s="41">
        <v>52.5</v>
      </c>
      <c r="C103" s="55">
        <v>52.7</v>
      </c>
      <c r="D103" s="55">
        <v>43.7</v>
      </c>
      <c r="E103" s="55">
        <v>52.128336329691606</v>
      </c>
      <c r="F103" s="55">
        <v>55.591295660014126</v>
      </c>
      <c r="G103" s="55">
        <v>54.096978535295989</v>
      </c>
      <c r="H103" s="55">
        <v>53.07</v>
      </c>
      <c r="I103" s="55">
        <v>54.235998705082558</v>
      </c>
      <c r="J103" s="55">
        <v>54.894150623294237</v>
      </c>
      <c r="K103" s="55">
        <v>51.658750762678409</v>
      </c>
      <c r="L103" s="55">
        <v>52.592159448598473</v>
      </c>
      <c r="M103" s="56"/>
      <c r="N103" s="55">
        <v>52.814705399638925</v>
      </c>
      <c r="O103" s="55">
        <v>50.071379625399729</v>
      </c>
      <c r="P103" s="55">
        <v>50.471192043378664</v>
      </c>
      <c r="Q103" s="57">
        <v>52.128336329691606</v>
      </c>
      <c r="R103" s="55">
        <v>52.153194493469826</v>
      </c>
      <c r="S103" s="55">
        <v>49.539204941715653</v>
      </c>
      <c r="T103" s="55">
        <v>52.580373269114986</v>
      </c>
      <c r="U103" s="57">
        <v>55.591295660014126</v>
      </c>
      <c r="V103" s="55">
        <v>56.64</v>
      </c>
      <c r="W103" s="55">
        <v>52.75352509870276</v>
      </c>
      <c r="X103" s="55">
        <v>55.016355244880586</v>
      </c>
      <c r="Y103" s="57">
        <v>54.096978535295989</v>
      </c>
      <c r="Z103" s="55">
        <v>55.933578075642451</v>
      </c>
      <c r="AA103" s="55">
        <v>47.2</v>
      </c>
      <c r="AB103" s="55">
        <v>49.30492372146167</v>
      </c>
      <c r="AC103" s="57">
        <v>53.07</v>
      </c>
      <c r="AD103" s="55">
        <v>54.983781721045602</v>
      </c>
      <c r="AE103" s="55">
        <v>51.604133659801242</v>
      </c>
      <c r="AF103" s="55">
        <v>51.499578496854937</v>
      </c>
      <c r="AG103" s="57">
        <v>54.235998705082558</v>
      </c>
      <c r="AH103" s="55">
        <v>54.308377869316885</v>
      </c>
      <c r="AI103" s="55">
        <v>50</v>
      </c>
      <c r="AJ103" s="55">
        <v>52.58136209849804</v>
      </c>
      <c r="AK103" s="57">
        <v>54.894150623294237</v>
      </c>
      <c r="AL103" s="55">
        <v>52.306468376682538</v>
      </c>
      <c r="AM103" s="55">
        <v>47.0326849017478</v>
      </c>
      <c r="AN103" s="55">
        <v>48.586420812593481</v>
      </c>
      <c r="AO103" s="57">
        <v>51.658750762678409</v>
      </c>
      <c r="AP103" s="55">
        <v>52.5</v>
      </c>
      <c r="AQ103" s="55">
        <v>48.639588663028817</v>
      </c>
      <c r="AR103" s="55">
        <v>49.639324116743474</v>
      </c>
      <c r="AS103" s="57">
        <v>52.592159448598473</v>
      </c>
      <c r="AT103" s="55">
        <v>54.982994826595132</v>
      </c>
      <c r="AU103" s="55">
        <v>51.923345596795976</v>
      </c>
    </row>
    <row r="104" spans="1:47" ht="13">
      <c r="A104" s="45" t="s">
        <v>162</v>
      </c>
      <c r="B104" s="60"/>
      <c r="C104" s="60"/>
      <c r="D104" s="60"/>
      <c r="E104" s="60"/>
      <c r="F104" s="60"/>
      <c r="G104" s="60"/>
      <c r="H104" s="60"/>
      <c r="I104" s="60"/>
      <c r="J104" s="60"/>
      <c r="K104" s="60"/>
      <c r="L104" s="60"/>
      <c r="M104" s="60"/>
      <c r="N104" s="60"/>
      <c r="O104" s="60"/>
      <c r="P104" s="60"/>
      <c r="Q104" s="33"/>
      <c r="R104" s="60"/>
      <c r="S104" s="60"/>
      <c r="T104" s="60"/>
      <c r="U104" s="86"/>
      <c r="V104" s="60"/>
      <c r="W104" s="60"/>
      <c r="X104" s="60"/>
      <c r="Y104" s="86"/>
      <c r="Z104" s="60"/>
      <c r="AA104" s="60"/>
      <c r="AB104" s="60"/>
      <c r="AC104" s="86"/>
      <c r="AD104" s="60"/>
      <c r="AE104" s="60"/>
      <c r="AF104" s="60"/>
      <c r="AG104" s="86"/>
      <c r="AH104" s="60"/>
      <c r="AI104" s="60"/>
      <c r="AJ104" s="60"/>
      <c r="AK104" s="86"/>
      <c r="AL104" s="60"/>
      <c r="AM104" s="60"/>
      <c r="AN104" s="60"/>
      <c r="AO104" s="86"/>
      <c r="AP104" s="60"/>
      <c r="AQ104" s="60"/>
      <c r="AR104" s="60"/>
      <c r="AS104" s="86"/>
      <c r="AT104" s="60"/>
      <c r="AU104" s="60"/>
    </row>
    <row r="105" spans="1:47" ht="13">
      <c r="A105" s="31"/>
      <c r="B105" s="31"/>
      <c r="C105" s="31"/>
      <c r="D105" s="32"/>
      <c r="E105" s="31"/>
      <c r="F105" s="31"/>
      <c r="G105" s="31"/>
      <c r="H105" s="31"/>
      <c r="I105" s="31"/>
      <c r="J105" s="31"/>
      <c r="K105" s="31"/>
      <c r="L105" s="31"/>
      <c r="M105" s="31"/>
      <c r="N105" s="31"/>
      <c r="O105" s="31"/>
      <c r="P105" s="31"/>
      <c r="Q105" s="33"/>
      <c r="R105" s="31"/>
      <c r="S105" s="31"/>
      <c r="T105" s="31"/>
      <c r="U105" s="33"/>
      <c r="V105" s="31"/>
      <c r="W105" s="31"/>
      <c r="X105" s="31"/>
      <c r="Y105" s="33"/>
      <c r="Z105" s="31"/>
      <c r="AA105" s="31"/>
      <c r="AB105" s="31"/>
      <c r="AC105" s="33"/>
      <c r="AD105" s="31"/>
      <c r="AE105" s="31"/>
      <c r="AF105" s="31"/>
      <c r="AG105" s="33"/>
      <c r="AH105" s="31"/>
      <c r="AI105" s="31"/>
      <c r="AJ105" s="31"/>
      <c r="AK105" s="33"/>
      <c r="AL105" s="31"/>
      <c r="AM105" s="31"/>
      <c r="AN105" s="31"/>
      <c r="AO105" s="33"/>
      <c r="AP105" s="31"/>
      <c r="AQ105" s="31"/>
      <c r="AR105" s="31"/>
      <c r="AS105" s="33"/>
      <c r="AT105" s="31"/>
      <c r="AU105" s="31"/>
    </row>
    <row r="106" spans="1:47" ht="14">
      <c r="A106" s="46" t="s">
        <v>118</v>
      </c>
      <c r="B106" s="47" t="s">
        <v>208</v>
      </c>
      <c r="C106" s="47" t="s">
        <v>209</v>
      </c>
      <c r="D106" s="47" t="s">
        <v>210</v>
      </c>
      <c r="E106" s="47">
        <v>2018</v>
      </c>
      <c r="F106" s="47" t="s">
        <v>212</v>
      </c>
      <c r="G106" s="47" t="s">
        <v>213</v>
      </c>
      <c r="H106" s="47" t="s">
        <v>214</v>
      </c>
      <c r="I106" s="47" t="s">
        <v>215</v>
      </c>
      <c r="J106" s="47" t="s">
        <v>216</v>
      </c>
      <c r="K106" s="47" t="s">
        <v>217</v>
      </c>
      <c r="L106" s="47" t="s">
        <v>1266</v>
      </c>
      <c r="M106" s="48"/>
      <c r="N106" s="49" t="s">
        <v>128</v>
      </c>
      <c r="O106" s="49" t="s">
        <v>129</v>
      </c>
      <c r="P106" s="49" t="s">
        <v>130</v>
      </c>
      <c r="Q106" s="50" t="s">
        <v>131</v>
      </c>
      <c r="R106" s="49" t="s">
        <v>132</v>
      </c>
      <c r="S106" s="49" t="s">
        <v>133</v>
      </c>
      <c r="T106" s="49" t="s">
        <v>134</v>
      </c>
      <c r="U106" s="50" t="s">
        <v>135</v>
      </c>
      <c r="V106" s="49" t="s">
        <v>136</v>
      </c>
      <c r="W106" s="49" t="s">
        <v>137</v>
      </c>
      <c r="X106" s="49" t="s">
        <v>138</v>
      </c>
      <c r="Y106" s="50" t="s">
        <v>139</v>
      </c>
      <c r="Z106" s="49" t="s">
        <v>140</v>
      </c>
      <c r="AA106" s="49" t="s">
        <v>141</v>
      </c>
      <c r="AB106" s="49" t="s">
        <v>142</v>
      </c>
      <c r="AC106" s="50" t="s">
        <v>143</v>
      </c>
      <c r="AD106" s="49" t="s">
        <v>144</v>
      </c>
      <c r="AE106" s="49" t="s">
        <v>145</v>
      </c>
      <c r="AF106" s="49" t="s">
        <v>146</v>
      </c>
      <c r="AG106" s="50" t="s">
        <v>147</v>
      </c>
      <c r="AH106" s="49" t="s">
        <v>148</v>
      </c>
      <c r="AI106" s="49" t="s">
        <v>149</v>
      </c>
      <c r="AJ106" s="49" t="s">
        <v>150</v>
      </c>
      <c r="AK106" s="50" t="s">
        <v>151</v>
      </c>
      <c r="AL106" s="49" t="s">
        <v>152</v>
      </c>
      <c r="AM106" s="49" t="s">
        <v>153</v>
      </c>
      <c r="AN106" s="49" t="s">
        <v>154</v>
      </c>
      <c r="AO106" s="50" t="s">
        <v>155</v>
      </c>
      <c r="AP106" s="49" t="s">
        <v>156</v>
      </c>
      <c r="AQ106" s="49" t="s">
        <v>157</v>
      </c>
      <c r="AR106" s="49" t="s">
        <v>158</v>
      </c>
      <c r="AS106" s="50" t="s">
        <v>820</v>
      </c>
      <c r="AT106" s="49" t="s">
        <v>1275</v>
      </c>
      <c r="AU106" s="49" t="s">
        <v>1344</v>
      </c>
    </row>
    <row r="107" spans="1:47" ht="13">
      <c r="A107" s="37" t="s">
        <v>246</v>
      </c>
      <c r="B107" s="38">
        <v>3571</v>
      </c>
      <c r="C107" s="38">
        <v>3231</v>
      </c>
      <c r="D107" s="38">
        <v>4298</v>
      </c>
      <c r="E107" s="38">
        <v>5430</v>
      </c>
      <c r="F107" s="38">
        <v>5874</v>
      </c>
      <c r="G107" s="38">
        <v>5399</v>
      </c>
      <c r="H107" s="38">
        <v>7058</v>
      </c>
      <c r="I107" s="38">
        <v>8397</v>
      </c>
      <c r="J107" s="38">
        <v>9431</v>
      </c>
      <c r="K107" s="38">
        <v>8731</v>
      </c>
      <c r="L107" s="38">
        <v>8602</v>
      </c>
      <c r="M107" s="38"/>
      <c r="N107" s="38">
        <v>4328</v>
      </c>
      <c r="O107" s="38">
        <v>4569</v>
      </c>
      <c r="P107" s="38">
        <v>4912.0172940299999</v>
      </c>
      <c r="Q107" s="39">
        <v>5430</v>
      </c>
      <c r="R107" s="38">
        <v>5723</v>
      </c>
      <c r="S107" s="38">
        <v>6082</v>
      </c>
      <c r="T107" s="38">
        <v>6010.9827059700001</v>
      </c>
      <c r="U107" s="39">
        <v>5874</v>
      </c>
      <c r="V107" s="38">
        <v>5922</v>
      </c>
      <c r="W107" s="38">
        <v>5270</v>
      </c>
      <c r="X107" s="38">
        <v>5251</v>
      </c>
      <c r="Y107" s="39">
        <v>5399</v>
      </c>
      <c r="Z107" s="38">
        <v>5366</v>
      </c>
      <c r="AA107" s="38">
        <v>6031</v>
      </c>
      <c r="AB107" s="38">
        <v>6637</v>
      </c>
      <c r="AC107" s="39">
        <v>7058</v>
      </c>
      <c r="AD107" s="38">
        <v>7669</v>
      </c>
      <c r="AE107" s="38">
        <v>7747</v>
      </c>
      <c r="AF107" s="38">
        <v>8060</v>
      </c>
      <c r="AG107" s="39">
        <v>8397</v>
      </c>
      <c r="AH107" s="38">
        <v>8690</v>
      </c>
      <c r="AI107" s="38">
        <v>9565</v>
      </c>
      <c r="AJ107" s="38">
        <v>9561</v>
      </c>
      <c r="AK107" s="39">
        <v>9431</v>
      </c>
      <c r="AL107" s="38">
        <v>9149</v>
      </c>
      <c r="AM107" s="38">
        <v>8546</v>
      </c>
      <c r="AN107" s="38">
        <v>8629</v>
      </c>
      <c r="AO107" s="39">
        <v>8731</v>
      </c>
      <c r="AP107" s="38">
        <v>8923</v>
      </c>
      <c r="AQ107" s="38">
        <v>8979</v>
      </c>
      <c r="AR107" s="38">
        <v>8616</v>
      </c>
      <c r="AS107" s="39">
        <v>8602</v>
      </c>
      <c r="AT107" s="38">
        <v>8506</v>
      </c>
      <c r="AU107" s="38">
        <v>8839</v>
      </c>
    </row>
    <row r="108" spans="1:47" ht="13">
      <c r="A108" s="37" t="s">
        <v>247</v>
      </c>
      <c r="B108" s="38">
        <v>14306</v>
      </c>
      <c r="C108" s="38">
        <v>15324</v>
      </c>
      <c r="D108" s="38">
        <v>14772</v>
      </c>
      <c r="E108" s="38">
        <v>16346.2</v>
      </c>
      <c r="F108" s="38">
        <v>20762.2</v>
      </c>
      <c r="G108" s="38">
        <v>23790</v>
      </c>
      <c r="H108" s="38">
        <v>23960</v>
      </c>
      <c r="I108" s="38">
        <v>29572</v>
      </c>
      <c r="J108" s="38">
        <v>35233</v>
      </c>
      <c r="K108" s="38">
        <v>39374</v>
      </c>
      <c r="L108" s="38">
        <v>41216</v>
      </c>
      <c r="M108" s="38"/>
      <c r="N108" s="38">
        <v>14818</v>
      </c>
      <c r="O108" s="38">
        <v>14848</v>
      </c>
      <c r="P108" s="38">
        <v>15089.8</v>
      </c>
      <c r="Q108" s="39">
        <v>16346.2</v>
      </c>
      <c r="R108" s="38">
        <v>18064.2</v>
      </c>
      <c r="S108" s="38">
        <v>18823.2</v>
      </c>
      <c r="T108" s="38">
        <v>19681.8</v>
      </c>
      <c r="U108" s="39">
        <v>20762.2</v>
      </c>
      <c r="V108" s="38">
        <v>21934</v>
      </c>
      <c r="W108" s="38">
        <v>22474</v>
      </c>
      <c r="X108" s="38">
        <v>23408</v>
      </c>
      <c r="Y108" s="39">
        <v>23790</v>
      </c>
      <c r="Z108" s="38">
        <v>24469</v>
      </c>
      <c r="AA108" s="38">
        <v>23733</v>
      </c>
      <c r="AB108" s="38">
        <v>23716</v>
      </c>
      <c r="AC108" s="39">
        <v>23960</v>
      </c>
      <c r="AD108" s="38">
        <v>24972</v>
      </c>
      <c r="AE108" s="38">
        <v>25460</v>
      </c>
      <c r="AF108" s="38">
        <v>27617</v>
      </c>
      <c r="AG108" s="39">
        <v>29572</v>
      </c>
      <c r="AH108" s="38">
        <v>31423</v>
      </c>
      <c r="AI108" s="38">
        <v>32612</v>
      </c>
      <c r="AJ108" s="38">
        <v>34221</v>
      </c>
      <c r="AK108" s="39">
        <v>35233</v>
      </c>
      <c r="AL108" s="38">
        <v>36703</v>
      </c>
      <c r="AM108" s="38">
        <v>37246</v>
      </c>
      <c r="AN108" s="38">
        <v>38151</v>
      </c>
      <c r="AO108" s="39">
        <v>39374</v>
      </c>
      <c r="AP108" s="38">
        <v>40430</v>
      </c>
      <c r="AQ108" s="38">
        <v>40073</v>
      </c>
      <c r="AR108" s="38">
        <v>40609</v>
      </c>
      <c r="AS108" s="39">
        <v>41216</v>
      </c>
      <c r="AT108" s="38">
        <v>41845</v>
      </c>
      <c r="AU108" s="38">
        <v>42342</v>
      </c>
    </row>
    <row r="109" spans="1:47" ht="13">
      <c r="A109" s="40" t="s">
        <v>248</v>
      </c>
      <c r="B109" s="41">
        <v>23.9</v>
      </c>
      <c r="C109" s="55">
        <v>20.399999999999999</v>
      </c>
      <c r="D109" s="55">
        <v>29.1</v>
      </c>
      <c r="E109" s="55">
        <v>33.218729735351332</v>
      </c>
      <c r="F109" s="55">
        <v>28.291799520282051</v>
      </c>
      <c r="G109" s="55">
        <v>22.694409415720891</v>
      </c>
      <c r="H109" s="55">
        <v>29.5</v>
      </c>
      <c r="I109" s="55">
        <v>28.39510347626133</v>
      </c>
      <c r="J109" s="55">
        <v>26.767519087219366</v>
      </c>
      <c r="K109" s="55">
        <v>22.174531416670902</v>
      </c>
      <c r="L109" s="55">
        <v>20.870535714285715</v>
      </c>
      <c r="M109" s="56"/>
      <c r="N109" s="55">
        <v>29.207720340126876</v>
      </c>
      <c r="O109" s="55">
        <v>30.771821120689658</v>
      </c>
      <c r="P109" s="55">
        <v>32.551904558244644</v>
      </c>
      <c r="Q109" s="57">
        <v>33.218729735351332</v>
      </c>
      <c r="R109" s="55">
        <v>31.681447282470298</v>
      </c>
      <c r="S109" s="55">
        <v>32.3111904458328</v>
      </c>
      <c r="T109" s="55">
        <v>30.540817943328356</v>
      </c>
      <c r="U109" s="57">
        <v>28.291799520282051</v>
      </c>
      <c r="V109" s="55">
        <v>27</v>
      </c>
      <c r="W109" s="55">
        <v>23.44931921331316</v>
      </c>
      <c r="X109" s="55">
        <v>22.432501708817497</v>
      </c>
      <c r="Y109" s="57">
        <v>22.694409415720891</v>
      </c>
      <c r="Z109" s="55">
        <v>21.929788712248151</v>
      </c>
      <c r="AA109" s="55">
        <v>25.4</v>
      </c>
      <c r="AB109" s="55">
        <v>27.985326361949735</v>
      </c>
      <c r="AC109" s="57">
        <v>29.5</v>
      </c>
      <c r="AD109" s="55">
        <v>30.710395643120297</v>
      </c>
      <c r="AE109" s="55">
        <v>30.42812254516889</v>
      </c>
      <c r="AF109" s="55">
        <v>29.184922330448636</v>
      </c>
      <c r="AG109" s="57">
        <v>28.39510347626133</v>
      </c>
      <c r="AH109" s="55">
        <v>27.654902459981539</v>
      </c>
      <c r="AI109" s="55">
        <v>29.33</v>
      </c>
      <c r="AJ109" s="55">
        <v>27.938984833873938</v>
      </c>
      <c r="AK109" s="57">
        <v>26.767519087219366</v>
      </c>
      <c r="AL109" s="55">
        <v>24.927117674304551</v>
      </c>
      <c r="AM109" s="55">
        <v>22.944745744509479</v>
      </c>
      <c r="AN109" s="55">
        <v>22.618017876333514</v>
      </c>
      <c r="AO109" s="57">
        <v>22.174531416670902</v>
      </c>
      <c r="AP109" s="55">
        <v>22.1</v>
      </c>
      <c r="AQ109" s="55">
        <v>22.406607940508572</v>
      </c>
      <c r="AR109" s="55">
        <v>21.216971607279174</v>
      </c>
      <c r="AS109" s="57">
        <v>20.870535714285715</v>
      </c>
      <c r="AT109" s="55">
        <v>20.32739873342096</v>
      </c>
      <c r="AU109" s="55">
        <v>20.875253885031412</v>
      </c>
    </row>
    <row r="110" spans="1:47" ht="13">
      <c r="A110" s="45" t="s">
        <v>162</v>
      </c>
      <c r="B110" s="74"/>
      <c r="C110" s="74"/>
      <c r="D110" s="48"/>
      <c r="E110" s="74"/>
      <c r="F110" s="74"/>
      <c r="G110" s="74"/>
      <c r="H110" s="74"/>
      <c r="I110" s="74"/>
      <c r="J110" s="74"/>
      <c r="K110" s="74"/>
      <c r="L110" s="74"/>
      <c r="M110" s="76"/>
      <c r="N110" s="74"/>
      <c r="O110" s="74"/>
      <c r="P110" s="74"/>
      <c r="Q110" s="63"/>
      <c r="R110" s="74"/>
      <c r="S110" s="74"/>
      <c r="T110" s="74"/>
      <c r="U110" s="77"/>
      <c r="V110" s="74"/>
      <c r="W110" s="74"/>
      <c r="X110" s="74"/>
      <c r="Y110" s="77"/>
      <c r="Z110" s="74"/>
      <c r="AA110" s="74"/>
      <c r="AB110" s="74"/>
      <c r="AC110" s="77"/>
      <c r="AD110" s="74"/>
      <c r="AE110" s="74"/>
      <c r="AF110" s="74"/>
      <c r="AG110" s="77"/>
      <c r="AH110" s="74"/>
      <c r="AI110" s="74"/>
      <c r="AJ110" s="74"/>
      <c r="AK110" s="77"/>
      <c r="AL110" s="74"/>
      <c r="AM110" s="74"/>
      <c r="AN110" s="74"/>
      <c r="AO110" s="77"/>
      <c r="AP110" s="74"/>
      <c r="AQ110" s="74"/>
      <c r="AR110" s="74"/>
      <c r="AS110" s="77"/>
      <c r="AT110" s="74"/>
      <c r="AU110" s="74"/>
    </row>
    <row r="111" spans="1:47" ht="13">
      <c r="A111" s="45" t="s">
        <v>249</v>
      </c>
      <c r="B111" s="74"/>
      <c r="C111" s="74"/>
      <c r="D111" s="48"/>
      <c r="E111" s="74"/>
      <c r="F111" s="74"/>
      <c r="G111" s="74"/>
      <c r="H111" s="74"/>
      <c r="I111" s="74"/>
      <c r="J111" s="74"/>
      <c r="K111" s="74"/>
      <c r="L111" s="74"/>
      <c r="M111" s="76"/>
      <c r="N111" s="74"/>
      <c r="O111" s="74"/>
      <c r="P111" s="74"/>
      <c r="Q111" s="63"/>
      <c r="R111" s="74"/>
      <c r="S111" s="74"/>
      <c r="T111" s="74"/>
      <c r="U111" s="77"/>
      <c r="V111" s="74"/>
      <c r="W111" s="74"/>
      <c r="X111" s="74"/>
      <c r="Y111" s="77"/>
      <c r="Z111" s="74"/>
      <c r="AA111" s="74"/>
      <c r="AB111" s="74"/>
      <c r="AC111" s="77"/>
      <c r="AD111" s="74"/>
      <c r="AE111" s="74"/>
      <c r="AF111" s="74"/>
      <c r="AG111" s="77"/>
      <c r="AH111" s="74"/>
      <c r="AI111" s="74"/>
      <c r="AJ111" s="74"/>
      <c r="AK111" s="33"/>
      <c r="AL111" s="74"/>
      <c r="AM111" s="74"/>
      <c r="AN111" s="74"/>
      <c r="AO111" s="33"/>
      <c r="AP111" s="74"/>
      <c r="AQ111" s="74"/>
      <c r="AR111" s="74"/>
      <c r="AS111" s="33"/>
      <c r="AT111" s="74"/>
      <c r="AU111" s="74"/>
    </row>
    <row r="112" spans="1:47" ht="13">
      <c r="A112" s="45" t="s">
        <v>250</v>
      </c>
      <c r="B112" s="31"/>
      <c r="C112" s="31"/>
      <c r="D112" s="32"/>
      <c r="E112" s="31"/>
      <c r="F112" s="31"/>
      <c r="G112" s="31"/>
      <c r="H112" s="31"/>
      <c r="I112" s="31"/>
      <c r="J112" s="31"/>
      <c r="K112" s="31"/>
      <c r="L112" s="31"/>
      <c r="M112" s="31"/>
      <c r="N112" s="31"/>
      <c r="O112" s="31"/>
      <c r="P112" s="31"/>
      <c r="Q112" s="33"/>
      <c r="R112" s="31"/>
      <c r="S112" s="31"/>
      <c r="T112" s="31"/>
      <c r="U112" s="33"/>
      <c r="V112" s="31"/>
      <c r="W112" s="31"/>
      <c r="X112" s="31"/>
      <c r="Y112" s="33"/>
      <c r="Z112" s="31"/>
      <c r="AA112" s="31"/>
      <c r="AB112" s="31"/>
      <c r="AC112" s="33"/>
      <c r="AD112" s="31"/>
      <c r="AE112" s="31"/>
      <c r="AF112" s="31"/>
      <c r="AG112" s="33"/>
      <c r="AH112" s="31"/>
      <c r="AI112" s="31"/>
      <c r="AJ112" s="31"/>
      <c r="AK112" s="33"/>
      <c r="AL112" s="31"/>
      <c r="AM112" s="31"/>
      <c r="AN112" s="31"/>
      <c r="AO112" s="33"/>
      <c r="AP112" s="31"/>
      <c r="AQ112" s="31"/>
      <c r="AR112" s="31"/>
      <c r="AS112" s="33"/>
      <c r="AT112" s="31"/>
      <c r="AU112" s="31"/>
    </row>
    <row r="113" spans="1:47" ht="13">
      <c r="A113" s="31"/>
      <c r="B113" s="31"/>
      <c r="C113" s="31"/>
      <c r="D113" s="32"/>
      <c r="E113" s="31"/>
      <c r="F113" s="31"/>
      <c r="G113" s="31"/>
      <c r="H113" s="31"/>
      <c r="I113" s="31"/>
      <c r="J113" s="31"/>
      <c r="K113" s="31"/>
      <c r="L113" s="31"/>
      <c r="M113" s="31"/>
      <c r="N113" s="31"/>
      <c r="O113" s="31"/>
      <c r="P113" s="31"/>
      <c r="Q113" s="33"/>
      <c r="R113" s="31"/>
      <c r="S113" s="31"/>
      <c r="T113" s="31"/>
      <c r="U113" s="33"/>
      <c r="V113" s="31"/>
      <c r="W113" s="31"/>
      <c r="X113" s="31"/>
      <c r="Y113" s="33"/>
      <c r="Z113" s="31"/>
      <c r="AA113" s="31"/>
      <c r="AB113" s="31"/>
      <c r="AC113" s="33"/>
      <c r="AD113" s="31"/>
      <c r="AE113" s="31"/>
      <c r="AF113" s="31"/>
      <c r="AG113" s="33"/>
      <c r="AH113" s="31"/>
      <c r="AI113" s="31"/>
      <c r="AJ113" s="31"/>
      <c r="AK113" s="33"/>
      <c r="AL113" s="31"/>
      <c r="AM113" s="31"/>
      <c r="AN113" s="31"/>
      <c r="AO113" s="33"/>
      <c r="AP113" s="31"/>
      <c r="AQ113" s="31"/>
      <c r="AR113" s="31"/>
      <c r="AS113" s="33"/>
      <c r="AT113" s="31"/>
      <c r="AU113" s="31"/>
    </row>
    <row r="114" spans="1:47" ht="14">
      <c r="A114" s="46" t="s">
        <v>251</v>
      </c>
      <c r="B114" s="47">
        <v>2015</v>
      </c>
      <c r="C114" s="47">
        <v>2016</v>
      </c>
      <c r="D114" s="47" t="s">
        <v>127</v>
      </c>
      <c r="E114" s="47">
        <v>2018</v>
      </c>
      <c r="F114" s="47">
        <v>2019</v>
      </c>
      <c r="G114" s="47">
        <v>2020</v>
      </c>
      <c r="H114" s="47">
        <v>2021</v>
      </c>
      <c r="I114" s="47">
        <v>2022</v>
      </c>
      <c r="J114" s="47">
        <v>2023</v>
      </c>
      <c r="K114" s="47">
        <v>2024</v>
      </c>
      <c r="L114" s="47">
        <v>2025</v>
      </c>
      <c r="M114" s="48"/>
      <c r="N114" s="49" t="s">
        <v>128</v>
      </c>
      <c r="O114" s="49" t="s">
        <v>129</v>
      </c>
      <c r="P114" s="49" t="s">
        <v>130</v>
      </c>
      <c r="Q114" s="50" t="s">
        <v>131</v>
      </c>
      <c r="R114" s="49" t="s">
        <v>132</v>
      </c>
      <c r="S114" s="49" t="s">
        <v>133</v>
      </c>
      <c r="T114" s="49" t="s">
        <v>134</v>
      </c>
      <c r="U114" s="50" t="s">
        <v>135</v>
      </c>
      <c r="V114" s="49" t="s">
        <v>136</v>
      </c>
      <c r="W114" s="49" t="s">
        <v>137</v>
      </c>
      <c r="X114" s="49" t="s">
        <v>138</v>
      </c>
      <c r="Y114" s="50" t="s">
        <v>139</v>
      </c>
      <c r="Z114" s="49" t="s">
        <v>140</v>
      </c>
      <c r="AA114" s="49" t="s">
        <v>141</v>
      </c>
      <c r="AB114" s="49" t="s">
        <v>142</v>
      </c>
      <c r="AC114" s="50" t="s">
        <v>143</v>
      </c>
      <c r="AD114" s="49" t="s">
        <v>144</v>
      </c>
      <c r="AE114" s="49" t="s">
        <v>145</v>
      </c>
      <c r="AF114" s="49" t="s">
        <v>146</v>
      </c>
      <c r="AG114" s="50" t="s">
        <v>147</v>
      </c>
      <c r="AH114" s="49" t="s">
        <v>148</v>
      </c>
      <c r="AI114" s="49" t="s">
        <v>149</v>
      </c>
      <c r="AJ114" s="49" t="s">
        <v>150</v>
      </c>
      <c r="AK114" s="50" t="s">
        <v>151</v>
      </c>
      <c r="AL114" s="49" t="s">
        <v>152</v>
      </c>
      <c r="AM114" s="49" t="s">
        <v>153</v>
      </c>
      <c r="AN114" s="49" t="s">
        <v>154</v>
      </c>
      <c r="AO114" s="50" t="s">
        <v>155</v>
      </c>
      <c r="AP114" s="49" t="s">
        <v>156</v>
      </c>
      <c r="AQ114" s="49" t="s">
        <v>157</v>
      </c>
      <c r="AR114" s="49" t="s">
        <v>158</v>
      </c>
      <c r="AS114" s="50" t="s">
        <v>820</v>
      </c>
      <c r="AT114" s="49" t="s">
        <v>1275</v>
      </c>
      <c r="AU114" s="49" t="s">
        <v>1344</v>
      </c>
    </row>
    <row r="115" spans="1:47" ht="13">
      <c r="A115" s="37" t="s">
        <v>252</v>
      </c>
      <c r="B115" s="38">
        <v>5858</v>
      </c>
      <c r="C115" s="38">
        <v>5402</v>
      </c>
      <c r="D115" s="38">
        <v>5176</v>
      </c>
      <c r="E115" s="38">
        <v>4324</v>
      </c>
      <c r="F115" s="38">
        <v>7228</v>
      </c>
      <c r="G115" s="38">
        <v>8334</v>
      </c>
      <c r="H115" s="38">
        <v>7607</v>
      </c>
      <c r="I115" s="38">
        <v>5558</v>
      </c>
      <c r="J115" s="38">
        <v>7143</v>
      </c>
      <c r="K115" s="38">
        <v>10461</v>
      </c>
      <c r="L115" s="38">
        <v>10675</v>
      </c>
      <c r="M115" s="38"/>
      <c r="N115" s="38">
        <v>979</v>
      </c>
      <c r="O115" s="38">
        <v>-62</v>
      </c>
      <c r="P115" s="38">
        <v>920</v>
      </c>
      <c r="Q115" s="39">
        <v>2487</v>
      </c>
      <c r="R115" s="38">
        <v>589</v>
      </c>
      <c r="S115" s="38">
        <v>1610</v>
      </c>
      <c r="T115" s="38">
        <v>1852</v>
      </c>
      <c r="U115" s="39">
        <v>3177</v>
      </c>
      <c r="V115" s="38">
        <v>1781</v>
      </c>
      <c r="W115" s="38">
        <v>2383</v>
      </c>
      <c r="X115" s="38">
        <v>1819</v>
      </c>
      <c r="Y115" s="39">
        <v>2351</v>
      </c>
      <c r="Z115" s="38">
        <v>1823</v>
      </c>
      <c r="AA115" s="38">
        <v>1422</v>
      </c>
      <c r="AB115" s="38">
        <v>1818</v>
      </c>
      <c r="AC115" s="39">
        <v>2544</v>
      </c>
      <c r="AD115" s="38">
        <v>751</v>
      </c>
      <c r="AE115" s="38">
        <v>1400</v>
      </c>
      <c r="AF115" s="38">
        <v>1664</v>
      </c>
      <c r="AG115" s="39">
        <v>1743</v>
      </c>
      <c r="AH115" s="38">
        <v>739</v>
      </c>
      <c r="AI115" s="38">
        <v>1694</v>
      </c>
      <c r="AJ115" s="38">
        <v>1917</v>
      </c>
      <c r="AK115" s="39">
        <v>2793</v>
      </c>
      <c r="AL115" s="38">
        <v>2404</v>
      </c>
      <c r="AM115" s="38">
        <v>1611</v>
      </c>
      <c r="AN115" s="38">
        <v>2501</v>
      </c>
      <c r="AO115" s="39">
        <v>3945</v>
      </c>
      <c r="AP115" s="38">
        <v>2588</v>
      </c>
      <c r="AQ115" s="38">
        <v>2122</v>
      </c>
      <c r="AR115" s="38">
        <v>2884</v>
      </c>
      <c r="AS115" s="39">
        <v>3081</v>
      </c>
      <c r="AT115" s="38">
        <v>1656</v>
      </c>
      <c r="AU115" s="38">
        <v>1972</v>
      </c>
    </row>
    <row r="116" spans="1:47" ht="13">
      <c r="A116" s="37" t="s">
        <v>253</v>
      </c>
      <c r="B116" s="38">
        <v>-3175</v>
      </c>
      <c r="C116" s="38">
        <v>-1805</v>
      </c>
      <c r="D116" s="38">
        <v>5543</v>
      </c>
      <c r="E116" s="38">
        <v>-1337</v>
      </c>
      <c r="F116" s="38">
        <v>-1655</v>
      </c>
      <c r="G116" s="38">
        <v>-608</v>
      </c>
      <c r="H116" s="38">
        <v>-3473</v>
      </c>
      <c r="I116" s="38">
        <v>-5991</v>
      </c>
      <c r="J116" s="38">
        <v>-5237</v>
      </c>
      <c r="K116" s="38">
        <v>-11691</v>
      </c>
      <c r="L116" s="38">
        <v>-2239</v>
      </c>
      <c r="M116" s="38"/>
      <c r="N116" s="38">
        <v>-841</v>
      </c>
      <c r="O116" s="38">
        <v>-317</v>
      </c>
      <c r="P116" s="38">
        <v>62</v>
      </c>
      <c r="Q116" s="39">
        <v>-241</v>
      </c>
      <c r="R116" s="38">
        <v>-828</v>
      </c>
      <c r="S116" s="38">
        <v>-763</v>
      </c>
      <c r="T116" s="38">
        <v>-71</v>
      </c>
      <c r="U116" s="39">
        <v>7</v>
      </c>
      <c r="V116" s="38">
        <v>-200</v>
      </c>
      <c r="W116" s="38">
        <v>-119</v>
      </c>
      <c r="X116" s="38">
        <v>-183</v>
      </c>
      <c r="Y116" s="39">
        <v>-106</v>
      </c>
      <c r="Z116" s="38">
        <v>-333</v>
      </c>
      <c r="AA116" s="38">
        <v>-1486</v>
      </c>
      <c r="AB116" s="38">
        <v>-802</v>
      </c>
      <c r="AC116" s="39">
        <v>-852</v>
      </c>
      <c r="AD116" s="38">
        <v>-354</v>
      </c>
      <c r="AE116" s="38">
        <v>-623</v>
      </c>
      <c r="AF116" s="38">
        <v>-587</v>
      </c>
      <c r="AG116" s="39">
        <v>-4427</v>
      </c>
      <c r="AH116" s="38">
        <v>-3739</v>
      </c>
      <c r="AI116" s="38">
        <v>-774</v>
      </c>
      <c r="AJ116" s="38">
        <v>-371</v>
      </c>
      <c r="AK116" s="39">
        <v>-353</v>
      </c>
      <c r="AL116" s="38">
        <v>-511</v>
      </c>
      <c r="AM116" s="38">
        <v>-8703</v>
      </c>
      <c r="AN116" s="38">
        <v>-1730</v>
      </c>
      <c r="AO116" s="39">
        <v>-747</v>
      </c>
      <c r="AP116" s="38">
        <v>-281</v>
      </c>
      <c r="AQ116" s="38">
        <v>-692</v>
      </c>
      <c r="AR116" s="38">
        <v>-527</v>
      </c>
      <c r="AS116" s="39">
        <v>-739</v>
      </c>
      <c r="AT116" s="38">
        <v>-707</v>
      </c>
      <c r="AU116" s="38">
        <v>-516</v>
      </c>
    </row>
    <row r="117" spans="1:47" ht="13">
      <c r="A117" s="37" t="s">
        <v>254</v>
      </c>
      <c r="B117" s="38" t="s">
        <v>192</v>
      </c>
      <c r="C117" s="38" t="s">
        <v>192</v>
      </c>
      <c r="D117" s="38">
        <v>137</v>
      </c>
      <c r="E117" s="38">
        <v>546</v>
      </c>
      <c r="F117" s="38">
        <v>984</v>
      </c>
      <c r="G117" s="38">
        <v>75</v>
      </c>
      <c r="H117" s="38">
        <v>2352</v>
      </c>
      <c r="I117" s="38">
        <v>4686</v>
      </c>
      <c r="J117" s="38">
        <v>3666</v>
      </c>
      <c r="K117" s="38">
        <v>9658</v>
      </c>
      <c r="L117" s="38">
        <v>87</v>
      </c>
      <c r="M117" s="38"/>
      <c r="N117" s="38">
        <v>482</v>
      </c>
      <c r="O117" s="38" t="s">
        <v>192</v>
      </c>
      <c r="P117" s="38" t="s">
        <v>192</v>
      </c>
      <c r="Q117" s="39">
        <v>64</v>
      </c>
      <c r="R117" s="38">
        <v>449</v>
      </c>
      <c r="S117" s="38">
        <v>578</v>
      </c>
      <c r="T117" s="38">
        <v>-33</v>
      </c>
      <c r="U117" s="39">
        <v>-10</v>
      </c>
      <c r="V117" s="38">
        <v>15</v>
      </c>
      <c r="W117" s="38">
        <v>28</v>
      </c>
      <c r="X117" s="38">
        <v>31</v>
      </c>
      <c r="Y117" s="39">
        <v>1</v>
      </c>
      <c r="Z117" s="38" t="s">
        <v>192</v>
      </c>
      <c r="AA117" s="38">
        <v>1282</v>
      </c>
      <c r="AB117" s="38">
        <v>492</v>
      </c>
      <c r="AC117" s="39">
        <v>578</v>
      </c>
      <c r="AD117" s="38">
        <v>18</v>
      </c>
      <c r="AE117" s="38">
        <v>257</v>
      </c>
      <c r="AF117" s="38">
        <v>210</v>
      </c>
      <c r="AG117" s="39">
        <v>4201</v>
      </c>
      <c r="AH117" s="38">
        <v>3279</v>
      </c>
      <c r="AI117" s="38">
        <v>38</v>
      </c>
      <c r="AJ117" s="38">
        <v>7</v>
      </c>
      <c r="AK117" s="39">
        <v>342</v>
      </c>
      <c r="AL117" s="38">
        <v>0</v>
      </c>
      <c r="AM117" s="38">
        <v>8294</v>
      </c>
      <c r="AN117" s="38">
        <v>1080</v>
      </c>
      <c r="AO117" s="39">
        <v>284</v>
      </c>
      <c r="AP117" s="38">
        <v>74</v>
      </c>
      <c r="AQ117" s="38">
        <v>13</v>
      </c>
      <c r="AR117" s="38" t="s">
        <v>192</v>
      </c>
      <c r="AS117" s="39" t="s">
        <v>192</v>
      </c>
      <c r="AT117" s="38">
        <v>145</v>
      </c>
      <c r="AU117" s="38">
        <v>8</v>
      </c>
    </row>
    <row r="118" spans="1:47" ht="14">
      <c r="A118" s="37" t="s">
        <v>255</v>
      </c>
      <c r="B118" s="58">
        <v>2947</v>
      </c>
      <c r="C118" s="58">
        <v>1283</v>
      </c>
      <c r="D118" s="38">
        <v>-6246</v>
      </c>
      <c r="E118" s="58">
        <v>351</v>
      </c>
      <c r="F118" s="58">
        <v>131</v>
      </c>
      <c r="G118" s="58">
        <v>-795</v>
      </c>
      <c r="H118" s="58">
        <v>381</v>
      </c>
      <c r="I118" s="58">
        <v>1409</v>
      </c>
      <c r="J118" s="58">
        <v>639</v>
      </c>
      <c r="K118" s="58">
        <v>704</v>
      </c>
      <c r="L118" s="58">
        <v>-797</v>
      </c>
      <c r="M118" s="58"/>
      <c r="N118" s="58">
        <v>46</v>
      </c>
      <c r="O118" s="58">
        <v>578</v>
      </c>
      <c r="P118" s="58">
        <v>-205</v>
      </c>
      <c r="Q118" s="51">
        <v>-68</v>
      </c>
      <c r="R118" s="58">
        <v>262</v>
      </c>
      <c r="S118" s="58">
        <v>81</v>
      </c>
      <c r="T118" s="58">
        <v>135</v>
      </c>
      <c r="U118" s="51">
        <v>-347</v>
      </c>
      <c r="V118" s="58">
        <v>-64</v>
      </c>
      <c r="W118" s="58">
        <v>-329</v>
      </c>
      <c r="X118" s="58">
        <v>-312</v>
      </c>
      <c r="Y118" s="51">
        <v>-90</v>
      </c>
      <c r="Z118" s="58">
        <v>120</v>
      </c>
      <c r="AA118" s="58">
        <v>11</v>
      </c>
      <c r="AB118" s="58">
        <v>105</v>
      </c>
      <c r="AC118" s="51">
        <v>145</v>
      </c>
      <c r="AD118" s="58">
        <v>452</v>
      </c>
      <c r="AE118" s="58">
        <v>428</v>
      </c>
      <c r="AF118" s="58">
        <v>527</v>
      </c>
      <c r="AG118" s="51">
        <v>2</v>
      </c>
      <c r="AH118" s="58">
        <v>59</v>
      </c>
      <c r="AI118" s="58">
        <v>591</v>
      </c>
      <c r="AJ118" s="58">
        <v>336</v>
      </c>
      <c r="AK118" s="51">
        <v>-347</v>
      </c>
      <c r="AL118" s="58">
        <v>-115</v>
      </c>
      <c r="AM118" s="58">
        <v>407</v>
      </c>
      <c r="AN118" s="58">
        <v>-62</v>
      </c>
      <c r="AO118" s="51">
        <v>474</v>
      </c>
      <c r="AP118" s="58">
        <v>-812</v>
      </c>
      <c r="AQ118" s="58">
        <v>-339</v>
      </c>
      <c r="AR118" s="58">
        <v>119</v>
      </c>
      <c r="AS118" s="51">
        <v>235</v>
      </c>
      <c r="AT118" s="58">
        <v>206</v>
      </c>
      <c r="AU118" s="58">
        <v>438</v>
      </c>
    </row>
    <row r="119" spans="1:47" ht="13">
      <c r="A119" s="40" t="s">
        <v>91</v>
      </c>
      <c r="B119" s="52">
        <v>5630</v>
      </c>
      <c r="C119" s="52">
        <v>4880</v>
      </c>
      <c r="D119" s="52">
        <v>4610</v>
      </c>
      <c r="E119" s="52">
        <v>3884</v>
      </c>
      <c r="F119" s="52">
        <v>6688</v>
      </c>
      <c r="G119" s="52">
        <v>7006</v>
      </c>
      <c r="H119" s="52">
        <v>6867</v>
      </c>
      <c r="I119" s="52">
        <v>5662</v>
      </c>
      <c r="J119" s="52">
        <v>6211</v>
      </c>
      <c r="K119" s="52">
        <v>9132</v>
      </c>
      <c r="L119" s="52">
        <v>7726</v>
      </c>
      <c r="M119" s="53"/>
      <c r="N119" s="52">
        <v>666</v>
      </c>
      <c r="O119" s="52">
        <v>199</v>
      </c>
      <c r="P119" s="52">
        <v>777</v>
      </c>
      <c r="Q119" s="54">
        <v>2242</v>
      </c>
      <c r="R119" s="52">
        <v>472</v>
      </c>
      <c r="S119" s="52">
        <v>1506</v>
      </c>
      <c r="T119" s="52">
        <v>1883</v>
      </c>
      <c r="U119" s="54">
        <v>2827</v>
      </c>
      <c r="V119" s="52">
        <v>1532</v>
      </c>
      <c r="W119" s="52">
        <v>1963</v>
      </c>
      <c r="X119" s="52">
        <v>1355</v>
      </c>
      <c r="Y119" s="54">
        <v>2156</v>
      </c>
      <c r="Z119" s="52">
        <v>1610</v>
      </c>
      <c r="AA119" s="52">
        <v>1229</v>
      </c>
      <c r="AB119" s="52">
        <v>1613</v>
      </c>
      <c r="AC119" s="54">
        <v>2415</v>
      </c>
      <c r="AD119" s="52">
        <v>867</v>
      </c>
      <c r="AE119" s="52">
        <v>1462</v>
      </c>
      <c r="AF119" s="52">
        <v>1814</v>
      </c>
      <c r="AG119" s="54">
        <v>1519</v>
      </c>
      <c r="AH119" s="52">
        <v>338</v>
      </c>
      <c r="AI119" s="52">
        <v>1549</v>
      </c>
      <c r="AJ119" s="52">
        <v>1889</v>
      </c>
      <c r="AK119" s="54">
        <v>2435</v>
      </c>
      <c r="AL119" s="52">
        <v>1778</v>
      </c>
      <c r="AM119" s="52">
        <v>1609</v>
      </c>
      <c r="AN119" s="52">
        <v>1789</v>
      </c>
      <c r="AO119" s="54">
        <v>3956</v>
      </c>
      <c r="AP119" s="52">
        <v>1569</v>
      </c>
      <c r="AQ119" s="52">
        <v>1104</v>
      </c>
      <c r="AR119" s="52">
        <v>2476</v>
      </c>
      <c r="AS119" s="54">
        <v>2577</v>
      </c>
      <c r="AT119" s="52">
        <v>1300</v>
      </c>
      <c r="AU119" s="52">
        <v>1902</v>
      </c>
    </row>
    <row r="120" spans="1:47" ht="13">
      <c r="A120" s="37" t="s">
        <v>256</v>
      </c>
      <c r="B120" s="38">
        <v>1212</v>
      </c>
      <c r="C120" s="38">
        <v>1212</v>
      </c>
      <c r="D120" s="38">
        <v>1212</v>
      </c>
      <c r="E120" s="38">
        <v>1205.607634</v>
      </c>
      <c r="F120" s="38">
        <v>1200.8869999999999</v>
      </c>
      <c r="G120" s="38">
        <v>1206</v>
      </c>
      <c r="H120" s="38">
        <v>1206</v>
      </c>
      <c r="I120" s="38">
        <v>1206</v>
      </c>
      <c r="J120" s="38">
        <v>1206</v>
      </c>
      <c r="K120" s="38">
        <v>1208</v>
      </c>
      <c r="L120" s="38">
        <v>1209</v>
      </c>
      <c r="M120" s="38"/>
      <c r="N120" s="38">
        <v>1212</v>
      </c>
      <c r="O120" s="38">
        <v>1214</v>
      </c>
      <c r="P120" s="38">
        <v>1209.8633910000001</v>
      </c>
      <c r="Q120" s="39">
        <v>1200.9032130000001</v>
      </c>
      <c r="R120" s="38">
        <v>1199.222</v>
      </c>
      <c r="S120" s="38">
        <v>1199.80457</v>
      </c>
      <c r="T120" s="38">
        <v>1201.713493</v>
      </c>
      <c r="U120" s="39">
        <v>1202.696021</v>
      </c>
      <c r="V120" s="38">
        <v>1203</v>
      </c>
      <c r="W120" s="38">
        <v>1203.9224839999999</v>
      </c>
      <c r="X120" s="38">
        <v>1204.855</v>
      </c>
      <c r="Y120" s="39">
        <v>1205.7180000000001</v>
      </c>
      <c r="Z120" s="38">
        <v>1205.999</v>
      </c>
      <c r="AA120" s="38">
        <v>1206</v>
      </c>
      <c r="AB120" s="38">
        <v>1206.645</v>
      </c>
      <c r="AC120" s="39">
        <v>1206.181</v>
      </c>
      <c r="AD120" s="38">
        <v>1206.2950000000001</v>
      </c>
      <c r="AE120" s="38">
        <v>1206.557</v>
      </c>
      <c r="AF120" s="38">
        <v>1206.5709999999999</v>
      </c>
      <c r="AG120" s="39">
        <v>1205.903</v>
      </c>
      <c r="AH120" s="38">
        <v>1205.826</v>
      </c>
      <c r="AI120" s="38">
        <v>1206</v>
      </c>
      <c r="AJ120" s="38">
        <v>1206.7383717076923</v>
      </c>
      <c r="AK120" s="39">
        <v>1206.8609714603172</v>
      </c>
      <c r="AL120" s="38">
        <v>1207.1120745714286</v>
      </c>
      <c r="AM120" s="38">
        <v>1207.8629251999998</v>
      </c>
      <c r="AN120" s="38">
        <v>1208.1109288030302</v>
      </c>
      <c r="AO120" s="39">
        <v>1208.2847726612904</v>
      </c>
      <c r="AP120" s="38">
        <v>1209</v>
      </c>
      <c r="AQ120" s="38">
        <v>1208.9256568135593</v>
      </c>
      <c r="AR120" s="38">
        <v>1208.988580121212</v>
      </c>
      <c r="AS120" s="39">
        <v>1209.0059710806449</v>
      </c>
      <c r="AT120" s="38">
        <v>1209.5862698064516</v>
      </c>
      <c r="AU120" s="38">
        <v>1209.8898396333334</v>
      </c>
    </row>
    <row r="121" spans="1:47" ht="13">
      <c r="A121" s="40" t="s">
        <v>257</v>
      </c>
      <c r="B121" s="41">
        <v>4.5999999999999996</v>
      </c>
      <c r="C121" s="55">
        <v>4</v>
      </c>
      <c r="D121" s="55">
        <v>3.8</v>
      </c>
      <c r="E121" s="55">
        <v>3.2216119825930036</v>
      </c>
      <c r="F121" s="55">
        <v>5.5692167539493731</v>
      </c>
      <c r="G121" s="55">
        <v>5.8</v>
      </c>
      <c r="H121" s="55">
        <v>5.69</v>
      </c>
      <c r="I121" s="55">
        <v>4.7</v>
      </c>
      <c r="J121" s="55">
        <v>5.15</v>
      </c>
      <c r="K121" s="55">
        <v>7.6</v>
      </c>
      <c r="L121" s="55">
        <v>6.39</v>
      </c>
      <c r="M121" s="56"/>
      <c r="N121" s="55">
        <v>0.5</v>
      </c>
      <c r="O121" s="55">
        <v>0.2</v>
      </c>
      <c r="P121" s="55">
        <v>0.64222126711163541</v>
      </c>
      <c r="Q121" s="57">
        <v>1.8669281385293452</v>
      </c>
      <c r="R121" s="55">
        <v>0.39358850988390809</v>
      </c>
      <c r="S121" s="55">
        <v>1.2552044204999153</v>
      </c>
      <c r="T121" s="55">
        <v>1.566929231442024</v>
      </c>
      <c r="U121" s="57">
        <v>2.3505523845081382</v>
      </c>
      <c r="V121" s="55">
        <v>1.27</v>
      </c>
      <c r="W121" s="55">
        <v>1.6305036462796056</v>
      </c>
      <c r="X121" s="55">
        <v>1.1246166551161758</v>
      </c>
      <c r="Y121" s="57">
        <v>1.7881461502606744</v>
      </c>
      <c r="Z121" s="55">
        <v>1.334992815085253</v>
      </c>
      <c r="AA121" s="55">
        <v>1.02</v>
      </c>
      <c r="AB121" s="55">
        <v>1.3036145676648889</v>
      </c>
      <c r="AC121" s="57">
        <v>2.0021870681100098</v>
      </c>
      <c r="AD121" s="55">
        <v>0.71872966397108495</v>
      </c>
      <c r="AE121" s="55">
        <v>1.211712335181844</v>
      </c>
      <c r="AF121" s="55">
        <v>1.5034341120414796</v>
      </c>
      <c r="AG121" s="57">
        <v>1.2596369691426259</v>
      </c>
      <c r="AH121" s="55">
        <v>0.28030578209459739</v>
      </c>
      <c r="AI121" s="55">
        <v>1.3</v>
      </c>
      <c r="AJ121" s="55">
        <v>1.5653765922159402</v>
      </c>
      <c r="AK121" s="57">
        <v>2.0176309099246277</v>
      </c>
      <c r="AL121" s="55">
        <v>1.4729369686996616</v>
      </c>
      <c r="AM121" s="55">
        <v>1.3321047996680413</v>
      </c>
      <c r="AN121" s="55">
        <v>1.4800364414976033</v>
      </c>
      <c r="AO121" s="57">
        <v>3.274062612977211</v>
      </c>
      <c r="AP121" s="55" t="s">
        <v>258</v>
      </c>
      <c r="AQ121" s="55">
        <v>0.91320751923644472</v>
      </c>
      <c r="AR121" s="55">
        <v>2.0479928766173776</v>
      </c>
      <c r="AS121" s="57">
        <v>2.1315031204491093</v>
      </c>
      <c r="AT121" s="55">
        <v>1.0747476492172945</v>
      </c>
      <c r="AU121" s="55">
        <v>1.5720439478824089</v>
      </c>
    </row>
    <row r="122" spans="1:47" ht="13">
      <c r="A122" s="45" t="s">
        <v>166</v>
      </c>
      <c r="B122" s="60"/>
      <c r="C122" s="60"/>
      <c r="D122" s="60"/>
      <c r="E122" s="60"/>
      <c r="F122" s="60"/>
      <c r="G122" s="60"/>
      <c r="H122" s="60"/>
      <c r="I122" s="60"/>
      <c r="J122" s="60"/>
      <c r="K122" s="60"/>
      <c r="L122" s="60"/>
      <c r="M122" s="60"/>
      <c r="N122" s="60"/>
      <c r="O122" s="60"/>
      <c r="P122" s="60"/>
      <c r="Q122" s="31"/>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S122" s="60"/>
      <c r="AT122" s="60"/>
      <c r="AU122" s="60"/>
    </row>
    <row r="123" spans="1:47" ht="13">
      <c r="A123" s="45" t="s">
        <v>259</v>
      </c>
      <c r="B123" s="31"/>
      <c r="C123" s="31"/>
      <c r="D123" s="32"/>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S123" s="31"/>
      <c r="AT123" s="31"/>
      <c r="AU123" s="31"/>
    </row>
  </sheetData>
  <hyperlinks>
    <hyperlink ref="A2" location="'START PAGE'!A1" display="Back to start page" xr:uid="{32A142EE-9F9C-4723-A0E3-14BD1BE92556}"/>
  </hyperlinks>
  <pageMargins left="0.70866141732283472" right="0.70866141732283472" top="0.74803149606299213" bottom="0.74803149606299213" header="0.31496062992125984" footer="0.31496062992125984"/>
  <pageSetup paperSize="8" scale="78"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7EF18-8312-4A9F-81C9-8723A004D0F9}">
  <sheetPr>
    <tabColor rgb="FFFFCD00"/>
    <pageSetUpPr fitToPage="1"/>
  </sheetPr>
  <dimension ref="A1:AY25"/>
  <sheetViews>
    <sheetView showGridLines="0" workbookViewId="0"/>
  </sheetViews>
  <sheetFormatPr baseColWidth="10" defaultColWidth="10" defaultRowHeight="13.5" customHeight="1"/>
  <cols>
    <col min="1" max="1" width="35.6640625" bestFit="1" customWidth="1"/>
    <col min="2" max="11" width="8.5" bestFit="1" customWidth="1"/>
    <col min="12" max="12" width="8.5" customWidth="1"/>
    <col min="13" max="13" width="7.6640625" customWidth="1"/>
    <col min="14" max="14" width="9.5" customWidth="1"/>
    <col min="15" max="15" width="6.6640625" customWidth="1"/>
    <col min="16" max="19" width="7.33203125" customWidth="1"/>
    <col min="20" max="20" width="6.6640625" customWidth="1"/>
    <col min="21" max="23" width="7.33203125" customWidth="1"/>
    <col min="24" max="24" width="6.6640625" customWidth="1"/>
    <col min="25" max="37" width="7.33203125" customWidth="1"/>
    <col min="38" max="47" width="7.33203125" bestFit="1" customWidth="1"/>
    <col min="48" max="48" width="7.33203125" customWidth="1"/>
    <col min="49" max="51" width="7.33203125" bestFit="1" customWidth="1"/>
  </cols>
  <sheetData>
    <row r="1" spans="1:51" ht="17" thickBot="1">
      <c r="A1" s="1" t="s">
        <v>260</v>
      </c>
      <c r="B1" s="87" t="s">
        <v>124</v>
      </c>
      <c r="C1" s="88"/>
      <c r="D1" s="88"/>
      <c r="E1" s="88"/>
      <c r="F1" s="88"/>
      <c r="G1" s="88"/>
      <c r="H1" s="88"/>
      <c r="I1" s="88"/>
      <c r="J1" s="88"/>
      <c r="K1" s="88"/>
      <c r="L1" s="88"/>
      <c r="M1" s="89"/>
      <c r="N1" s="87" t="s">
        <v>125</v>
      </c>
      <c r="O1" s="88"/>
      <c r="P1" s="88"/>
      <c r="Q1" s="90"/>
      <c r="R1" s="88"/>
      <c r="S1" s="88"/>
      <c r="T1" s="88"/>
      <c r="U1" s="91"/>
      <c r="V1" s="87"/>
      <c r="W1" s="87"/>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90"/>
      <c r="AX1" s="88"/>
      <c r="AY1" s="88"/>
    </row>
    <row r="2" spans="1:51" ht="15" thickTop="1" thickBot="1">
      <c r="A2" s="18" t="s">
        <v>30</v>
      </c>
      <c r="B2" s="89"/>
      <c r="C2" s="89"/>
      <c r="D2" s="89"/>
      <c r="E2" s="89"/>
      <c r="F2" s="89"/>
      <c r="G2" s="89"/>
      <c r="H2" s="89"/>
      <c r="I2" s="89"/>
      <c r="J2" s="89"/>
      <c r="K2" s="89"/>
      <c r="L2" s="89"/>
      <c r="M2" s="89"/>
      <c r="N2" s="89"/>
      <c r="O2" s="89"/>
      <c r="P2" s="89"/>
      <c r="Q2" s="92"/>
      <c r="R2" s="89"/>
      <c r="S2" s="89"/>
      <c r="T2" s="89"/>
      <c r="U2" s="92"/>
      <c r="V2" s="89"/>
      <c r="W2" s="89"/>
      <c r="X2" s="89"/>
      <c r="Y2" s="92"/>
      <c r="Z2" s="89"/>
      <c r="AA2" s="89"/>
      <c r="AB2" s="89"/>
      <c r="AC2" s="92"/>
      <c r="AD2" s="89"/>
      <c r="AE2" s="89"/>
      <c r="AF2" s="89"/>
      <c r="AG2" s="92"/>
      <c r="AH2" s="89"/>
      <c r="AI2" s="89"/>
      <c r="AJ2" s="89"/>
      <c r="AK2" s="92"/>
      <c r="AL2" s="89"/>
      <c r="AM2" s="89"/>
      <c r="AN2" s="89"/>
      <c r="AO2" s="92"/>
      <c r="AP2" s="89"/>
      <c r="AQ2" s="89"/>
      <c r="AR2" s="89"/>
      <c r="AS2" s="92"/>
      <c r="AT2" s="89"/>
      <c r="AU2" s="89"/>
      <c r="AV2" s="89"/>
      <c r="AW2" s="92"/>
      <c r="AX2" s="89"/>
      <c r="AY2" s="89"/>
    </row>
    <row r="3" spans="1:51" ht="14" thickTop="1">
      <c r="A3" s="953" t="s">
        <v>261</v>
      </c>
      <c r="B3" s="954">
        <v>2015</v>
      </c>
      <c r="C3" s="954">
        <v>2016</v>
      </c>
      <c r="D3" s="954">
        <v>2017</v>
      </c>
      <c r="E3" s="954">
        <v>2018</v>
      </c>
      <c r="F3" s="954" t="s">
        <v>262</v>
      </c>
      <c r="G3" s="954" t="s">
        <v>263</v>
      </c>
      <c r="H3" s="954">
        <v>2021</v>
      </c>
      <c r="I3" s="954">
        <v>2022</v>
      </c>
      <c r="J3" s="954">
        <v>2023</v>
      </c>
      <c r="K3" s="954">
        <v>2024</v>
      </c>
      <c r="L3" s="954">
        <v>2025</v>
      </c>
      <c r="M3" s="89"/>
      <c r="N3" s="49" t="s">
        <v>264</v>
      </c>
      <c r="O3" s="49" t="s">
        <v>265</v>
      </c>
      <c r="P3" s="49" t="s">
        <v>266</v>
      </c>
      <c r="Q3" s="50" t="s">
        <v>267</v>
      </c>
      <c r="R3" s="49" t="s">
        <v>128</v>
      </c>
      <c r="S3" s="49" t="s">
        <v>129</v>
      </c>
      <c r="T3" s="49" t="s">
        <v>130</v>
      </c>
      <c r="U3" s="50" t="s">
        <v>131</v>
      </c>
      <c r="V3" s="49" t="s">
        <v>132</v>
      </c>
      <c r="W3" s="49" t="s">
        <v>133</v>
      </c>
      <c r="X3" s="49" t="s">
        <v>134</v>
      </c>
      <c r="Y3" s="50" t="s">
        <v>135</v>
      </c>
      <c r="Z3" s="49" t="s">
        <v>136</v>
      </c>
      <c r="AA3" s="49" t="s">
        <v>137</v>
      </c>
      <c r="AB3" s="49" t="s">
        <v>138</v>
      </c>
      <c r="AC3" s="50" t="s">
        <v>139</v>
      </c>
      <c r="AD3" s="49" t="s">
        <v>140</v>
      </c>
      <c r="AE3" s="49" t="s">
        <v>141</v>
      </c>
      <c r="AF3" s="49" t="s">
        <v>142</v>
      </c>
      <c r="AG3" s="50" t="s">
        <v>143</v>
      </c>
      <c r="AH3" s="49" t="s">
        <v>144</v>
      </c>
      <c r="AI3" s="49" t="s">
        <v>145</v>
      </c>
      <c r="AJ3" s="49" t="s">
        <v>146</v>
      </c>
      <c r="AK3" s="50" t="s">
        <v>147</v>
      </c>
      <c r="AL3" s="49" t="s">
        <v>148</v>
      </c>
      <c r="AM3" s="49" t="s">
        <v>149</v>
      </c>
      <c r="AN3" s="49" t="s">
        <v>150</v>
      </c>
      <c r="AO3" s="50" t="s">
        <v>151</v>
      </c>
      <c r="AP3" s="49" t="s">
        <v>152</v>
      </c>
      <c r="AQ3" s="49" t="s">
        <v>153</v>
      </c>
      <c r="AR3" s="49" t="s">
        <v>154</v>
      </c>
      <c r="AS3" s="50" t="s">
        <v>155</v>
      </c>
      <c r="AT3" s="49" t="s">
        <v>156</v>
      </c>
      <c r="AU3" s="49" t="s">
        <v>157</v>
      </c>
      <c r="AV3" s="49" t="s">
        <v>158</v>
      </c>
      <c r="AW3" s="50" t="s">
        <v>820</v>
      </c>
      <c r="AX3" s="49" t="s">
        <v>1275</v>
      </c>
      <c r="AY3" s="49" t="s">
        <v>1344</v>
      </c>
    </row>
    <row r="4" spans="1:51" ht="13">
      <c r="A4" s="93" t="s">
        <v>197</v>
      </c>
      <c r="B4" s="94">
        <v>28663</v>
      </c>
      <c r="C4" s="94">
        <v>27102</v>
      </c>
      <c r="D4" s="94">
        <v>31364</v>
      </c>
      <c r="E4" s="94">
        <v>38285</v>
      </c>
      <c r="F4" s="94">
        <v>40849</v>
      </c>
      <c r="G4" s="94">
        <v>36122</v>
      </c>
      <c r="H4" s="94">
        <v>39645</v>
      </c>
      <c r="I4" s="94">
        <v>49694</v>
      </c>
      <c r="J4" s="94">
        <v>60343</v>
      </c>
      <c r="K4" s="94">
        <v>63604</v>
      </c>
      <c r="L4" s="94">
        <v>61998</v>
      </c>
      <c r="M4" s="89"/>
      <c r="N4" s="94">
        <v>7411</v>
      </c>
      <c r="O4" s="94">
        <v>7879</v>
      </c>
      <c r="P4" s="94">
        <v>7610</v>
      </c>
      <c r="Q4" s="95">
        <v>8464</v>
      </c>
      <c r="R4" s="94">
        <v>8233</v>
      </c>
      <c r="S4" s="94">
        <v>9843</v>
      </c>
      <c r="T4" s="94">
        <v>9651</v>
      </c>
      <c r="U4" s="95">
        <v>10558</v>
      </c>
      <c r="V4" s="94">
        <v>9785</v>
      </c>
      <c r="W4" s="94">
        <v>10626</v>
      </c>
      <c r="X4" s="94">
        <v>10158</v>
      </c>
      <c r="Y4" s="95">
        <v>10280</v>
      </c>
      <c r="Z4" s="94">
        <v>9134</v>
      </c>
      <c r="AA4" s="94">
        <v>8458</v>
      </c>
      <c r="AB4" s="94">
        <v>8724</v>
      </c>
      <c r="AC4" s="95">
        <v>9806</v>
      </c>
      <c r="AD4" s="94">
        <v>8773</v>
      </c>
      <c r="AE4" s="94">
        <v>9733</v>
      </c>
      <c r="AF4" s="94">
        <v>9966</v>
      </c>
      <c r="AG4" s="95">
        <v>11173</v>
      </c>
      <c r="AH4" s="94">
        <v>11088</v>
      </c>
      <c r="AI4" s="94">
        <v>11868</v>
      </c>
      <c r="AJ4" s="94">
        <v>12802</v>
      </c>
      <c r="AK4" s="95">
        <v>13936</v>
      </c>
      <c r="AL4" s="94">
        <v>13868</v>
      </c>
      <c r="AM4" s="94">
        <v>15910</v>
      </c>
      <c r="AN4" s="94">
        <v>14997</v>
      </c>
      <c r="AO4" s="95">
        <v>15568</v>
      </c>
      <c r="AP4" s="94">
        <v>14143</v>
      </c>
      <c r="AQ4" s="94">
        <v>16511</v>
      </c>
      <c r="AR4" s="94">
        <v>15699</v>
      </c>
      <c r="AS4" s="95">
        <v>17251</v>
      </c>
      <c r="AT4" s="94">
        <v>15536</v>
      </c>
      <c r="AU4" s="94">
        <v>15130</v>
      </c>
      <c r="AV4" s="94">
        <v>15242</v>
      </c>
      <c r="AW4" s="95">
        <v>16090</v>
      </c>
      <c r="AX4" s="94">
        <v>14351</v>
      </c>
      <c r="AY4" s="94">
        <v>16702</v>
      </c>
    </row>
    <row r="5" spans="1:51" ht="13">
      <c r="A5" s="96" t="s">
        <v>268</v>
      </c>
      <c r="B5" s="94">
        <v>-18463</v>
      </c>
      <c r="C5" s="94">
        <v>-18003</v>
      </c>
      <c r="D5" s="94">
        <v>-20101</v>
      </c>
      <c r="E5" s="94">
        <v>-24317</v>
      </c>
      <c r="F5" s="94">
        <v>-25547</v>
      </c>
      <c r="G5" s="94">
        <v>-22418</v>
      </c>
      <c r="H5" s="94">
        <v>-24192</v>
      </c>
      <c r="I5" s="94">
        <v>-30675</v>
      </c>
      <c r="J5" s="94">
        <v>-37197</v>
      </c>
      <c r="K5" s="94">
        <v>-40658</v>
      </c>
      <c r="L5" s="94">
        <v>-39024</v>
      </c>
      <c r="M5" s="89"/>
      <c r="N5" s="94">
        <v>-4674</v>
      </c>
      <c r="O5" s="94">
        <v>-4990</v>
      </c>
      <c r="P5" s="94">
        <v>-4874</v>
      </c>
      <c r="Q5" s="95">
        <v>-5563</v>
      </c>
      <c r="R5" s="94">
        <v>-5226</v>
      </c>
      <c r="S5" s="94">
        <v>-6275</v>
      </c>
      <c r="T5" s="94">
        <v>-6095</v>
      </c>
      <c r="U5" s="95">
        <v>-6721</v>
      </c>
      <c r="V5" s="94">
        <v>-6189</v>
      </c>
      <c r="W5" s="94">
        <v>-6550</v>
      </c>
      <c r="X5" s="94">
        <v>-6431</v>
      </c>
      <c r="Y5" s="95">
        <v>-6377</v>
      </c>
      <c r="Z5" s="94">
        <v>-5571</v>
      </c>
      <c r="AA5" s="94">
        <v>-5309</v>
      </c>
      <c r="AB5" s="94">
        <v>-5469</v>
      </c>
      <c r="AC5" s="95">
        <v>-6069</v>
      </c>
      <c r="AD5" s="94">
        <v>-5433</v>
      </c>
      <c r="AE5" s="94">
        <v>-5898</v>
      </c>
      <c r="AF5" s="94">
        <v>-5999</v>
      </c>
      <c r="AG5" s="95">
        <v>-6862</v>
      </c>
      <c r="AH5" s="94">
        <v>-6831</v>
      </c>
      <c r="AI5" s="94">
        <v>-7813</v>
      </c>
      <c r="AJ5" s="94">
        <v>-7889</v>
      </c>
      <c r="AK5" s="95">
        <v>-8142</v>
      </c>
      <c r="AL5" s="94">
        <v>-8272</v>
      </c>
      <c r="AM5" s="94">
        <v>-9887</v>
      </c>
      <c r="AN5" s="94">
        <v>-9218</v>
      </c>
      <c r="AO5" s="95">
        <v>-9820</v>
      </c>
      <c r="AP5" s="94">
        <v>-8961</v>
      </c>
      <c r="AQ5" s="94">
        <v>-10562</v>
      </c>
      <c r="AR5" s="94">
        <v>-9874</v>
      </c>
      <c r="AS5" s="95">
        <v>-11261</v>
      </c>
      <c r="AT5" s="94">
        <v>-9396</v>
      </c>
      <c r="AU5" s="94">
        <v>-9459</v>
      </c>
      <c r="AV5" s="94">
        <v>-9908</v>
      </c>
      <c r="AW5" s="95">
        <v>-10261</v>
      </c>
      <c r="AX5" s="94">
        <v>-9254</v>
      </c>
      <c r="AY5" s="94">
        <v>-10686</v>
      </c>
    </row>
    <row r="6" spans="1:51" ht="13">
      <c r="A6" s="97" t="s">
        <v>269</v>
      </c>
      <c r="B6" s="98">
        <v>10200</v>
      </c>
      <c r="C6" s="98">
        <v>9099</v>
      </c>
      <c r="D6" s="98">
        <v>11263</v>
      </c>
      <c r="E6" s="98">
        <v>13968</v>
      </c>
      <c r="F6" s="98">
        <v>15302</v>
      </c>
      <c r="G6" s="98">
        <v>13704</v>
      </c>
      <c r="H6" s="98">
        <v>15453</v>
      </c>
      <c r="I6" s="98">
        <v>19019</v>
      </c>
      <c r="J6" s="98">
        <v>23146</v>
      </c>
      <c r="K6" s="98">
        <v>22946</v>
      </c>
      <c r="L6" s="98">
        <v>22974</v>
      </c>
      <c r="M6" s="89"/>
      <c r="N6" s="98">
        <v>2737</v>
      </c>
      <c r="O6" s="98">
        <v>2889</v>
      </c>
      <c r="P6" s="98">
        <v>2736</v>
      </c>
      <c r="Q6" s="99">
        <v>2901</v>
      </c>
      <c r="R6" s="98">
        <v>3007</v>
      </c>
      <c r="S6" s="98">
        <v>3568</v>
      </c>
      <c r="T6" s="98">
        <v>3556</v>
      </c>
      <c r="U6" s="99">
        <v>3837</v>
      </c>
      <c r="V6" s="98">
        <v>3596</v>
      </c>
      <c r="W6" s="98">
        <v>4076</v>
      </c>
      <c r="X6" s="98">
        <v>3727</v>
      </c>
      <c r="Y6" s="99">
        <v>3903</v>
      </c>
      <c r="Z6" s="98">
        <v>3563</v>
      </c>
      <c r="AA6" s="98">
        <v>3149</v>
      </c>
      <c r="AB6" s="98">
        <v>3255</v>
      </c>
      <c r="AC6" s="99">
        <v>3737</v>
      </c>
      <c r="AD6" s="98">
        <v>3340</v>
      </c>
      <c r="AE6" s="98">
        <v>3835</v>
      </c>
      <c r="AF6" s="98">
        <v>3967</v>
      </c>
      <c r="AG6" s="99">
        <v>4311</v>
      </c>
      <c r="AH6" s="98">
        <v>4257</v>
      </c>
      <c r="AI6" s="98">
        <v>4055</v>
      </c>
      <c r="AJ6" s="98">
        <v>4913</v>
      </c>
      <c r="AK6" s="99">
        <v>5794</v>
      </c>
      <c r="AL6" s="98">
        <v>5596</v>
      </c>
      <c r="AM6" s="98">
        <v>6023</v>
      </c>
      <c r="AN6" s="98">
        <v>5779</v>
      </c>
      <c r="AO6" s="99">
        <v>5748</v>
      </c>
      <c r="AP6" s="98">
        <v>5182</v>
      </c>
      <c r="AQ6" s="98">
        <v>5949</v>
      </c>
      <c r="AR6" s="98">
        <v>5825</v>
      </c>
      <c r="AS6" s="99">
        <v>5990</v>
      </c>
      <c r="AT6" s="98">
        <v>6140</v>
      </c>
      <c r="AU6" s="98">
        <v>5671</v>
      </c>
      <c r="AV6" s="98">
        <v>5334</v>
      </c>
      <c r="AW6" s="99">
        <v>5829</v>
      </c>
      <c r="AX6" s="98">
        <v>5097</v>
      </c>
      <c r="AY6" s="98">
        <v>6016</v>
      </c>
    </row>
    <row r="7" spans="1:51" ht="13">
      <c r="A7" s="100" t="s">
        <v>68</v>
      </c>
      <c r="B7" s="101">
        <v>0.35599999999999998</v>
      </c>
      <c r="C7" s="101">
        <v>0.33600000000000002</v>
      </c>
      <c r="D7" s="101">
        <v>0.35899999999999999</v>
      </c>
      <c r="E7" s="101">
        <v>0.36499999999999999</v>
      </c>
      <c r="F7" s="101">
        <v>0.375</v>
      </c>
      <c r="G7" s="101">
        <v>0.379</v>
      </c>
      <c r="H7" s="101">
        <v>0.39</v>
      </c>
      <c r="I7" s="101">
        <v>0.38300000000000001</v>
      </c>
      <c r="J7" s="101">
        <v>0.38400000000000001</v>
      </c>
      <c r="K7" s="101">
        <v>0.36099999999999999</v>
      </c>
      <c r="L7" s="101">
        <v>0.371</v>
      </c>
      <c r="M7" s="102"/>
      <c r="N7" s="101">
        <v>0.36931588179732827</v>
      </c>
      <c r="O7" s="101">
        <v>0.3666708973219952</v>
      </c>
      <c r="P7" s="101">
        <v>0.35952693823915899</v>
      </c>
      <c r="Q7" s="103">
        <v>0.34274574669187147</v>
      </c>
      <c r="R7" s="101">
        <v>0.3652374590064375</v>
      </c>
      <c r="S7" s="101">
        <v>0.36249111043381083</v>
      </c>
      <c r="T7" s="101">
        <v>0.36845922702310641</v>
      </c>
      <c r="U7" s="103">
        <v>0.36342110248153059</v>
      </c>
      <c r="V7" s="101">
        <v>0.36750127746550842</v>
      </c>
      <c r="W7" s="101">
        <v>0.38358742706568794</v>
      </c>
      <c r="X7" s="101">
        <v>0.36690293364835597</v>
      </c>
      <c r="Y7" s="103">
        <v>0.37966926070038909</v>
      </c>
      <c r="Z7" s="101">
        <v>0.39008101598423472</v>
      </c>
      <c r="AA7" s="101">
        <v>0.36931588179732827</v>
      </c>
      <c r="AB7" s="101">
        <v>0.37310866574965612</v>
      </c>
      <c r="AC7" s="103">
        <v>0.38109320823985315</v>
      </c>
      <c r="AD7" s="101">
        <v>0.38071355294654052</v>
      </c>
      <c r="AE7" s="101">
        <v>0.39402034316243706</v>
      </c>
      <c r="AF7" s="101">
        <v>0.39805338149709013</v>
      </c>
      <c r="AG7" s="103">
        <v>0.38600000000000001</v>
      </c>
      <c r="AH7" s="101">
        <v>0.38392857142857145</v>
      </c>
      <c r="AI7" s="101">
        <v>0.34167509268621504</v>
      </c>
      <c r="AJ7" s="101">
        <v>0.38376816122480861</v>
      </c>
      <c r="AK7" s="103">
        <v>0.41599999999999998</v>
      </c>
      <c r="AL7" s="101">
        <f>+AL6/AL4</f>
        <v>0.40351889241419092</v>
      </c>
      <c r="AM7" s="101">
        <f>+AM6/AM4</f>
        <v>0.37856693903205529</v>
      </c>
      <c r="AN7" s="101">
        <v>0.38534373541374944</v>
      </c>
      <c r="AO7" s="103">
        <v>0.36921891058581707</v>
      </c>
      <c r="AP7" s="101">
        <v>0.3664003393905112</v>
      </c>
      <c r="AQ7" s="101">
        <v>0.36030525104475802</v>
      </c>
      <c r="AR7" s="101">
        <v>0.37104274157589656</v>
      </c>
      <c r="AS7" s="103">
        <v>0.34722624775375338</v>
      </c>
      <c r="AT7" s="104" t="s">
        <v>270</v>
      </c>
      <c r="AU7" s="101">
        <v>0.37481824190350299</v>
      </c>
      <c r="AV7" s="101">
        <v>0.3499540742684687</v>
      </c>
      <c r="AW7" s="103">
        <v>0.3622747047855811</v>
      </c>
      <c r="AX7" s="104">
        <v>0.35516688732492507</v>
      </c>
      <c r="AY7" s="101">
        <v>0.36019638366662676</v>
      </c>
    </row>
    <row r="8" spans="1:51" ht="13">
      <c r="A8" s="96" t="s">
        <v>271</v>
      </c>
      <c r="B8" s="94">
        <v>-1848</v>
      </c>
      <c r="C8" s="94">
        <v>-1879</v>
      </c>
      <c r="D8" s="94">
        <v>-2121</v>
      </c>
      <c r="E8" s="94">
        <v>-2589</v>
      </c>
      <c r="F8" s="94">
        <v>-3261</v>
      </c>
      <c r="G8" s="94">
        <v>-2817</v>
      </c>
      <c r="H8" s="94">
        <v>-3166</v>
      </c>
      <c r="I8" s="94">
        <v>-3628</v>
      </c>
      <c r="J8" s="94">
        <v>-4105</v>
      </c>
      <c r="K8" s="94">
        <v>-4531</v>
      </c>
      <c r="L8" s="94">
        <v>-4498</v>
      </c>
      <c r="M8" s="89"/>
      <c r="N8" s="94">
        <v>-533</v>
      </c>
      <c r="O8" s="94">
        <v>-550</v>
      </c>
      <c r="P8" s="94">
        <v>-469</v>
      </c>
      <c r="Q8" s="95">
        <v>-569</v>
      </c>
      <c r="R8" s="94">
        <v>-564</v>
      </c>
      <c r="S8" s="94">
        <v>-713</v>
      </c>
      <c r="T8" s="94">
        <v>-691</v>
      </c>
      <c r="U8" s="95">
        <v>-621</v>
      </c>
      <c r="V8" s="94">
        <v>-784</v>
      </c>
      <c r="W8" s="94">
        <v>-803</v>
      </c>
      <c r="X8" s="94">
        <v>-826</v>
      </c>
      <c r="Y8" s="95">
        <v>-848</v>
      </c>
      <c r="Z8" s="94">
        <v>-667</v>
      </c>
      <c r="AA8" s="94">
        <v>-795</v>
      </c>
      <c r="AB8" s="94">
        <v>-668</v>
      </c>
      <c r="AC8" s="95">
        <v>-687</v>
      </c>
      <c r="AD8" s="94">
        <v>-819</v>
      </c>
      <c r="AE8" s="94">
        <v>-732</v>
      </c>
      <c r="AF8" s="94">
        <v>-692</v>
      </c>
      <c r="AG8" s="95">
        <v>-923</v>
      </c>
      <c r="AH8" s="94">
        <v>-721</v>
      </c>
      <c r="AI8" s="94">
        <v>-818</v>
      </c>
      <c r="AJ8" s="94">
        <v>-903</v>
      </c>
      <c r="AK8" s="95">
        <v>-1186</v>
      </c>
      <c r="AL8" s="94">
        <v>-969</v>
      </c>
      <c r="AM8" s="94">
        <v>-1071</v>
      </c>
      <c r="AN8" s="94">
        <v>-974</v>
      </c>
      <c r="AO8" s="95">
        <v>-1091</v>
      </c>
      <c r="AP8" s="94">
        <v>-1124</v>
      </c>
      <c r="AQ8" s="94">
        <v>-1237</v>
      </c>
      <c r="AR8" s="94">
        <v>-1069</v>
      </c>
      <c r="AS8" s="95">
        <v>-1101</v>
      </c>
      <c r="AT8" s="94">
        <v>-1200</v>
      </c>
      <c r="AU8" s="94">
        <v>-1093</v>
      </c>
      <c r="AV8" s="94">
        <v>-1062</v>
      </c>
      <c r="AW8" s="95">
        <v>-1143</v>
      </c>
      <c r="AX8" s="94">
        <v>-1087</v>
      </c>
      <c r="AY8" s="94">
        <v>-1167</v>
      </c>
    </row>
    <row r="9" spans="1:51" ht="13">
      <c r="A9" s="96" t="s">
        <v>272</v>
      </c>
      <c r="B9" s="94">
        <v>-2346</v>
      </c>
      <c r="C9" s="94">
        <v>-2164</v>
      </c>
      <c r="D9" s="94">
        <v>-2280</v>
      </c>
      <c r="E9" s="94">
        <v>-2574</v>
      </c>
      <c r="F9" s="94">
        <v>-2797</v>
      </c>
      <c r="G9" s="94">
        <v>-2225</v>
      </c>
      <c r="H9" s="94">
        <v>-2313</v>
      </c>
      <c r="I9" s="94">
        <v>-3042</v>
      </c>
      <c r="J9" s="94">
        <v>-3959</v>
      </c>
      <c r="K9" s="94">
        <v>-4250</v>
      </c>
      <c r="L9" s="94">
        <v>-4021</v>
      </c>
      <c r="M9" s="89"/>
      <c r="N9" s="94">
        <v>-561</v>
      </c>
      <c r="O9" s="94">
        <v>-596</v>
      </c>
      <c r="P9" s="94">
        <v>-526</v>
      </c>
      <c r="Q9" s="95">
        <v>-597</v>
      </c>
      <c r="R9" s="94">
        <v>-600</v>
      </c>
      <c r="S9" s="94">
        <v>-676</v>
      </c>
      <c r="T9" s="94">
        <v>-630</v>
      </c>
      <c r="U9" s="95">
        <v>-668</v>
      </c>
      <c r="V9" s="94">
        <v>-663</v>
      </c>
      <c r="W9" s="94">
        <v>-710</v>
      </c>
      <c r="X9" s="94">
        <v>-734</v>
      </c>
      <c r="Y9" s="95">
        <v>-690</v>
      </c>
      <c r="Z9" s="94">
        <v>-664</v>
      </c>
      <c r="AA9" s="94">
        <v>-543</v>
      </c>
      <c r="AB9" s="94">
        <v>-501</v>
      </c>
      <c r="AC9" s="95">
        <v>-517</v>
      </c>
      <c r="AD9" s="94">
        <v>-528</v>
      </c>
      <c r="AE9" s="94">
        <v>-570</v>
      </c>
      <c r="AF9" s="94">
        <v>-582</v>
      </c>
      <c r="AG9" s="95">
        <v>-633</v>
      </c>
      <c r="AH9" s="94">
        <v>-641</v>
      </c>
      <c r="AI9" s="94">
        <v>-767</v>
      </c>
      <c r="AJ9" s="94">
        <v>-782</v>
      </c>
      <c r="AK9" s="95">
        <v>-852</v>
      </c>
      <c r="AL9" s="94">
        <v>-926</v>
      </c>
      <c r="AM9" s="94">
        <v>-1012</v>
      </c>
      <c r="AN9" s="94">
        <v>-1001</v>
      </c>
      <c r="AO9" s="95">
        <v>-1020</v>
      </c>
      <c r="AP9" s="94">
        <v>-953</v>
      </c>
      <c r="AQ9" s="94">
        <v>-1131</v>
      </c>
      <c r="AR9" s="94">
        <v>-1075</v>
      </c>
      <c r="AS9" s="95">
        <v>-1091</v>
      </c>
      <c r="AT9" s="94">
        <v>-1025</v>
      </c>
      <c r="AU9" s="94">
        <v>-1009</v>
      </c>
      <c r="AV9" s="94">
        <v>-1010</v>
      </c>
      <c r="AW9" s="95">
        <v>-977</v>
      </c>
      <c r="AX9" s="94">
        <v>-930</v>
      </c>
      <c r="AY9" s="94">
        <v>-1044</v>
      </c>
    </row>
    <row r="10" spans="1:51" ht="13">
      <c r="A10" s="96" t="s">
        <v>273</v>
      </c>
      <c r="B10" s="94">
        <v>-861</v>
      </c>
      <c r="C10" s="94">
        <v>-662</v>
      </c>
      <c r="D10" s="94">
        <v>-795</v>
      </c>
      <c r="E10" s="94">
        <v>-977</v>
      </c>
      <c r="F10" s="94">
        <v>-1035</v>
      </c>
      <c r="G10" s="94">
        <v>-1032</v>
      </c>
      <c r="H10" s="94">
        <v>-1172</v>
      </c>
      <c r="I10" s="94">
        <v>-1438</v>
      </c>
      <c r="J10" s="94">
        <v>-1930</v>
      </c>
      <c r="K10" s="94">
        <v>-2282</v>
      </c>
      <c r="L10" s="94">
        <v>-1966</v>
      </c>
      <c r="M10" s="89"/>
      <c r="N10" s="94">
        <v>-190</v>
      </c>
      <c r="O10" s="94">
        <v>-184</v>
      </c>
      <c r="P10" s="94">
        <v>-189</v>
      </c>
      <c r="Q10" s="95">
        <v>-232</v>
      </c>
      <c r="R10" s="94">
        <v>-222</v>
      </c>
      <c r="S10" s="94">
        <v>-257</v>
      </c>
      <c r="T10" s="94">
        <v>-217</v>
      </c>
      <c r="U10" s="95">
        <v>-281</v>
      </c>
      <c r="V10" s="94">
        <v>-275</v>
      </c>
      <c r="W10" s="94">
        <v>-271</v>
      </c>
      <c r="X10" s="94">
        <v>-227</v>
      </c>
      <c r="Y10" s="95">
        <v>-262</v>
      </c>
      <c r="Z10" s="94">
        <v>-271</v>
      </c>
      <c r="AA10" s="94">
        <v>-287</v>
      </c>
      <c r="AB10" s="94">
        <v>-231</v>
      </c>
      <c r="AC10" s="95">
        <v>-243</v>
      </c>
      <c r="AD10" s="94">
        <v>-229</v>
      </c>
      <c r="AE10" s="94">
        <v>-283</v>
      </c>
      <c r="AF10" s="94">
        <v>-300</v>
      </c>
      <c r="AG10" s="95">
        <v>-360</v>
      </c>
      <c r="AH10" s="94">
        <v>-319</v>
      </c>
      <c r="AI10" s="94">
        <v>-363</v>
      </c>
      <c r="AJ10" s="94">
        <v>-360</v>
      </c>
      <c r="AK10" s="95">
        <v>-396</v>
      </c>
      <c r="AL10" s="94">
        <v>-452</v>
      </c>
      <c r="AM10" s="94">
        <v>-497</v>
      </c>
      <c r="AN10" s="94">
        <v>-517</v>
      </c>
      <c r="AO10" s="95">
        <v>-464</v>
      </c>
      <c r="AP10" s="94">
        <v>-461</v>
      </c>
      <c r="AQ10" s="94">
        <v>-537</v>
      </c>
      <c r="AR10" s="94">
        <v>-771</v>
      </c>
      <c r="AS10" s="95">
        <v>-513</v>
      </c>
      <c r="AT10" s="94">
        <v>-500</v>
      </c>
      <c r="AU10" s="94">
        <v>-505</v>
      </c>
      <c r="AV10" s="94">
        <v>-407</v>
      </c>
      <c r="AW10" s="95">
        <v>-554</v>
      </c>
      <c r="AX10" s="94">
        <v>-501</v>
      </c>
      <c r="AY10" s="94">
        <v>-534</v>
      </c>
    </row>
    <row r="11" spans="1:51" ht="13">
      <c r="A11" s="96" t="s">
        <v>274</v>
      </c>
      <c r="B11" s="94">
        <v>28</v>
      </c>
      <c r="C11" s="94">
        <v>154</v>
      </c>
      <c r="D11" s="94">
        <v>-136</v>
      </c>
      <c r="E11" s="94">
        <v>-435</v>
      </c>
      <c r="F11" s="94">
        <v>-61</v>
      </c>
      <c r="G11" s="94">
        <v>-250</v>
      </c>
      <c r="H11" s="94">
        <v>222</v>
      </c>
      <c r="I11" s="94">
        <v>273</v>
      </c>
      <c r="J11" s="94">
        <v>46</v>
      </c>
      <c r="K11" s="94">
        <v>522</v>
      </c>
      <c r="L11" s="94">
        <v>-564</v>
      </c>
      <c r="M11" s="89"/>
      <c r="N11" s="94">
        <v>-40</v>
      </c>
      <c r="O11" s="94">
        <v>-91</v>
      </c>
      <c r="P11" s="94">
        <v>-32</v>
      </c>
      <c r="Q11" s="95">
        <v>25</v>
      </c>
      <c r="R11" s="94">
        <v>-106</v>
      </c>
      <c r="S11" s="94">
        <v>-109</v>
      </c>
      <c r="T11" s="94">
        <v>-124</v>
      </c>
      <c r="U11" s="95">
        <v>-96</v>
      </c>
      <c r="V11" s="94">
        <v>58</v>
      </c>
      <c r="W11" s="94">
        <v>-22</v>
      </c>
      <c r="X11" s="94">
        <v>-11</v>
      </c>
      <c r="Y11" s="95">
        <v>-86</v>
      </c>
      <c r="Z11" s="94">
        <v>-26</v>
      </c>
      <c r="AA11" s="94">
        <v>-106</v>
      </c>
      <c r="AB11" s="94">
        <v>-33</v>
      </c>
      <c r="AC11" s="95">
        <v>-85</v>
      </c>
      <c r="AD11" s="94">
        <v>107</v>
      </c>
      <c r="AE11" s="94">
        <v>-61</v>
      </c>
      <c r="AF11" s="94">
        <v>-38</v>
      </c>
      <c r="AG11" s="95">
        <v>214</v>
      </c>
      <c r="AH11" s="94">
        <v>62</v>
      </c>
      <c r="AI11" s="94">
        <v>288</v>
      </c>
      <c r="AJ11" s="94">
        <v>45</v>
      </c>
      <c r="AK11" s="95">
        <v>-122</v>
      </c>
      <c r="AL11" s="94">
        <v>-85</v>
      </c>
      <c r="AM11" s="94">
        <v>-30</v>
      </c>
      <c r="AN11" s="94">
        <v>-21</v>
      </c>
      <c r="AO11" s="95">
        <v>182</v>
      </c>
      <c r="AP11" s="94">
        <v>130</v>
      </c>
      <c r="AQ11" s="94">
        <v>-113</v>
      </c>
      <c r="AR11" s="94">
        <v>367</v>
      </c>
      <c r="AS11" s="95">
        <v>138</v>
      </c>
      <c r="AT11" s="94">
        <v>-327</v>
      </c>
      <c r="AU11" s="94">
        <v>-233</v>
      </c>
      <c r="AV11" s="94">
        <v>-53</v>
      </c>
      <c r="AW11" s="95">
        <v>49</v>
      </c>
      <c r="AX11" s="94">
        <v>267</v>
      </c>
      <c r="AY11" s="94">
        <v>44</v>
      </c>
    </row>
    <row r="12" spans="1:51" ht="13">
      <c r="A12" s="96" t="s">
        <v>275</v>
      </c>
      <c r="B12" s="94">
        <v>2</v>
      </c>
      <c r="C12" s="94">
        <v>0</v>
      </c>
      <c r="D12" s="94">
        <v>-1</v>
      </c>
      <c r="E12" s="94">
        <v>-8</v>
      </c>
      <c r="F12" s="94">
        <v>-12</v>
      </c>
      <c r="G12" s="94">
        <v>2</v>
      </c>
      <c r="H12" s="94">
        <v>-29</v>
      </c>
      <c r="I12" s="94">
        <v>-37</v>
      </c>
      <c r="J12" s="94">
        <v>-15</v>
      </c>
      <c r="K12" s="94">
        <v>-20</v>
      </c>
      <c r="L12" s="94">
        <v>0</v>
      </c>
      <c r="M12" s="89"/>
      <c r="N12" s="94">
        <v>1</v>
      </c>
      <c r="O12" s="94">
        <v>0</v>
      </c>
      <c r="P12" s="94">
        <v>0</v>
      </c>
      <c r="Q12" s="95"/>
      <c r="R12" s="94">
        <v>0</v>
      </c>
      <c r="S12" s="94">
        <v>-3</v>
      </c>
      <c r="T12" s="94">
        <v>3.5494597235000001</v>
      </c>
      <c r="U12" s="95">
        <v>-9</v>
      </c>
      <c r="V12" s="94">
        <v>-2</v>
      </c>
      <c r="W12" s="94">
        <v>-7</v>
      </c>
      <c r="X12" s="94">
        <v>-2</v>
      </c>
      <c r="Y12" s="95">
        <v>-1</v>
      </c>
      <c r="Z12" s="94">
        <v>-3</v>
      </c>
      <c r="AA12" s="105">
        <v>0</v>
      </c>
      <c r="AB12" s="94">
        <v>-2</v>
      </c>
      <c r="AC12" s="95">
        <v>7</v>
      </c>
      <c r="AD12" s="94">
        <v>-4</v>
      </c>
      <c r="AE12" s="105">
        <v>-7</v>
      </c>
      <c r="AF12" s="105">
        <v>-3</v>
      </c>
      <c r="AG12" s="95">
        <v>-15</v>
      </c>
      <c r="AH12" s="94">
        <v>-7</v>
      </c>
      <c r="AI12" s="105">
        <v>-14</v>
      </c>
      <c r="AJ12" s="105">
        <v>-13</v>
      </c>
      <c r="AK12" s="95">
        <v>-3</v>
      </c>
      <c r="AL12" s="94">
        <v>-3</v>
      </c>
      <c r="AM12" s="105">
        <v>0</v>
      </c>
      <c r="AN12" s="105">
        <v>-6</v>
      </c>
      <c r="AO12" s="95">
        <v>-6</v>
      </c>
      <c r="AP12" s="94">
        <v>-14</v>
      </c>
      <c r="AQ12" s="105">
        <v>-10</v>
      </c>
      <c r="AR12" s="105">
        <v>0</v>
      </c>
      <c r="AS12" s="95">
        <v>4</v>
      </c>
      <c r="AT12" s="94">
        <v>0</v>
      </c>
      <c r="AU12" s="105">
        <v>0</v>
      </c>
      <c r="AV12" s="105">
        <v>0</v>
      </c>
      <c r="AW12" s="95">
        <v>0</v>
      </c>
      <c r="AX12" s="94">
        <v>0</v>
      </c>
      <c r="AY12" s="105">
        <v>1</v>
      </c>
    </row>
    <row r="13" spans="1:51" ht="13">
      <c r="A13" s="97" t="s">
        <v>189</v>
      </c>
      <c r="B13" s="106">
        <v>5175</v>
      </c>
      <c r="C13" s="106">
        <v>4548</v>
      </c>
      <c r="D13" s="106">
        <v>5930</v>
      </c>
      <c r="E13" s="106">
        <v>7385</v>
      </c>
      <c r="F13" s="106">
        <v>8136</v>
      </c>
      <c r="G13" s="106">
        <v>7382</v>
      </c>
      <c r="H13" s="106">
        <v>8995</v>
      </c>
      <c r="I13" s="106">
        <v>11147</v>
      </c>
      <c r="J13" s="106">
        <v>13183</v>
      </c>
      <c r="K13" s="106">
        <v>12385</v>
      </c>
      <c r="L13" s="106">
        <v>11925</v>
      </c>
      <c r="M13" s="89"/>
      <c r="N13" s="106">
        <v>1414</v>
      </c>
      <c r="O13" s="106">
        <v>1468</v>
      </c>
      <c r="P13" s="106">
        <v>1520</v>
      </c>
      <c r="Q13" s="107">
        <v>1528</v>
      </c>
      <c r="R13" s="106">
        <v>1515</v>
      </c>
      <c r="S13" s="106">
        <v>1810</v>
      </c>
      <c r="T13" s="106">
        <v>1898</v>
      </c>
      <c r="U13" s="107">
        <v>2162</v>
      </c>
      <c r="V13" s="106">
        <v>1930</v>
      </c>
      <c r="W13" s="106">
        <v>2263</v>
      </c>
      <c r="X13" s="106">
        <v>1927</v>
      </c>
      <c r="Y13" s="107">
        <v>2016</v>
      </c>
      <c r="Z13" s="106">
        <v>1932</v>
      </c>
      <c r="AA13" s="106">
        <v>1418</v>
      </c>
      <c r="AB13" s="106">
        <v>1820</v>
      </c>
      <c r="AC13" s="107">
        <v>2212</v>
      </c>
      <c r="AD13" s="106">
        <v>1867</v>
      </c>
      <c r="AE13" s="106">
        <v>2182</v>
      </c>
      <c r="AF13" s="106">
        <v>2352</v>
      </c>
      <c r="AG13" s="107">
        <v>2594</v>
      </c>
      <c r="AH13" s="106">
        <v>2631</v>
      </c>
      <c r="AI13" s="106">
        <v>2381</v>
      </c>
      <c r="AJ13" s="106">
        <v>2900</v>
      </c>
      <c r="AK13" s="107">
        <v>3235</v>
      </c>
      <c r="AL13" s="106">
        <v>3161</v>
      </c>
      <c r="AM13" s="106">
        <v>3413</v>
      </c>
      <c r="AN13" s="106">
        <v>3260</v>
      </c>
      <c r="AO13" s="107">
        <v>3349</v>
      </c>
      <c r="AP13" s="106">
        <v>2760</v>
      </c>
      <c r="AQ13" s="106">
        <v>2921</v>
      </c>
      <c r="AR13" s="106">
        <v>3277</v>
      </c>
      <c r="AS13" s="107">
        <v>3427</v>
      </c>
      <c r="AT13" s="106">
        <v>3088</v>
      </c>
      <c r="AU13" s="106">
        <v>2831</v>
      </c>
      <c r="AV13" s="106">
        <v>2802</v>
      </c>
      <c r="AW13" s="107">
        <v>3204</v>
      </c>
      <c r="AX13" s="106">
        <v>2846</v>
      </c>
      <c r="AY13" s="106">
        <v>3316</v>
      </c>
    </row>
    <row r="14" spans="1:51" ht="13">
      <c r="A14" s="100" t="s">
        <v>276</v>
      </c>
      <c r="B14" s="101">
        <v>0.18054634895161009</v>
      </c>
      <c r="C14" s="101">
        <v>0.16781049369050255</v>
      </c>
      <c r="D14" s="101">
        <v>0.18907027164902435</v>
      </c>
      <c r="E14" s="101">
        <v>0.19289538983936266</v>
      </c>
      <c r="F14" s="101">
        <v>0.19917256236382774</v>
      </c>
      <c r="G14" s="101">
        <v>0.20399999999999999</v>
      </c>
      <c r="H14" s="101">
        <v>0.22700000000000001</v>
      </c>
      <c r="I14" s="101">
        <v>0.224</v>
      </c>
      <c r="J14" s="101">
        <v>0.218</v>
      </c>
      <c r="K14" s="101">
        <v>0.19500000000000001</v>
      </c>
      <c r="L14" s="101">
        <v>0.192</v>
      </c>
      <c r="M14" s="102"/>
      <c r="N14" s="101">
        <v>0.19079746323033328</v>
      </c>
      <c r="O14" s="101">
        <v>0.1863180606675974</v>
      </c>
      <c r="P14" s="101">
        <v>0.19973718791064388</v>
      </c>
      <c r="Q14" s="103">
        <v>0.18052930056710775</v>
      </c>
      <c r="R14" s="101">
        <v>0.18401554718814528</v>
      </c>
      <c r="S14" s="101">
        <v>0.18388702631311593</v>
      </c>
      <c r="T14" s="101">
        <v>0.19666355818049944</v>
      </c>
      <c r="U14" s="103">
        <v>0.20477363136957757</v>
      </c>
      <c r="V14" s="101">
        <v>0.19724067450178845</v>
      </c>
      <c r="W14" s="101">
        <v>0.2129681912290608</v>
      </c>
      <c r="X14" s="101">
        <v>0.1897026973813743</v>
      </c>
      <c r="Y14" s="103">
        <v>0.19610894941634241</v>
      </c>
      <c r="Z14" s="101">
        <v>0.21199999999999999</v>
      </c>
      <c r="AA14" s="101">
        <v>0.167651927169544</v>
      </c>
      <c r="AB14" s="101">
        <v>0.20899999999999999</v>
      </c>
      <c r="AC14" s="103">
        <v>0.22600000000000001</v>
      </c>
      <c r="AD14" s="101">
        <v>0.21299999999999999</v>
      </c>
      <c r="AE14" s="101">
        <v>0.224</v>
      </c>
      <c r="AF14" s="101">
        <v>0.23599999999999999</v>
      </c>
      <c r="AG14" s="103">
        <v>0.23216683075270741</v>
      </c>
      <c r="AH14" s="101">
        <v>0.23699999999999999</v>
      </c>
      <c r="AI14" s="101">
        <v>0.20062352544657905</v>
      </c>
      <c r="AJ14" s="101">
        <v>0.22652710513982191</v>
      </c>
      <c r="AK14" s="103">
        <v>0.23213260619977039</v>
      </c>
      <c r="AL14" s="101">
        <v>0.22793481396019613</v>
      </c>
      <c r="AM14" s="101">
        <v>0.215</v>
      </c>
      <c r="AN14" s="101">
        <v>0.21737680869507234</v>
      </c>
      <c r="AO14" s="103">
        <v>0.21512076053442961</v>
      </c>
      <c r="AP14" s="101">
        <v>0.19514954394400055</v>
      </c>
      <c r="AQ14" s="101">
        <v>0.17691236145599903</v>
      </c>
      <c r="AR14" s="101">
        <v>0.20873941015351297</v>
      </c>
      <c r="AS14" s="103">
        <v>0.19865515042606224</v>
      </c>
      <c r="AT14" s="104" t="s">
        <v>277</v>
      </c>
      <c r="AU14" s="101">
        <v>0.18711169861202909</v>
      </c>
      <c r="AV14" s="101">
        <v>0.18383414250098412</v>
      </c>
      <c r="AW14" s="103">
        <v>0.19912989434431325</v>
      </c>
      <c r="AX14" s="104">
        <v>0.198313706361926</v>
      </c>
      <c r="AY14" s="101">
        <v>0.19853909711411807</v>
      </c>
    </row>
    <row r="15" spans="1:51" ht="13">
      <c r="A15" s="96" t="s">
        <v>278</v>
      </c>
      <c r="B15" s="94">
        <v>176</v>
      </c>
      <c r="C15" s="94">
        <v>214</v>
      </c>
      <c r="D15" s="94">
        <v>201</v>
      </c>
      <c r="E15" s="94">
        <v>175</v>
      </c>
      <c r="F15" s="94">
        <v>180</v>
      </c>
      <c r="G15" s="94">
        <v>144</v>
      </c>
      <c r="H15" s="94">
        <v>166</v>
      </c>
      <c r="I15" s="94">
        <v>238</v>
      </c>
      <c r="J15" s="94">
        <v>349</v>
      </c>
      <c r="K15" s="94">
        <v>470</v>
      </c>
      <c r="L15" s="94">
        <v>476</v>
      </c>
      <c r="M15" s="102"/>
      <c r="N15" s="94">
        <v>53</v>
      </c>
      <c r="O15" s="94">
        <v>48</v>
      </c>
      <c r="P15" s="94">
        <v>43</v>
      </c>
      <c r="Q15" s="95">
        <v>57</v>
      </c>
      <c r="R15" s="94">
        <v>51</v>
      </c>
      <c r="S15" s="94">
        <v>43</v>
      </c>
      <c r="T15" s="94">
        <v>38</v>
      </c>
      <c r="U15" s="95">
        <v>43</v>
      </c>
      <c r="V15" s="94">
        <v>48</v>
      </c>
      <c r="W15" s="94">
        <v>40</v>
      </c>
      <c r="X15" s="94">
        <v>43</v>
      </c>
      <c r="Y15" s="95">
        <v>48</v>
      </c>
      <c r="Z15" s="94">
        <v>47</v>
      </c>
      <c r="AA15" s="94">
        <v>39</v>
      </c>
      <c r="AB15" s="94">
        <v>30</v>
      </c>
      <c r="AC15" s="95">
        <v>28</v>
      </c>
      <c r="AD15" s="94">
        <v>29</v>
      </c>
      <c r="AE15" s="94">
        <v>27</v>
      </c>
      <c r="AF15" s="94">
        <v>27</v>
      </c>
      <c r="AG15" s="95">
        <v>83</v>
      </c>
      <c r="AH15" s="94">
        <v>33.383570076600002</v>
      </c>
      <c r="AI15" s="94">
        <v>44</v>
      </c>
      <c r="AJ15" s="94">
        <v>79.197162284400008</v>
      </c>
      <c r="AK15" s="95">
        <v>81.465854339799989</v>
      </c>
      <c r="AL15" s="94">
        <v>66.684681879500005</v>
      </c>
      <c r="AM15" s="94">
        <v>72</v>
      </c>
      <c r="AN15" s="94">
        <v>85.851937377200016</v>
      </c>
      <c r="AO15" s="95">
        <v>124.39643199120002</v>
      </c>
      <c r="AP15" s="94">
        <v>142</v>
      </c>
      <c r="AQ15" s="94">
        <f>255-142+1</f>
        <v>114</v>
      </c>
      <c r="AR15" s="94">
        <v>103</v>
      </c>
      <c r="AS15" s="95">
        <v>111</v>
      </c>
      <c r="AT15" s="94">
        <v>112</v>
      </c>
      <c r="AU15" s="94">
        <v>84</v>
      </c>
      <c r="AV15" s="94">
        <v>106.24769615229997</v>
      </c>
      <c r="AW15" s="95">
        <v>174</v>
      </c>
      <c r="AX15" s="94">
        <v>98.654805760300007</v>
      </c>
      <c r="AY15" s="94">
        <v>104</v>
      </c>
    </row>
    <row r="16" spans="1:51" ht="13">
      <c r="A16" s="96" t="s">
        <v>279</v>
      </c>
      <c r="B16" s="94">
        <v>-396</v>
      </c>
      <c r="C16" s="94">
        <v>-351</v>
      </c>
      <c r="D16" s="94">
        <v>-338</v>
      </c>
      <c r="E16" s="94">
        <v>-359</v>
      </c>
      <c r="F16" s="94">
        <v>-473</v>
      </c>
      <c r="G16" s="94">
        <v>-439</v>
      </c>
      <c r="H16" s="94">
        <v>-197</v>
      </c>
      <c r="I16" s="94">
        <v>-607</v>
      </c>
      <c r="J16" s="94">
        <v>-1297</v>
      </c>
      <c r="K16" s="94">
        <v>-1416</v>
      </c>
      <c r="L16" s="94">
        <v>-1165</v>
      </c>
      <c r="M16" s="102"/>
      <c r="N16" s="94">
        <v>-76</v>
      </c>
      <c r="O16" s="94">
        <v>-58</v>
      </c>
      <c r="P16" s="94">
        <v>-62</v>
      </c>
      <c r="Q16" s="95">
        <v>-142</v>
      </c>
      <c r="R16" s="94">
        <v>-108</v>
      </c>
      <c r="S16" s="94">
        <v>-87</v>
      </c>
      <c r="T16" s="94">
        <v>-74.982705969999984</v>
      </c>
      <c r="U16" s="95">
        <v>-89.017294030000016</v>
      </c>
      <c r="V16" s="94">
        <v>-148</v>
      </c>
      <c r="W16" s="94">
        <v>-78</v>
      </c>
      <c r="X16" s="94">
        <v>-104</v>
      </c>
      <c r="Y16" s="95">
        <v>-142</v>
      </c>
      <c r="Z16" s="94">
        <v>-93</v>
      </c>
      <c r="AA16" s="94">
        <v>-90</v>
      </c>
      <c r="AB16" s="94">
        <v>-106</v>
      </c>
      <c r="AC16" s="95">
        <v>-150</v>
      </c>
      <c r="AD16" s="94">
        <v>-62</v>
      </c>
      <c r="AE16" s="94">
        <v>-71</v>
      </c>
      <c r="AF16" s="94">
        <v>46</v>
      </c>
      <c r="AG16" s="95">
        <v>-110</v>
      </c>
      <c r="AH16" s="94">
        <v>-100</v>
      </c>
      <c r="AI16" s="94">
        <v>-133</v>
      </c>
      <c r="AJ16" s="94">
        <v>-103</v>
      </c>
      <c r="AK16" s="95">
        <v>-271</v>
      </c>
      <c r="AL16" s="94">
        <v>-263.66064015979998</v>
      </c>
      <c r="AM16" s="94">
        <v>-57</v>
      </c>
      <c r="AN16" s="94">
        <v>-417.20796022990004</v>
      </c>
      <c r="AO16" s="95">
        <v>-558.6823789140002</v>
      </c>
      <c r="AP16" s="94">
        <v>-258</v>
      </c>
      <c r="AQ16" s="94">
        <f>-639+258+2</f>
        <v>-379</v>
      </c>
      <c r="AR16" s="94">
        <v>-367</v>
      </c>
      <c r="AS16" s="95">
        <v>-412</v>
      </c>
      <c r="AT16" s="94">
        <v>-319</v>
      </c>
      <c r="AU16" s="94">
        <v>-215</v>
      </c>
      <c r="AV16" s="94">
        <v>-341.80975721640027</v>
      </c>
      <c r="AW16" s="95">
        <v>-289</v>
      </c>
      <c r="AX16" s="94">
        <v>-182.57957859310002</v>
      </c>
      <c r="AY16" s="94">
        <v>-234</v>
      </c>
    </row>
    <row r="17" spans="1:51" ht="13">
      <c r="A17" s="97" t="s">
        <v>280</v>
      </c>
      <c r="B17" s="98">
        <v>-220</v>
      </c>
      <c r="C17" s="98">
        <v>-137</v>
      </c>
      <c r="D17" s="98">
        <v>-137</v>
      </c>
      <c r="E17" s="98">
        <v>-184</v>
      </c>
      <c r="F17" s="98">
        <v>-293</v>
      </c>
      <c r="G17" s="98">
        <v>-295</v>
      </c>
      <c r="H17" s="98">
        <v>-31</v>
      </c>
      <c r="I17" s="98">
        <v>-369</v>
      </c>
      <c r="J17" s="98">
        <v>-948</v>
      </c>
      <c r="K17" s="98">
        <v>-946</v>
      </c>
      <c r="L17" s="98">
        <v>-689</v>
      </c>
      <c r="M17" s="89"/>
      <c r="N17" s="98">
        <v>-23</v>
      </c>
      <c r="O17" s="98">
        <v>-10</v>
      </c>
      <c r="P17" s="98">
        <v>-19</v>
      </c>
      <c r="Q17" s="99">
        <v>-85</v>
      </c>
      <c r="R17" s="98">
        <v>-57</v>
      </c>
      <c r="S17" s="98">
        <v>-44</v>
      </c>
      <c r="T17" s="98">
        <v>-36.982705969999984</v>
      </c>
      <c r="U17" s="99">
        <v>-46.017294030000016</v>
      </c>
      <c r="V17" s="98">
        <v>-100</v>
      </c>
      <c r="W17" s="98">
        <v>-38</v>
      </c>
      <c r="X17" s="98">
        <v>-61</v>
      </c>
      <c r="Y17" s="99">
        <v>-94</v>
      </c>
      <c r="Z17" s="98">
        <v>-46</v>
      </c>
      <c r="AA17" s="98">
        <v>-51</v>
      </c>
      <c r="AB17" s="98">
        <v>-76</v>
      </c>
      <c r="AC17" s="99">
        <v>-122</v>
      </c>
      <c r="AD17" s="98">
        <v>-33</v>
      </c>
      <c r="AE17" s="98">
        <v>-44</v>
      </c>
      <c r="AF17" s="98">
        <v>73</v>
      </c>
      <c r="AG17" s="99">
        <v>-27</v>
      </c>
      <c r="AH17" s="98">
        <v>-67</v>
      </c>
      <c r="AI17" s="98">
        <v>-89</v>
      </c>
      <c r="AJ17" s="98">
        <v>-24</v>
      </c>
      <c r="AK17" s="99">
        <v>-189</v>
      </c>
      <c r="AL17" s="98">
        <v>-197</v>
      </c>
      <c r="AM17" s="98">
        <v>15</v>
      </c>
      <c r="AN17" s="98">
        <v>-331</v>
      </c>
      <c r="AO17" s="99">
        <v>-435</v>
      </c>
      <c r="AP17" s="98">
        <v>-116</v>
      </c>
      <c r="AQ17" s="98">
        <v>-265</v>
      </c>
      <c r="AR17" s="98">
        <v>-264</v>
      </c>
      <c r="AS17" s="99">
        <v>-301</v>
      </c>
      <c r="AT17" s="98">
        <v>-207</v>
      </c>
      <c r="AU17" s="98">
        <v>-131</v>
      </c>
      <c r="AV17" s="98">
        <v>-236</v>
      </c>
      <c r="AW17" s="99">
        <v>-115</v>
      </c>
      <c r="AX17" s="98">
        <v>-84</v>
      </c>
      <c r="AY17" s="98">
        <v>-130</v>
      </c>
    </row>
    <row r="18" spans="1:51" ht="13">
      <c r="A18" s="100" t="s">
        <v>281</v>
      </c>
      <c r="B18" s="108"/>
      <c r="C18" s="109"/>
      <c r="D18" s="109">
        <v>-132</v>
      </c>
      <c r="E18" s="109">
        <v>-137</v>
      </c>
      <c r="F18" s="109">
        <v>-185</v>
      </c>
      <c r="G18" s="109">
        <v>-117</v>
      </c>
      <c r="H18" s="109">
        <v>-88</v>
      </c>
      <c r="I18" s="109">
        <v>-129</v>
      </c>
      <c r="J18" s="109">
        <v>-476</v>
      </c>
      <c r="K18" s="109">
        <v>-857</v>
      </c>
      <c r="L18" s="109">
        <v>-765</v>
      </c>
      <c r="M18" s="102"/>
      <c r="N18" s="109">
        <v>-4</v>
      </c>
      <c r="O18" s="109">
        <v>-6</v>
      </c>
      <c r="P18" s="109">
        <v>-13</v>
      </c>
      <c r="Q18" s="110">
        <v>-109</v>
      </c>
      <c r="R18" s="109">
        <v>-28</v>
      </c>
      <c r="S18" s="109">
        <v>-38</v>
      </c>
      <c r="T18" s="109">
        <v>-33.982705970000012</v>
      </c>
      <c r="U18" s="110">
        <v>-37.017294029999988</v>
      </c>
      <c r="V18" s="109">
        <v>-39</v>
      </c>
      <c r="W18" s="109">
        <v>-57</v>
      </c>
      <c r="X18" s="109">
        <v>-54</v>
      </c>
      <c r="Y18" s="110">
        <v>-35</v>
      </c>
      <c r="Z18" s="109">
        <v>-33</v>
      </c>
      <c r="AA18" s="109">
        <v>-19</v>
      </c>
      <c r="AB18" s="109">
        <v>-36</v>
      </c>
      <c r="AC18" s="110">
        <v>-30</v>
      </c>
      <c r="AD18" s="109">
        <v>-20</v>
      </c>
      <c r="AE18" s="109">
        <v>-19</v>
      </c>
      <c r="AF18" s="109">
        <v>-24</v>
      </c>
      <c r="AG18" s="110">
        <v>-25</v>
      </c>
      <c r="AH18" s="109">
        <v>-16</v>
      </c>
      <c r="AI18" s="109">
        <v>-23</v>
      </c>
      <c r="AJ18" s="109">
        <v>-23</v>
      </c>
      <c r="AK18" s="110">
        <v>-67</v>
      </c>
      <c r="AL18" s="109">
        <v>-89</v>
      </c>
      <c r="AM18" s="109">
        <v>-131</v>
      </c>
      <c r="AN18" s="109">
        <v>-146</v>
      </c>
      <c r="AO18" s="110">
        <v>-110</v>
      </c>
      <c r="AP18" s="109">
        <v>-128</v>
      </c>
      <c r="AQ18" s="109">
        <v>-231</v>
      </c>
      <c r="AR18" s="109">
        <v>-250</v>
      </c>
      <c r="AS18" s="110">
        <v>-248</v>
      </c>
      <c r="AT18" s="109">
        <v>-187</v>
      </c>
      <c r="AU18" s="109">
        <v>-198</v>
      </c>
      <c r="AV18" s="109">
        <v>-181</v>
      </c>
      <c r="AW18" s="110">
        <v>-199</v>
      </c>
      <c r="AX18" s="109">
        <v>-151</v>
      </c>
      <c r="AY18" s="109">
        <v>-144</v>
      </c>
    </row>
    <row r="19" spans="1:51" ht="13">
      <c r="A19" s="97" t="s">
        <v>282</v>
      </c>
      <c r="B19" s="98">
        <v>4955</v>
      </c>
      <c r="C19" s="98">
        <v>4411</v>
      </c>
      <c r="D19" s="98">
        <v>5793</v>
      </c>
      <c r="E19" s="98">
        <v>7201</v>
      </c>
      <c r="F19" s="98">
        <v>7843</v>
      </c>
      <c r="G19" s="98">
        <v>7087</v>
      </c>
      <c r="H19" s="98">
        <v>8964</v>
      </c>
      <c r="I19" s="98">
        <v>10778</v>
      </c>
      <c r="J19" s="98">
        <v>12235</v>
      </c>
      <c r="K19" s="98">
        <v>11439</v>
      </c>
      <c r="L19" s="98">
        <v>11236</v>
      </c>
      <c r="M19" s="89"/>
      <c r="N19" s="98">
        <v>1391</v>
      </c>
      <c r="O19" s="98">
        <v>1458</v>
      </c>
      <c r="P19" s="98">
        <v>1501</v>
      </c>
      <c r="Q19" s="99">
        <v>1443</v>
      </c>
      <c r="R19" s="98">
        <v>1458</v>
      </c>
      <c r="S19" s="98">
        <v>1766</v>
      </c>
      <c r="T19" s="98">
        <v>1861.0172940299999</v>
      </c>
      <c r="U19" s="99">
        <v>2115.9827059700001</v>
      </c>
      <c r="V19" s="98">
        <v>1830</v>
      </c>
      <c r="W19" s="98">
        <v>2225</v>
      </c>
      <c r="X19" s="98">
        <v>1866</v>
      </c>
      <c r="Y19" s="99">
        <v>1922</v>
      </c>
      <c r="Z19" s="98">
        <v>1886</v>
      </c>
      <c r="AA19" s="98">
        <v>1367</v>
      </c>
      <c r="AB19" s="98">
        <v>1744</v>
      </c>
      <c r="AC19" s="99">
        <v>2090</v>
      </c>
      <c r="AD19" s="98">
        <v>1834</v>
      </c>
      <c r="AE19" s="98">
        <v>2138</v>
      </c>
      <c r="AF19" s="98">
        <v>2425</v>
      </c>
      <c r="AG19" s="99">
        <v>2567</v>
      </c>
      <c r="AH19" s="98">
        <v>2564</v>
      </c>
      <c r="AI19" s="98">
        <v>2292</v>
      </c>
      <c r="AJ19" s="98">
        <v>2876</v>
      </c>
      <c r="AK19" s="99">
        <v>3046</v>
      </c>
      <c r="AL19" s="98">
        <v>2964</v>
      </c>
      <c r="AM19" s="98">
        <v>3428</v>
      </c>
      <c r="AN19" s="98">
        <v>2929</v>
      </c>
      <c r="AO19" s="99">
        <v>2914</v>
      </c>
      <c r="AP19" s="98">
        <v>2644</v>
      </c>
      <c r="AQ19" s="98">
        <v>2656</v>
      </c>
      <c r="AR19" s="98">
        <v>3013</v>
      </c>
      <c r="AS19" s="99">
        <v>3126</v>
      </c>
      <c r="AT19" s="98">
        <v>2881</v>
      </c>
      <c r="AU19" s="98">
        <v>2700</v>
      </c>
      <c r="AV19" s="98">
        <v>2566</v>
      </c>
      <c r="AW19" s="99">
        <v>3089</v>
      </c>
      <c r="AX19" s="98">
        <v>2762</v>
      </c>
      <c r="AY19" s="98">
        <v>3186</v>
      </c>
    </row>
    <row r="20" spans="1:51" ht="13">
      <c r="A20" s="100" t="s">
        <v>112</v>
      </c>
      <c r="B20" s="101">
        <v>0.17287094860970589</v>
      </c>
      <c r="C20" s="101">
        <v>0.16275551619806655</v>
      </c>
      <c r="D20" s="101">
        <v>0.18470220635123072</v>
      </c>
      <c r="E20" s="101">
        <v>0.1880893300248139</v>
      </c>
      <c r="F20" s="101">
        <v>0.19199980415677251</v>
      </c>
      <c r="G20" s="101">
        <v>0.19600000000000001</v>
      </c>
      <c r="H20" s="101">
        <v>0.22600000000000001</v>
      </c>
      <c r="I20" s="101">
        <v>0.217</v>
      </c>
      <c r="J20" s="101">
        <v>0.20300000000000001</v>
      </c>
      <c r="K20" s="101">
        <v>0.18</v>
      </c>
      <c r="L20" s="101">
        <v>0.18099999999999999</v>
      </c>
      <c r="M20" s="102"/>
      <c r="N20" s="101">
        <v>0.18769396842531372</v>
      </c>
      <c r="O20" s="101">
        <v>0.18504886406904431</v>
      </c>
      <c r="P20" s="101">
        <v>0.19724047306176085</v>
      </c>
      <c r="Q20" s="103">
        <v>0.17048676748582231</v>
      </c>
      <c r="R20" s="101">
        <v>0.17709218996720516</v>
      </c>
      <c r="S20" s="101">
        <v>0.17941684445799044</v>
      </c>
      <c r="T20" s="101">
        <v>0.1928315505160087</v>
      </c>
      <c r="U20" s="103">
        <v>0.2004151075932942</v>
      </c>
      <c r="V20" s="101">
        <v>0.18702095043433828</v>
      </c>
      <c r="W20" s="101">
        <v>0.20939205721814416</v>
      </c>
      <c r="X20" s="101">
        <v>0.18369757826343769</v>
      </c>
      <c r="Y20" s="103">
        <v>0.18696498054474708</v>
      </c>
      <c r="Z20" s="101">
        <v>0.20599999999999999</v>
      </c>
      <c r="AA20" s="101">
        <v>0.16200000000000001</v>
      </c>
      <c r="AB20" s="101">
        <v>0.2</v>
      </c>
      <c r="AC20" s="103">
        <v>0.21299999999999999</v>
      </c>
      <c r="AD20" s="101">
        <v>0.20899999999999999</v>
      </c>
      <c r="AE20" s="101">
        <v>0.22</v>
      </c>
      <c r="AF20" s="101">
        <v>0.24299999999999999</v>
      </c>
      <c r="AG20" s="103">
        <v>0.22975029087979951</v>
      </c>
      <c r="AH20" s="101">
        <v>0.23100000000000001</v>
      </c>
      <c r="AI20" s="101">
        <v>0.19312436804853386</v>
      </c>
      <c r="AJ20" s="101">
        <v>0.22465239806280268</v>
      </c>
      <c r="AK20" s="103">
        <v>0.21857060849598162</v>
      </c>
      <c r="AL20" s="101">
        <v>0.21372944909143352</v>
      </c>
      <c r="AM20" s="101">
        <v>0.215</v>
      </c>
      <c r="AN20" s="101">
        <v>0.1953057278122291</v>
      </c>
      <c r="AO20" s="103">
        <v>0.18717882836587874</v>
      </c>
      <c r="AP20" s="101">
        <v>0.18694760658983242</v>
      </c>
      <c r="AQ20" s="101">
        <v>0.16086245533280844</v>
      </c>
      <c r="AR20" s="101">
        <v>0.19192305242372126</v>
      </c>
      <c r="AS20" s="103">
        <v>0.18120688655730102</v>
      </c>
      <c r="AT20" s="104" t="s">
        <v>283</v>
      </c>
      <c r="AU20" s="101">
        <v>0.17845340383344349</v>
      </c>
      <c r="AV20" s="101">
        <v>0.1683506101561475</v>
      </c>
      <c r="AW20" s="103">
        <v>0.19198259788688626</v>
      </c>
      <c r="AX20" s="104">
        <v>0.19246045571737161</v>
      </c>
      <c r="AY20" s="101">
        <v>0.19075559813196025</v>
      </c>
    </row>
    <row r="21" spans="1:51" ht="13">
      <c r="A21" s="96" t="s">
        <v>284</v>
      </c>
      <c r="B21" s="111">
        <v>-1384</v>
      </c>
      <c r="C21" s="111">
        <v>-1180</v>
      </c>
      <c r="D21" s="94">
        <v>-1495</v>
      </c>
      <c r="E21" s="94">
        <v>-1764</v>
      </c>
      <c r="F21" s="94">
        <v>-1959</v>
      </c>
      <c r="G21" s="94">
        <v>-1677</v>
      </c>
      <c r="H21" s="111">
        <v>-1895</v>
      </c>
      <c r="I21" s="111">
        <v>-2367</v>
      </c>
      <c r="J21" s="111">
        <v>-2777</v>
      </c>
      <c r="K21" s="111">
        <v>-2683</v>
      </c>
      <c r="L21" s="111">
        <v>-2637</v>
      </c>
      <c r="M21" s="89"/>
      <c r="N21" s="111">
        <v>-342</v>
      </c>
      <c r="O21" s="111">
        <v>-380</v>
      </c>
      <c r="P21" s="111">
        <v>-434</v>
      </c>
      <c r="Q21" s="112">
        <v>-339</v>
      </c>
      <c r="R21" s="94">
        <v>-377</v>
      </c>
      <c r="S21" s="94">
        <v>-445</v>
      </c>
      <c r="T21" s="94">
        <v>-449</v>
      </c>
      <c r="U21" s="95">
        <v>-493</v>
      </c>
      <c r="V21" s="94">
        <v>-456</v>
      </c>
      <c r="W21" s="94">
        <v>-545</v>
      </c>
      <c r="X21" s="94">
        <v>-525</v>
      </c>
      <c r="Y21" s="95">
        <v>-433</v>
      </c>
      <c r="Z21" s="94">
        <v>-464</v>
      </c>
      <c r="AA21" s="94">
        <v>-340</v>
      </c>
      <c r="AB21" s="94">
        <v>-420</v>
      </c>
      <c r="AC21" s="95">
        <v>-453</v>
      </c>
      <c r="AD21" s="94">
        <v>-444</v>
      </c>
      <c r="AE21" s="94">
        <v>-445</v>
      </c>
      <c r="AF21" s="94">
        <v>-496</v>
      </c>
      <c r="AG21" s="95">
        <v>-510</v>
      </c>
      <c r="AH21" s="94">
        <v>-564</v>
      </c>
      <c r="AI21" s="94">
        <v>-519</v>
      </c>
      <c r="AJ21" s="94">
        <v>-633</v>
      </c>
      <c r="AK21" s="95">
        <v>-651</v>
      </c>
      <c r="AL21" s="94">
        <v>-671</v>
      </c>
      <c r="AM21" s="94">
        <v>-775</v>
      </c>
      <c r="AN21" s="94">
        <v>-685</v>
      </c>
      <c r="AO21" s="95">
        <v>-646</v>
      </c>
      <c r="AP21" s="94">
        <v>-634</v>
      </c>
      <c r="AQ21" s="94">
        <v>-612</v>
      </c>
      <c r="AR21" s="94">
        <v>-690</v>
      </c>
      <c r="AS21" s="95">
        <v>-747</v>
      </c>
      <c r="AT21" s="94">
        <v>-685</v>
      </c>
      <c r="AU21" s="94">
        <v>-597</v>
      </c>
      <c r="AV21" s="94">
        <v>-613</v>
      </c>
      <c r="AW21" s="95">
        <v>-742</v>
      </c>
      <c r="AX21" s="94">
        <v>-657</v>
      </c>
      <c r="AY21" s="94">
        <v>-760</v>
      </c>
    </row>
    <row r="22" spans="1:51" ht="13">
      <c r="A22" s="100" t="s">
        <v>285</v>
      </c>
      <c r="B22" s="113"/>
      <c r="C22" s="113"/>
      <c r="D22" s="101">
        <v>0.25807008458484376</v>
      </c>
      <c r="E22" s="101">
        <v>0.24496597694764616</v>
      </c>
      <c r="F22" s="101">
        <v>0.24977687109524416</v>
      </c>
      <c r="G22" s="101">
        <v>0.23699999999999999</v>
      </c>
      <c r="H22" s="101">
        <v>0.21099999999999999</v>
      </c>
      <c r="I22" s="101">
        <v>0.22</v>
      </c>
      <c r="J22" s="101">
        <v>0.22700000000000001</v>
      </c>
      <c r="K22" s="101">
        <v>0.23499999999999999</v>
      </c>
      <c r="L22" s="101">
        <v>0.24</v>
      </c>
      <c r="M22" s="89"/>
      <c r="N22" s="104">
        <v>0.24586628324946083</v>
      </c>
      <c r="O22" s="104">
        <v>0.26063100137174211</v>
      </c>
      <c r="P22" s="104">
        <v>0.28914057295136575</v>
      </c>
      <c r="Q22" s="114">
        <v>0.23492723492723494</v>
      </c>
      <c r="R22" s="101">
        <v>0.25857338820301784</v>
      </c>
      <c r="S22" s="101">
        <v>0.25198187995469989</v>
      </c>
      <c r="T22" s="101">
        <v>0.24126589335862564</v>
      </c>
      <c r="U22" s="103">
        <v>0.23298867169805199</v>
      </c>
      <c r="V22" s="101">
        <v>0.24918032786885247</v>
      </c>
      <c r="W22" s="101">
        <v>0.24494382022471911</v>
      </c>
      <c r="X22" s="101">
        <v>0.28135048231511256</v>
      </c>
      <c r="Y22" s="103">
        <v>0.22528616024973985</v>
      </c>
      <c r="Z22" s="101">
        <v>0.246</v>
      </c>
      <c r="AA22" s="101">
        <v>0.248</v>
      </c>
      <c r="AB22" s="101">
        <v>0.24099999999999999</v>
      </c>
      <c r="AC22" s="103">
        <v>0.217</v>
      </c>
      <c r="AD22" s="101">
        <v>0.24209</v>
      </c>
      <c r="AE22" s="101">
        <v>0.20799999999999999</v>
      </c>
      <c r="AF22" s="101">
        <v>0.20499999999999999</v>
      </c>
      <c r="AG22" s="103">
        <v>0.19900000000000001</v>
      </c>
      <c r="AH22" s="101">
        <v>0.22</v>
      </c>
      <c r="AI22" s="101">
        <v>0.22643979057591601</v>
      </c>
      <c r="AJ22" s="101">
        <v>0.22009735744089001</v>
      </c>
      <c r="AK22" s="103">
        <v>0.21372291529875201</v>
      </c>
      <c r="AL22" s="101">
        <v>0.22638326585695001</v>
      </c>
      <c r="AM22" s="101">
        <v>0.22600000000000001</v>
      </c>
      <c r="AN22" s="101">
        <v>0.23386821440764799</v>
      </c>
      <c r="AO22" s="103">
        <v>0.22168840082360999</v>
      </c>
      <c r="AP22" s="101">
        <v>0.23978819969742801</v>
      </c>
      <c r="AQ22" s="101">
        <v>0.23042168674698801</v>
      </c>
      <c r="AR22" s="101">
        <v>0.229007633587786</v>
      </c>
      <c r="AS22" s="103">
        <v>0.238963531669866</v>
      </c>
      <c r="AT22" s="104" t="s">
        <v>286</v>
      </c>
      <c r="AU22" s="101">
        <v>-0.22111111111111112</v>
      </c>
      <c r="AV22" s="101">
        <v>-0.23889321901792673</v>
      </c>
      <c r="AW22" s="103">
        <v>-0.24020718679184203</v>
      </c>
      <c r="AX22" s="104">
        <v>-0.23787110789283128</v>
      </c>
      <c r="AY22" s="101">
        <v>-0.23854362837413684</v>
      </c>
    </row>
    <row r="23" spans="1:51" ht="13">
      <c r="A23" s="97" t="s">
        <v>287</v>
      </c>
      <c r="B23" s="98">
        <v>3571</v>
      </c>
      <c r="C23" s="98">
        <v>3231</v>
      </c>
      <c r="D23" s="98">
        <v>4298</v>
      </c>
      <c r="E23" s="98">
        <v>5437</v>
      </c>
      <c r="F23" s="98">
        <v>5884</v>
      </c>
      <c r="G23" s="98">
        <v>5410</v>
      </c>
      <c r="H23" s="98">
        <v>7069</v>
      </c>
      <c r="I23" s="98">
        <v>8411</v>
      </c>
      <c r="J23" s="98">
        <v>9458</v>
      </c>
      <c r="K23" s="98">
        <v>8756</v>
      </c>
      <c r="L23" s="98">
        <v>8599</v>
      </c>
      <c r="M23" s="89"/>
      <c r="N23" s="98">
        <v>1049</v>
      </c>
      <c r="O23" s="98">
        <v>1078</v>
      </c>
      <c r="P23" s="98">
        <v>1067</v>
      </c>
      <c r="Q23" s="99">
        <v>1104</v>
      </c>
      <c r="R23" s="98">
        <v>1081</v>
      </c>
      <c r="S23" s="98">
        <v>1321</v>
      </c>
      <c r="T23" s="98">
        <v>1412.0172940299999</v>
      </c>
      <c r="U23" s="99">
        <v>1622.9827059700001</v>
      </c>
      <c r="V23" s="98">
        <v>1374</v>
      </c>
      <c r="W23" s="98">
        <v>1680</v>
      </c>
      <c r="X23" s="98">
        <v>1341</v>
      </c>
      <c r="Y23" s="99">
        <v>1489</v>
      </c>
      <c r="Z23" s="98">
        <v>1422</v>
      </c>
      <c r="AA23" s="98">
        <v>1027</v>
      </c>
      <c r="AB23" s="98">
        <v>1324</v>
      </c>
      <c r="AC23" s="99">
        <v>1637</v>
      </c>
      <c r="AD23" s="98">
        <v>1390</v>
      </c>
      <c r="AE23" s="98">
        <v>1693</v>
      </c>
      <c r="AF23" s="98">
        <v>1929</v>
      </c>
      <c r="AG23" s="99">
        <v>2057</v>
      </c>
      <c r="AH23" s="98">
        <v>2000</v>
      </c>
      <c r="AI23" s="98">
        <v>1773</v>
      </c>
      <c r="AJ23" s="98">
        <v>2243</v>
      </c>
      <c r="AK23" s="99">
        <v>2395</v>
      </c>
      <c r="AL23" s="98">
        <v>2293</v>
      </c>
      <c r="AM23" s="98">
        <v>2653</v>
      </c>
      <c r="AN23" s="98">
        <v>2244</v>
      </c>
      <c r="AO23" s="99">
        <v>2268</v>
      </c>
      <c r="AP23" s="98">
        <v>2010</v>
      </c>
      <c r="AQ23" s="98">
        <v>2044</v>
      </c>
      <c r="AR23" s="98">
        <v>2323</v>
      </c>
      <c r="AS23" s="99">
        <v>2379</v>
      </c>
      <c r="AT23" s="98">
        <v>2196</v>
      </c>
      <c r="AU23" s="98">
        <v>2103</v>
      </c>
      <c r="AV23" s="98">
        <v>1953</v>
      </c>
      <c r="AW23" s="99">
        <v>2347</v>
      </c>
      <c r="AX23" s="98">
        <v>2105</v>
      </c>
      <c r="AY23" s="98">
        <v>2426</v>
      </c>
    </row>
    <row r="24" spans="1:51" ht="13.5" customHeight="1">
      <c r="A24" s="115" t="s">
        <v>288</v>
      </c>
      <c r="B24" s="94">
        <v>3582</v>
      </c>
      <c r="C24" s="94">
        <v>3235</v>
      </c>
      <c r="D24" s="94">
        <v>4298</v>
      </c>
      <c r="E24" s="94">
        <v>5430</v>
      </c>
      <c r="F24" s="94">
        <v>5874</v>
      </c>
      <c r="G24" s="94">
        <v>5399</v>
      </c>
      <c r="H24" s="94">
        <v>7058</v>
      </c>
      <c r="I24" s="94">
        <v>8397</v>
      </c>
      <c r="J24" s="94">
        <v>9431</v>
      </c>
      <c r="K24" s="94">
        <v>8731</v>
      </c>
      <c r="L24" s="94">
        <v>8602</v>
      </c>
      <c r="M24" s="89"/>
      <c r="N24" s="94">
        <v>1049</v>
      </c>
      <c r="O24" s="94">
        <v>1078</v>
      </c>
      <c r="P24" s="94">
        <v>1067</v>
      </c>
      <c r="Q24" s="95">
        <v>1104</v>
      </c>
      <c r="R24" s="94">
        <v>1079</v>
      </c>
      <c r="S24" s="94">
        <v>1319</v>
      </c>
      <c r="T24" s="94">
        <v>1410.0172940299999</v>
      </c>
      <c r="U24" s="95">
        <v>1621.9827059700001</v>
      </c>
      <c r="V24" s="94">
        <v>1372</v>
      </c>
      <c r="W24" s="94">
        <v>1678</v>
      </c>
      <c r="X24" s="94">
        <v>1339</v>
      </c>
      <c r="Y24" s="95">
        <v>1485</v>
      </c>
      <c r="Z24" s="94">
        <v>1420</v>
      </c>
      <c r="AA24" s="94">
        <v>1026</v>
      </c>
      <c r="AB24" s="94">
        <v>1320</v>
      </c>
      <c r="AC24" s="95">
        <v>1633</v>
      </c>
      <c r="AD24" s="94">
        <v>1387</v>
      </c>
      <c r="AE24" s="94">
        <v>1691</v>
      </c>
      <c r="AF24" s="94">
        <v>1926</v>
      </c>
      <c r="AG24" s="95">
        <v>2054</v>
      </c>
      <c r="AH24" s="94">
        <v>1997</v>
      </c>
      <c r="AI24" s="94">
        <v>1770</v>
      </c>
      <c r="AJ24" s="94">
        <v>2239</v>
      </c>
      <c r="AK24" s="95">
        <v>2391</v>
      </c>
      <c r="AL24" s="94">
        <v>2290</v>
      </c>
      <c r="AM24" s="94">
        <v>2645</v>
      </c>
      <c r="AN24" s="94">
        <v>2235</v>
      </c>
      <c r="AO24" s="95">
        <v>2261</v>
      </c>
      <c r="AP24" s="94">
        <v>2008</v>
      </c>
      <c r="AQ24" s="94">
        <v>2042</v>
      </c>
      <c r="AR24" s="94">
        <v>2318</v>
      </c>
      <c r="AS24" s="95">
        <v>2363</v>
      </c>
      <c r="AT24" s="94">
        <v>2200</v>
      </c>
      <c r="AU24" s="94">
        <v>2098</v>
      </c>
      <c r="AV24" s="94">
        <v>1955</v>
      </c>
      <c r="AW24" s="95">
        <v>2349</v>
      </c>
      <c r="AX24" s="94">
        <v>2104</v>
      </c>
      <c r="AY24" s="94">
        <v>2431</v>
      </c>
    </row>
    <row r="25" spans="1:51" ht="13">
      <c r="A25" s="115" t="s">
        <v>289</v>
      </c>
      <c r="B25" s="94">
        <v>-11</v>
      </c>
      <c r="C25" s="94">
        <v>-4</v>
      </c>
      <c r="D25" s="94">
        <v>0</v>
      </c>
      <c r="E25" s="94">
        <v>7</v>
      </c>
      <c r="F25" s="94">
        <v>10</v>
      </c>
      <c r="G25" s="116">
        <v>11</v>
      </c>
      <c r="H25" s="116">
        <v>11</v>
      </c>
      <c r="I25" s="116">
        <v>14</v>
      </c>
      <c r="J25" s="116">
        <v>27</v>
      </c>
      <c r="K25" s="116">
        <v>25</v>
      </c>
      <c r="L25" s="116">
        <v>-3</v>
      </c>
      <c r="M25" s="89"/>
      <c r="N25" s="94">
        <v>0</v>
      </c>
      <c r="O25" s="94">
        <v>0</v>
      </c>
      <c r="P25" s="94">
        <v>0</v>
      </c>
      <c r="Q25" s="95">
        <v>0</v>
      </c>
      <c r="R25" s="94">
        <v>2</v>
      </c>
      <c r="S25" s="94">
        <v>2</v>
      </c>
      <c r="T25" s="94">
        <v>2</v>
      </c>
      <c r="U25" s="95">
        <v>1</v>
      </c>
      <c r="V25" s="94">
        <v>2</v>
      </c>
      <c r="W25" s="94">
        <v>2</v>
      </c>
      <c r="X25" s="94">
        <v>2</v>
      </c>
      <c r="Y25" s="95">
        <v>4</v>
      </c>
      <c r="Z25" s="94">
        <v>2</v>
      </c>
      <c r="AA25" s="94">
        <v>1</v>
      </c>
      <c r="AB25" s="94">
        <v>4</v>
      </c>
      <c r="AC25" s="95">
        <v>4</v>
      </c>
      <c r="AD25" s="94">
        <v>3</v>
      </c>
      <c r="AE25" s="94">
        <v>2</v>
      </c>
      <c r="AF25" s="94">
        <v>3</v>
      </c>
      <c r="AG25" s="95">
        <v>3</v>
      </c>
      <c r="AH25" s="94">
        <v>3</v>
      </c>
      <c r="AI25" s="94">
        <v>3</v>
      </c>
      <c r="AJ25" s="94">
        <v>4</v>
      </c>
      <c r="AK25" s="95">
        <v>4</v>
      </c>
      <c r="AL25" s="94">
        <v>3</v>
      </c>
      <c r="AM25" s="94">
        <v>8</v>
      </c>
      <c r="AN25" s="94">
        <v>9</v>
      </c>
      <c r="AO25" s="95">
        <v>7</v>
      </c>
      <c r="AP25" s="94">
        <v>2</v>
      </c>
      <c r="AQ25" s="94">
        <v>2</v>
      </c>
      <c r="AR25" s="94">
        <v>5</v>
      </c>
      <c r="AS25" s="95">
        <v>16</v>
      </c>
      <c r="AT25" s="94">
        <v>-4</v>
      </c>
      <c r="AU25" s="94">
        <v>5</v>
      </c>
      <c r="AV25" s="94">
        <v>-2</v>
      </c>
      <c r="AW25" s="95">
        <v>-2</v>
      </c>
      <c r="AX25" s="94">
        <v>1</v>
      </c>
      <c r="AY25" s="94">
        <v>-5</v>
      </c>
    </row>
  </sheetData>
  <hyperlinks>
    <hyperlink ref="A2" location="'START PAGE'!A1" display="Back to start page" xr:uid="{CCAD3905-A340-407C-906A-29527A29D64F}"/>
  </hyperlinks>
  <pageMargins left="0.7" right="0.7" top="0.75" bottom="0.75" header="0.3" footer="0.3"/>
  <pageSetup paperSize="9" scale="4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AE3A-9DA3-4E1D-B811-B01CD87DB5E3}">
  <sheetPr>
    <tabColor rgb="FFFFCD00"/>
    <pageSetUpPr fitToPage="1"/>
  </sheetPr>
  <dimension ref="A1:AZ117"/>
  <sheetViews>
    <sheetView showGridLines="0" workbookViewId="0"/>
  </sheetViews>
  <sheetFormatPr baseColWidth="10" defaultColWidth="10" defaultRowHeight="13.5" customHeight="1"/>
  <cols>
    <col min="1" max="1" width="46.6640625" customWidth="1"/>
    <col min="2" max="7" width="8.5" customWidth="1"/>
    <col min="8" max="10" width="9" customWidth="1"/>
    <col min="11" max="12" width="8.5" customWidth="1"/>
    <col min="13" max="13" width="6.6640625" customWidth="1"/>
    <col min="14" max="14" width="9" customWidth="1"/>
    <col min="15" max="33" width="5.6640625" customWidth="1"/>
    <col min="34" max="34" width="6.33203125" customWidth="1"/>
    <col min="35" max="35" width="5.6640625" customWidth="1"/>
    <col min="36" max="51" width="6.33203125" customWidth="1"/>
  </cols>
  <sheetData>
    <row r="1" spans="1:51" ht="17" thickBot="1">
      <c r="A1" s="1" t="s">
        <v>290</v>
      </c>
      <c r="B1" s="117" t="s">
        <v>124</v>
      </c>
      <c r="C1" s="117"/>
      <c r="D1" s="117"/>
      <c r="E1" s="118"/>
      <c r="F1" s="118"/>
      <c r="G1" s="118"/>
      <c r="H1" s="118"/>
      <c r="I1" s="119"/>
      <c r="J1" s="118"/>
      <c r="K1" s="117"/>
      <c r="L1" s="117"/>
      <c r="M1" s="118"/>
      <c r="N1" s="117" t="s">
        <v>125</v>
      </c>
      <c r="O1" s="118"/>
      <c r="P1" s="118"/>
      <c r="Q1" s="120"/>
      <c r="R1" s="117"/>
      <c r="S1" s="118"/>
      <c r="T1" s="118"/>
      <c r="U1" s="120"/>
      <c r="V1" s="117"/>
      <c r="W1" s="118"/>
      <c r="X1" s="118"/>
      <c r="Y1" s="120"/>
      <c r="Z1" s="117"/>
      <c r="AA1" s="118"/>
      <c r="AB1" s="118"/>
      <c r="AC1" s="120"/>
      <c r="AD1" s="117"/>
      <c r="AE1" s="118"/>
      <c r="AF1" s="118"/>
      <c r="AG1" s="120"/>
      <c r="AH1" s="117"/>
      <c r="AI1" s="118"/>
      <c r="AJ1" s="118"/>
      <c r="AK1" s="120"/>
      <c r="AL1" s="117"/>
      <c r="AM1" s="118"/>
      <c r="AN1" s="118"/>
      <c r="AO1" s="120"/>
      <c r="AP1" s="117"/>
      <c r="AQ1" s="118"/>
      <c r="AR1" s="118"/>
      <c r="AS1" s="120"/>
      <c r="AT1" s="117"/>
      <c r="AU1" s="118"/>
      <c r="AV1" s="118"/>
      <c r="AW1" s="120"/>
      <c r="AX1" s="117"/>
      <c r="AY1" s="118"/>
    </row>
    <row r="2" spans="1:51" ht="15" thickTop="1" thickBot="1">
      <c r="A2" s="18" t="s">
        <v>30</v>
      </c>
      <c r="B2" s="89"/>
      <c r="C2" s="89"/>
      <c r="D2" s="89"/>
      <c r="E2" s="89"/>
      <c r="F2" s="89"/>
      <c r="G2" s="89"/>
      <c r="H2" s="89"/>
      <c r="I2" s="121" t="s">
        <v>291</v>
      </c>
      <c r="J2" s="122" t="s">
        <v>292</v>
      </c>
      <c r="K2" s="89"/>
      <c r="L2" s="89"/>
      <c r="M2" s="89"/>
      <c r="N2" s="89"/>
      <c r="O2" s="89"/>
      <c r="P2" s="89"/>
      <c r="Q2" s="92"/>
      <c r="R2" s="89"/>
      <c r="S2" s="89"/>
      <c r="T2" s="89"/>
      <c r="U2" s="92"/>
      <c r="V2" s="89"/>
      <c r="W2" s="89"/>
      <c r="X2" s="89"/>
      <c r="Y2" s="92"/>
      <c r="Z2" s="89"/>
      <c r="AA2" s="89"/>
      <c r="AB2" s="89"/>
      <c r="AC2" s="92"/>
      <c r="AD2" s="89"/>
      <c r="AE2" s="89"/>
      <c r="AF2" s="89"/>
      <c r="AG2" s="92"/>
      <c r="AH2" s="121" t="s">
        <v>291</v>
      </c>
      <c r="AI2" s="89"/>
      <c r="AJ2" s="89"/>
      <c r="AK2" s="92"/>
      <c r="AL2" s="122" t="s">
        <v>292</v>
      </c>
      <c r="AM2" s="89"/>
      <c r="AN2" s="89"/>
      <c r="AO2" s="92"/>
      <c r="AP2" s="89"/>
      <c r="AQ2" s="89"/>
      <c r="AR2" s="89"/>
      <c r="AS2" s="92"/>
      <c r="AT2" s="89"/>
      <c r="AU2" s="89"/>
      <c r="AV2" s="89"/>
      <c r="AW2" s="92"/>
      <c r="AX2" s="89"/>
      <c r="AY2" s="89"/>
    </row>
    <row r="3" spans="1:51" ht="14" thickTop="1">
      <c r="A3" s="123" t="s">
        <v>159</v>
      </c>
      <c r="B3" s="124">
        <v>2015</v>
      </c>
      <c r="C3" s="124">
        <v>2016</v>
      </c>
      <c r="D3" s="124">
        <v>2017</v>
      </c>
      <c r="E3" s="124">
        <v>2018</v>
      </c>
      <c r="F3" s="124" t="s">
        <v>262</v>
      </c>
      <c r="G3" s="124" t="s">
        <v>263</v>
      </c>
      <c r="H3" s="124">
        <v>2021</v>
      </c>
      <c r="I3" s="124">
        <v>2022</v>
      </c>
      <c r="J3" s="124">
        <v>2023</v>
      </c>
      <c r="K3" s="124">
        <v>2024</v>
      </c>
      <c r="L3" s="124">
        <v>2025</v>
      </c>
      <c r="M3" s="89"/>
      <c r="N3" s="124" t="s">
        <v>264</v>
      </c>
      <c r="O3" s="124" t="s">
        <v>265</v>
      </c>
      <c r="P3" s="124" t="s">
        <v>266</v>
      </c>
      <c r="Q3" s="125" t="s">
        <v>267</v>
      </c>
      <c r="R3" s="124" t="s">
        <v>128</v>
      </c>
      <c r="S3" s="124" t="s">
        <v>129</v>
      </c>
      <c r="T3" s="124" t="s">
        <v>130</v>
      </c>
      <c r="U3" s="125" t="s">
        <v>131</v>
      </c>
      <c r="V3" s="124" t="s">
        <v>132</v>
      </c>
      <c r="W3" s="124" t="s">
        <v>133</v>
      </c>
      <c r="X3" s="124" t="s">
        <v>134</v>
      </c>
      <c r="Y3" s="125" t="s">
        <v>135</v>
      </c>
      <c r="Z3" s="124" t="s">
        <v>136</v>
      </c>
      <c r="AA3" s="124" t="s">
        <v>137</v>
      </c>
      <c r="AB3" s="124" t="s">
        <v>138</v>
      </c>
      <c r="AC3" s="125" t="s">
        <v>139</v>
      </c>
      <c r="AD3" s="124" t="s">
        <v>140</v>
      </c>
      <c r="AE3" s="124" t="s">
        <v>141</v>
      </c>
      <c r="AF3" s="124" t="s">
        <v>142</v>
      </c>
      <c r="AG3" s="125" t="s">
        <v>143</v>
      </c>
      <c r="AH3" s="124" t="s">
        <v>144</v>
      </c>
      <c r="AI3" s="124" t="s">
        <v>145</v>
      </c>
      <c r="AJ3" s="124" t="s">
        <v>146</v>
      </c>
      <c r="AK3" s="125" t="s">
        <v>147</v>
      </c>
      <c r="AL3" s="124" t="s">
        <v>148</v>
      </c>
      <c r="AM3" s="124" t="s">
        <v>149</v>
      </c>
      <c r="AN3" s="124" t="s">
        <v>150</v>
      </c>
      <c r="AO3" s="125" t="s">
        <v>151</v>
      </c>
      <c r="AP3" s="124" t="s">
        <v>152</v>
      </c>
      <c r="AQ3" s="124" t="s">
        <v>153</v>
      </c>
      <c r="AR3" s="124" t="s">
        <v>154</v>
      </c>
      <c r="AS3" s="125" t="s">
        <v>155</v>
      </c>
      <c r="AT3" s="124" t="s">
        <v>156</v>
      </c>
      <c r="AU3" s="124" t="s">
        <v>157</v>
      </c>
      <c r="AV3" s="124" t="s">
        <v>158</v>
      </c>
      <c r="AW3" s="125" t="s">
        <v>820</v>
      </c>
      <c r="AX3" s="124" t="s">
        <v>1275</v>
      </c>
      <c r="AY3" s="124" t="s">
        <v>1344</v>
      </c>
    </row>
    <row r="4" spans="1:51" ht="13">
      <c r="A4" s="126" t="s">
        <v>293</v>
      </c>
      <c r="B4" s="127">
        <v>19213</v>
      </c>
      <c r="C4" s="127">
        <v>19413</v>
      </c>
      <c r="D4" s="127">
        <v>24574.266098877102</v>
      </c>
      <c r="E4" s="127">
        <v>29695</v>
      </c>
      <c r="F4" s="127">
        <v>28509</v>
      </c>
      <c r="G4" s="127">
        <v>27252</v>
      </c>
      <c r="H4" s="127">
        <f t="shared" ref="H4:H9" si="0">SUM(AD4:AG4)</f>
        <v>34513</v>
      </c>
      <c r="I4" s="128">
        <v>42691</v>
      </c>
      <c r="J4" s="127">
        <f>46708-31</f>
        <v>46677</v>
      </c>
      <c r="K4" s="127">
        <v>47423</v>
      </c>
      <c r="L4" s="127">
        <v>47635</v>
      </c>
      <c r="M4" s="89"/>
      <c r="N4" s="127">
        <v>6200.2283143322002</v>
      </c>
      <c r="O4" s="127">
        <v>6323.0377845449002</v>
      </c>
      <c r="P4" s="127">
        <v>6263</v>
      </c>
      <c r="Q4" s="129">
        <v>5788</v>
      </c>
      <c r="R4" s="127">
        <v>7442</v>
      </c>
      <c r="S4" s="127">
        <v>7947</v>
      </c>
      <c r="T4" s="127">
        <v>7190</v>
      </c>
      <c r="U4" s="129">
        <v>7116</v>
      </c>
      <c r="V4" s="127">
        <v>7248</v>
      </c>
      <c r="W4" s="127">
        <v>7677</v>
      </c>
      <c r="X4" s="127">
        <v>6874</v>
      </c>
      <c r="Y4" s="129">
        <v>6710</v>
      </c>
      <c r="Z4" s="127">
        <v>7101</v>
      </c>
      <c r="AA4" s="127">
        <v>6129</v>
      </c>
      <c r="AB4" s="127">
        <v>7068</v>
      </c>
      <c r="AC4" s="129">
        <v>6954</v>
      </c>
      <c r="AD4" s="127">
        <v>7991</v>
      </c>
      <c r="AE4" s="127">
        <v>8387</v>
      </c>
      <c r="AF4" s="127">
        <v>9336</v>
      </c>
      <c r="AG4" s="129">
        <v>8799</v>
      </c>
      <c r="AH4" s="128">
        <v>10840</v>
      </c>
      <c r="AI4" s="128">
        <v>10897</v>
      </c>
      <c r="AJ4" s="128">
        <v>9791</v>
      </c>
      <c r="AK4" s="130">
        <v>11163</v>
      </c>
      <c r="AL4" s="127">
        <v>11539</v>
      </c>
      <c r="AM4" s="127">
        <v>12276</v>
      </c>
      <c r="AN4" s="127">
        <v>11311</v>
      </c>
      <c r="AO4" s="129">
        <v>11551</v>
      </c>
      <c r="AP4" s="127">
        <v>11025</v>
      </c>
      <c r="AQ4" s="127">
        <v>12388</v>
      </c>
      <c r="AR4" s="127">
        <v>11830</v>
      </c>
      <c r="AS4" s="129">
        <v>12180</v>
      </c>
      <c r="AT4" s="127">
        <v>12377</v>
      </c>
      <c r="AU4" s="127">
        <v>11506</v>
      </c>
      <c r="AV4" s="127">
        <v>11439</v>
      </c>
      <c r="AW4" s="129">
        <v>12313</v>
      </c>
      <c r="AX4" s="127">
        <v>14230</v>
      </c>
      <c r="AY4" s="127">
        <v>13432</v>
      </c>
    </row>
    <row r="5" spans="1:51" ht="13">
      <c r="A5" s="131" t="s">
        <v>294</v>
      </c>
      <c r="B5" s="132">
        <v>7776</v>
      </c>
      <c r="C5" s="132">
        <v>8506</v>
      </c>
      <c r="D5" s="132">
        <v>12246</v>
      </c>
      <c r="E5" s="132">
        <v>15244</v>
      </c>
      <c r="F5" s="132">
        <v>12355</v>
      </c>
      <c r="G5" s="132">
        <v>11326</v>
      </c>
      <c r="H5" s="132">
        <f t="shared" si="0"/>
        <v>16403</v>
      </c>
      <c r="I5" s="133">
        <v>18314</v>
      </c>
      <c r="J5" s="134">
        <f>20218-31</f>
        <v>20187</v>
      </c>
      <c r="K5" s="132">
        <v>20102</v>
      </c>
      <c r="L5" s="132">
        <v>21553</v>
      </c>
      <c r="M5" s="89"/>
      <c r="N5" s="132">
        <v>3147</v>
      </c>
      <c r="O5" s="132">
        <v>3142</v>
      </c>
      <c r="P5" s="132">
        <v>3281</v>
      </c>
      <c r="Q5" s="135">
        <v>2676</v>
      </c>
      <c r="R5" s="132">
        <v>4054</v>
      </c>
      <c r="S5" s="132">
        <v>4234</v>
      </c>
      <c r="T5" s="132">
        <v>3601</v>
      </c>
      <c r="U5" s="135">
        <v>3355</v>
      </c>
      <c r="V5" s="132">
        <v>3442</v>
      </c>
      <c r="W5" s="132">
        <v>3580</v>
      </c>
      <c r="X5" s="132">
        <v>2727</v>
      </c>
      <c r="Y5" s="135">
        <v>2606</v>
      </c>
      <c r="Z5" s="132">
        <v>2850</v>
      </c>
      <c r="AA5" s="132">
        <v>2410</v>
      </c>
      <c r="AB5" s="132">
        <v>3099</v>
      </c>
      <c r="AC5" s="135">
        <v>2967</v>
      </c>
      <c r="AD5" s="132">
        <v>4028</v>
      </c>
      <c r="AE5" s="132">
        <v>4031</v>
      </c>
      <c r="AF5" s="132">
        <v>4532</v>
      </c>
      <c r="AG5" s="135">
        <v>3812</v>
      </c>
      <c r="AH5" s="133">
        <v>5537</v>
      </c>
      <c r="AI5" s="133">
        <v>5012</v>
      </c>
      <c r="AJ5" s="133">
        <v>3702</v>
      </c>
      <c r="AK5" s="136">
        <v>4063</v>
      </c>
      <c r="AL5" s="134">
        <v>5151</v>
      </c>
      <c r="AM5" s="134">
        <v>5404</v>
      </c>
      <c r="AN5" s="134">
        <v>4739</v>
      </c>
      <c r="AO5" s="137">
        <v>4923.92</v>
      </c>
      <c r="AP5" s="132">
        <v>4404</v>
      </c>
      <c r="AQ5" s="132">
        <v>5406.3778785867999</v>
      </c>
      <c r="AR5" s="132">
        <v>5169.6221214132001</v>
      </c>
      <c r="AS5" s="138">
        <v>5122</v>
      </c>
      <c r="AT5" s="132">
        <v>5722</v>
      </c>
      <c r="AU5" s="132">
        <v>5009</v>
      </c>
      <c r="AV5" s="132">
        <v>5217</v>
      </c>
      <c r="AW5" s="138">
        <v>5605</v>
      </c>
      <c r="AX5" s="132">
        <v>7410</v>
      </c>
      <c r="AY5" s="132">
        <v>6467</v>
      </c>
    </row>
    <row r="6" spans="1:51" ht="13">
      <c r="A6" s="131" t="s">
        <v>295</v>
      </c>
      <c r="B6" s="139">
        <v>11437</v>
      </c>
      <c r="C6" s="139">
        <v>10907</v>
      </c>
      <c r="D6" s="139">
        <v>12328</v>
      </c>
      <c r="E6" s="139">
        <v>14451</v>
      </c>
      <c r="F6" s="139">
        <v>16154</v>
      </c>
      <c r="G6" s="139">
        <v>15926</v>
      </c>
      <c r="H6" s="139">
        <f t="shared" si="0"/>
        <v>18110</v>
      </c>
      <c r="I6" s="140">
        <v>24377</v>
      </c>
      <c r="J6" s="141">
        <v>26490</v>
      </c>
      <c r="K6" s="139">
        <v>27321</v>
      </c>
      <c r="L6" s="139">
        <v>26082</v>
      </c>
      <c r="M6" s="89"/>
      <c r="N6" s="139">
        <v>3053</v>
      </c>
      <c r="O6" s="139">
        <v>3181</v>
      </c>
      <c r="P6" s="139">
        <v>2982</v>
      </c>
      <c r="Q6" s="142">
        <v>3112</v>
      </c>
      <c r="R6" s="139">
        <v>3388</v>
      </c>
      <c r="S6" s="139">
        <v>3713</v>
      </c>
      <c r="T6" s="139">
        <v>3589</v>
      </c>
      <c r="U6" s="142">
        <v>3761</v>
      </c>
      <c r="V6" s="139">
        <v>3806</v>
      </c>
      <c r="W6" s="139">
        <v>4097</v>
      </c>
      <c r="X6" s="139">
        <v>4147</v>
      </c>
      <c r="Y6" s="142">
        <v>4105</v>
      </c>
      <c r="Z6" s="139">
        <v>4251</v>
      </c>
      <c r="AA6" s="139">
        <v>3719</v>
      </c>
      <c r="AB6" s="139">
        <v>3969</v>
      </c>
      <c r="AC6" s="142">
        <v>3987</v>
      </c>
      <c r="AD6" s="139">
        <v>3963</v>
      </c>
      <c r="AE6" s="139">
        <v>4356</v>
      </c>
      <c r="AF6" s="139">
        <v>4804</v>
      </c>
      <c r="AG6" s="142">
        <v>4987</v>
      </c>
      <c r="AH6" s="140">
        <v>5303</v>
      </c>
      <c r="AI6" s="140">
        <v>5885</v>
      </c>
      <c r="AJ6" s="140">
        <v>6089</v>
      </c>
      <c r="AK6" s="143">
        <v>7100</v>
      </c>
      <c r="AL6" s="141">
        <v>6388</v>
      </c>
      <c r="AM6" s="141">
        <v>6872</v>
      </c>
      <c r="AN6" s="141">
        <v>6572</v>
      </c>
      <c r="AO6" s="144">
        <v>6627.08</v>
      </c>
      <c r="AP6" s="139">
        <v>6621</v>
      </c>
      <c r="AQ6" s="139">
        <v>6981.6221214132001</v>
      </c>
      <c r="AR6" s="139">
        <v>6660.3778785867999</v>
      </c>
      <c r="AS6" s="145">
        <v>7058</v>
      </c>
      <c r="AT6" s="139">
        <v>6655</v>
      </c>
      <c r="AU6" s="139">
        <v>6497</v>
      </c>
      <c r="AV6" s="139">
        <v>6222</v>
      </c>
      <c r="AW6" s="145">
        <v>6708</v>
      </c>
      <c r="AX6" s="139">
        <v>6820</v>
      </c>
      <c r="AY6" s="139">
        <v>6965</v>
      </c>
    </row>
    <row r="7" spans="1:51" ht="13">
      <c r="A7" s="126" t="s">
        <v>296</v>
      </c>
      <c r="B7" s="127">
        <v>8109</v>
      </c>
      <c r="C7" s="127">
        <v>7947</v>
      </c>
      <c r="D7" s="127">
        <v>9047.0275727111002</v>
      </c>
      <c r="E7" s="127">
        <v>9611</v>
      </c>
      <c r="F7" s="127">
        <v>10768</v>
      </c>
      <c r="G7" s="127">
        <v>9185</v>
      </c>
      <c r="H7" s="127">
        <f t="shared" si="0"/>
        <v>11025</v>
      </c>
      <c r="I7" s="128">
        <v>10670</v>
      </c>
      <c r="J7" s="127">
        <f>12466-402</f>
        <v>12064</v>
      </c>
      <c r="K7" s="127">
        <v>14663</v>
      </c>
      <c r="L7" s="127">
        <v>15252</v>
      </c>
      <c r="M7" s="89"/>
      <c r="N7" s="127">
        <v>2341.2545534702999</v>
      </c>
      <c r="O7" s="127">
        <v>2269.6157532337002</v>
      </c>
      <c r="P7" s="127">
        <v>2239.1572660071001</v>
      </c>
      <c r="Q7" s="129">
        <v>2197</v>
      </c>
      <c r="R7" s="127">
        <v>2550</v>
      </c>
      <c r="S7" s="127">
        <v>2470</v>
      </c>
      <c r="T7" s="127">
        <v>2285</v>
      </c>
      <c r="U7" s="129">
        <v>2306</v>
      </c>
      <c r="V7" s="127">
        <v>2760</v>
      </c>
      <c r="W7" s="127">
        <v>2826</v>
      </c>
      <c r="X7" s="127">
        <v>2665</v>
      </c>
      <c r="Y7" s="129">
        <v>2517</v>
      </c>
      <c r="Z7" s="127">
        <v>2619</v>
      </c>
      <c r="AA7" s="127">
        <v>1980</v>
      </c>
      <c r="AB7" s="127">
        <v>2249</v>
      </c>
      <c r="AC7" s="129">
        <v>2337</v>
      </c>
      <c r="AD7" s="127">
        <v>2674</v>
      </c>
      <c r="AE7" s="127">
        <v>2678</v>
      </c>
      <c r="AF7" s="127">
        <v>2866</v>
      </c>
      <c r="AG7" s="129">
        <v>2807</v>
      </c>
      <c r="AH7" s="128">
        <v>2970</v>
      </c>
      <c r="AI7" s="128">
        <v>2495</v>
      </c>
      <c r="AJ7" s="128">
        <v>2502</v>
      </c>
      <c r="AK7" s="130">
        <v>2703</v>
      </c>
      <c r="AL7" s="127">
        <v>3133</v>
      </c>
      <c r="AM7" s="127">
        <v>3180</v>
      </c>
      <c r="AN7" s="127">
        <v>2924</v>
      </c>
      <c r="AO7" s="129">
        <v>2827</v>
      </c>
      <c r="AP7" s="127">
        <v>3122</v>
      </c>
      <c r="AQ7" s="127">
        <v>3947</v>
      </c>
      <c r="AR7" s="127">
        <v>3656</v>
      </c>
      <c r="AS7" s="129">
        <v>3938</v>
      </c>
      <c r="AT7" s="127">
        <v>4187</v>
      </c>
      <c r="AU7" s="127">
        <v>3743</v>
      </c>
      <c r="AV7" s="127">
        <v>3677</v>
      </c>
      <c r="AW7" s="129">
        <v>3645</v>
      </c>
      <c r="AX7" s="127">
        <v>4099</v>
      </c>
      <c r="AY7" s="127">
        <v>3864</v>
      </c>
    </row>
    <row r="8" spans="1:51" ht="13">
      <c r="A8" s="126" t="s">
        <v>297</v>
      </c>
      <c r="B8" s="127">
        <v>229</v>
      </c>
      <c r="C8" s="127">
        <v>274</v>
      </c>
      <c r="D8" s="127">
        <v>210</v>
      </c>
      <c r="E8" s="127">
        <v>94</v>
      </c>
      <c r="F8" s="127">
        <v>215</v>
      </c>
      <c r="G8" s="127">
        <v>142</v>
      </c>
      <c r="H8" s="127">
        <f t="shared" si="0"/>
        <v>110</v>
      </c>
      <c r="I8" s="146">
        <v>-139</v>
      </c>
      <c r="J8" s="127">
        <v>158</v>
      </c>
      <c r="K8" s="127">
        <v>127</v>
      </c>
      <c r="L8" s="127">
        <v>87</v>
      </c>
      <c r="M8" s="89"/>
      <c r="N8" s="127">
        <v>-21</v>
      </c>
      <c r="O8" s="127">
        <v>68.861974440200356</v>
      </c>
      <c r="P8" s="127">
        <v>89</v>
      </c>
      <c r="Q8" s="129">
        <v>73</v>
      </c>
      <c r="R8" s="127">
        <v>44</v>
      </c>
      <c r="S8" s="127">
        <v>66</v>
      </c>
      <c r="T8" s="127">
        <v>-62</v>
      </c>
      <c r="U8" s="129">
        <v>46</v>
      </c>
      <c r="V8" s="127">
        <v>55</v>
      </c>
      <c r="W8" s="127">
        <v>50</v>
      </c>
      <c r="X8" s="127">
        <v>61</v>
      </c>
      <c r="Y8" s="129">
        <v>49</v>
      </c>
      <c r="Z8" s="127">
        <v>52</v>
      </c>
      <c r="AA8" s="127">
        <v>-4</v>
      </c>
      <c r="AB8" s="127">
        <v>56</v>
      </c>
      <c r="AC8" s="129">
        <v>38</v>
      </c>
      <c r="AD8" s="127">
        <v>25</v>
      </c>
      <c r="AE8" s="127">
        <v>5</v>
      </c>
      <c r="AF8" s="127">
        <v>43</v>
      </c>
      <c r="AG8" s="129">
        <v>37</v>
      </c>
      <c r="AH8" s="128">
        <v>8</v>
      </c>
      <c r="AI8" s="128">
        <v>-15</v>
      </c>
      <c r="AJ8" s="128">
        <v>29</v>
      </c>
      <c r="AK8" s="130">
        <v>-161</v>
      </c>
      <c r="AL8" s="127">
        <v>43</v>
      </c>
      <c r="AM8" s="127">
        <v>-20</v>
      </c>
      <c r="AN8" s="127">
        <v>125</v>
      </c>
      <c r="AO8" s="129">
        <v>10</v>
      </c>
      <c r="AP8" s="127">
        <v>15</v>
      </c>
      <c r="AQ8" s="127">
        <v>14</v>
      </c>
      <c r="AR8" s="127">
        <v>34</v>
      </c>
      <c r="AS8" s="129">
        <v>64</v>
      </c>
      <c r="AT8" s="127">
        <v>22</v>
      </c>
      <c r="AU8" s="127">
        <v>27</v>
      </c>
      <c r="AV8" s="127">
        <v>26</v>
      </c>
      <c r="AW8" s="129">
        <v>12</v>
      </c>
      <c r="AX8" s="127">
        <v>11</v>
      </c>
      <c r="AY8" s="127">
        <v>9</v>
      </c>
    </row>
    <row r="9" spans="1:51" ht="13">
      <c r="A9" s="147" t="s">
        <v>298</v>
      </c>
      <c r="B9" s="148">
        <v>27551</v>
      </c>
      <c r="C9" s="148">
        <v>27634</v>
      </c>
      <c r="D9" s="148">
        <v>33831</v>
      </c>
      <c r="E9" s="148">
        <v>39400</v>
      </c>
      <c r="F9" s="148">
        <v>39492</v>
      </c>
      <c r="G9" s="148">
        <v>36579</v>
      </c>
      <c r="H9" s="148">
        <f t="shared" si="0"/>
        <v>45648</v>
      </c>
      <c r="I9" s="148">
        <v>53222</v>
      </c>
      <c r="J9" s="148">
        <v>58899</v>
      </c>
      <c r="K9" s="148">
        <v>62213</v>
      </c>
      <c r="L9" s="148">
        <v>62974</v>
      </c>
      <c r="M9" s="149"/>
      <c r="N9" s="148">
        <v>8520</v>
      </c>
      <c r="O9" s="148">
        <v>8661.5155122188007</v>
      </c>
      <c r="P9" s="148">
        <v>8591.1572660070997</v>
      </c>
      <c r="Q9" s="150">
        <v>8058</v>
      </c>
      <c r="R9" s="148">
        <v>10036</v>
      </c>
      <c r="S9" s="148">
        <v>10483</v>
      </c>
      <c r="T9" s="148">
        <v>9413</v>
      </c>
      <c r="U9" s="150">
        <v>9468</v>
      </c>
      <c r="V9" s="148">
        <v>10063</v>
      </c>
      <c r="W9" s="148">
        <v>10553</v>
      </c>
      <c r="X9" s="148">
        <v>9600</v>
      </c>
      <c r="Y9" s="150">
        <v>9276</v>
      </c>
      <c r="Z9" s="148">
        <v>9772</v>
      </c>
      <c r="AA9" s="148">
        <v>8105</v>
      </c>
      <c r="AB9" s="148">
        <v>9373</v>
      </c>
      <c r="AC9" s="150">
        <v>9329</v>
      </c>
      <c r="AD9" s="148">
        <v>10690</v>
      </c>
      <c r="AE9" s="148">
        <v>11070</v>
      </c>
      <c r="AF9" s="148">
        <v>12245</v>
      </c>
      <c r="AG9" s="150">
        <v>11643</v>
      </c>
      <c r="AH9" s="151">
        <v>13818</v>
      </c>
      <c r="AI9" s="151">
        <v>13377</v>
      </c>
      <c r="AJ9" s="151">
        <v>12322</v>
      </c>
      <c r="AK9" s="152">
        <v>13705</v>
      </c>
      <c r="AL9" s="148">
        <v>14715</v>
      </c>
      <c r="AM9" s="148">
        <v>15436</v>
      </c>
      <c r="AN9" s="148">
        <v>14360</v>
      </c>
      <c r="AO9" s="150">
        <v>14388</v>
      </c>
      <c r="AP9" s="148">
        <v>14162</v>
      </c>
      <c r="AQ9" s="148">
        <v>16349</v>
      </c>
      <c r="AR9" s="148">
        <v>15520</v>
      </c>
      <c r="AS9" s="150">
        <v>16182</v>
      </c>
      <c r="AT9" s="148">
        <v>16586</v>
      </c>
      <c r="AU9" s="148">
        <v>15276</v>
      </c>
      <c r="AV9" s="148">
        <v>15142</v>
      </c>
      <c r="AW9" s="150">
        <v>15970</v>
      </c>
      <c r="AX9" s="148">
        <v>18340</v>
      </c>
      <c r="AY9" s="148">
        <v>17305</v>
      </c>
    </row>
    <row r="10" spans="1:51" ht="13">
      <c r="A10" s="123"/>
      <c r="B10" s="153"/>
      <c r="C10" s="153"/>
      <c r="D10" s="153"/>
      <c r="E10" s="153"/>
      <c r="F10" s="153"/>
      <c r="G10" s="153"/>
      <c r="H10" s="153"/>
      <c r="I10" s="153"/>
      <c r="J10" s="153"/>
      <c r="K10" s="153"/>
      <c r="L10" s="153"/>
      <c r="M10" s="89"/>
      <c r="N10" s="153"/>
      <c r="O10" s="153"/>
      <c r="P10" s="153"/>
      <c r="Q10" s="154"/>
      <c r="R10" s="153"/>
      <c r="S10" s="153"/>
      <c r="T10" s="153"/>
      <c r="U10" s="154"/>
      <c r="V10" s="153"/>
      <c r="W10" s="153"/>
      <c r="X10" s="153"/>
      <c r="Y10" s="154"/>
      <c r="Z10" s="153"/>
      <c r="AA10" s="153"/>
      <c r="AB10" s="153"/>
      <c r="AC10" s="154"/>
      <c r="AD10" s="153"/>
      <c r="AE10" s="153"/>
      <c r="AF10" s="153"/>
      <c r="AG10" s="155"/>
      <c r="AH10" s="156"/>
      <c r="AI10" s="156"/>
      <c r="AJ10" s="153"/>
      <c r="AK10" s="155"/>
      <c r="AL10" s="153"/>
      <c r="AM10" s="156"/>
      <c r="AN10" s="153"/>
      <c r="AO10" s="155"/>
      <c r="AP10" s="153"/>
      <c r="AQ10" s="153"/>
      <c r="AR10" s="153"/>
      <c r="AS10" s="155"/>
      <c r="AT10" s="153"/>
      <c r="AU10" s="153"/>
      <c r="AV10" s="153"/>
      <c r="AW10" s="155"/>
      <c r="AX10" s="153"/>
      <c r="AY10" s="153"/>
    </row>
    <row r="11" spans="1:51" ht="13">
      <c r="A11" s="123"/>
      <c r="B11" s="153"/>
      <c r="C11" s="153"/>
      <c r="D11" s="153"/>
      <c r="E11" s="153"/>
      <c r="F11" s="153"/>
      <c r="G11" s="153"/>
      <c r="H11" s="153"/>
      <c r="I11" s="153"/>
      <c r="J11" s="153"/>
      <c r="K11" s="153"/>
      <c r="L11" s="153"/>
      <c r="M11" s="89"/>
      <c r="N11" s="153"/>
      <c r="O11" s="153"/>
      <c r="P11" s="153"/>
      <c r="Q11" s="154"/>
      <c r="R11" s="153"/>
      <c r="S11" s="153"/>
      <c r="T11" s="153"/>
      <c r="U11" s="154"/>
      <c r="V11" s="153"/>
      <c r="W11" s="153"/>
      <c r="X11" s="153"/>
      <c r="Y11" s="154"/>
      <c r="Z11" s="153"/>
      <c r="AA11" s="153"/>
      <c r="AB11" s="153"/>
      <c r="AC11" s="154"/>
      <c r="AD11" s="153"/>
      <c r="AE11" s="153"/>
      <c r="AF11" s="156"/>
      <c r="AG11" s="155"/>
      <c r="AH11" s="156"/>
      <c r="AI11" s="156"/>
      <c r="AJ11" s="156"/>
      <c r="AK11" s="155"/>
      <c r="AL11" s="127"/>
      <c r="AM11" s="156"/>
      <c r="AN11" s="156"/>
      <c r="AO11" s="155"/>
      <c r="AP11" s="153"/>
      <c r="AQ11" s="153"/>
      <c r="AR11" s="153"/>
      <c r="AS11" s="155"/>
      <c r="AT11" s="153"/>
      <c r="AU11" s="153"/>
      <c r="AV11" s="153"/>
      <c r="AW11" s="155"/>
      <c r="AX11" s="153"/>
      <c r="AY11" s="153"/>
    </row>
    <row r="12" spans="1:51" ht="13">
      <c r="A12" s="157" t="s">
        <v>299</v>
      </c>
      <c r="B12" s="158"/>
      <c r="C12" s="158"/>
      <c r="D12" s="158"/>
      <c r="E12" s="158"/>
      <c r="F12" s="158"/>
      <c r="G12" s="158"/>
      <c r="H12" s="158"/>
      <c r="I12" s="158"/>
      <c r="J12" s="158"/>
      <c r="K12" s="158"/>
      <c r="L12" s="158"/>
      <c r="M12" s="158"/>
      <c r="N12" s="158"/>
      <c r="O12" s="158"/>
      <c r="P12" s="158"/>
      <c r="Q12" s="159"/>
      <c r="R12" s="158"/>
      <c r="S12" s="158"/>
      <c r="T12" s="158"/>
      <c r="U12" s="159"/>
      <c r="V12" s="158"/>
      <c r="W12" s="158"/>
      <c r="X12" s="158"/>
      <c r="Y12" s="159"/>
      <c r="Z12" s="158"/>
      <c r="AA12" s="158"/>
      <c r="AB12" s="158"/>
      <c r="AC12" s="159"/>
      <c r="AD12" s="158"/>
      <c r="AE12" s="158"/>
      <c r="AF12" s="158"/>
      <c r="AG12" s="159"/>
      <c r="AH12" s="158"/>
      <c r="AI12" s="158"/>
      <c r="AJ12" s="158"/>
      <c r="AK12" s="159"/>
      <c r="AL12" s="158"/>
      <c r="AM12" s="158"/>
      <c r="AN12" s="158"/>
      <c r="AO12" s="159"/>
      <c r="AP12" s="158"/>
      <c r="AQ12" s="158"/>
      <c r="AR12" s="158"/>
      <c r="AS12" s="159"/>
      <c r="AT12" s="158"/>
      <c r="AU12" s="158"/>
      <c r="AV12" s="158"/>
      <c r="AW12" s="159"/>
      <c r="AX12" s="158"/>
      <c r="AY12" s="158"/>
    </row>
    <row r="13" spans="1:51" ht="13">
      <c r="A13" s="126" t="s">
        <v>293</v>
      </c>
      <c r="B13" s="153"/>
      <c r="C13" s="153"/>
      <c r="D13" s="153"/>
      <c r="E13" s="153"/>
      <c r="F13" s="153"/>
      <c r="G13" s="153"/>
      <c r="H13" s="153"/>
      <c r="I13" s="153"/>
      <c r="J13" s="153"/>
      <c r="K13" s="153"/>
      <c r="L13" s="153"/>
      <c r="M13" s="89"/>
      <c r="N13" s="153"/>
      <c r="O13" s="153"/>
      <c r="P13" s="153"/>
      <c r="Q13" s="154"/>
      <c r="R13" s="153"/>
      <c r="S13" s="153"/>
      <c r="T13" s="153"/>
      <c r="U13" s="154"/>
      <c r="V13" s="153"/>
      <c r="W13" s="153"/>
      <c r="X13" s="153"/>
      <c r="Y13" s="154"/>
      <c r="Z13" s="153"/>
      <c r="AA13" s="153"/>
      <c r="AB13" s="153"/>
      <c r="AC13" s="154"/>
      <c r="AD13" s="153"/>
      <c r="AE13" s="153"/>
      <c r="AF13" s="160">
        <v>3</v>
      </c>
      <c r="AG13" s="161"/>
      <c r="AH13" s="160"/>
      <c r="AI13" s="160">
        <v>3</v>
      </c>
      <c r="AJ13" s="160"/>
      <c r="AK13" s="161">
        <v>11</v>
      </c>
      <c r="AL13" s="160"/>
      <c r="AM13" s="160"/>
      <c r="AN13" s="160"/>
      <c r="AO13" s="154"/>
      <c r="AP13" s="162"/>
      <c r="AQ13" s="153"/>
      <c r="AR13" s="153"/>
      <c r="AS13" s="154"/>
      <c r="AT13" s="162"/>
      <c r="AU13" s="153"/>
      <c r="AV13" s="153"/>
      <c r="AW13" s="154"/>
      <c r="AX13" s="162"/>
      <c r="AY13" s="153"/>
    </row>
    <row r="14" spans="1:51" ht="13">
      <c r="A14" s="126" t="s">
        <v>296</v>
      </c>
      <c r="B14" s="153"/>
      <c r="C14" s="153"/>
      <c r="D14" s="153"/>
      <c r="E14" s="153"/>
      <c r="F14" s="153"/>
      <c r="G14" s="153"/>
      <c r="H14" s="153"/>
      <c r="I14" s="153"/>
      <c r="J14" s="153"/>
      <c r="K14" s="153"/>
      <c r="L14" s="153"/>
      <c r="M14" s="89"/>
      <c r="N14" s="153"/>
      <c r="O14" s="153"/>
      <c r="P14" s="153"/>
      <c r="Q14" s="154"/>
      <c r="R14" s="153"/>
      <c r="S14" s="153"/>
      <c r="T14" s="153"/>
      <c r="U14" s="154"/>
      <c r="V14" s="153"/>
      <c r="W14" s="153"/>
      <c r="X14" s="153"/>
      <c r="Y14" s="154"/>
      <c r="Z14" s="153"/>
      <c r="AA14" s="153"/>
      <c r="AB14" s="153"/>
      <c r="AC14" s="154"/>
      <c r="AD14" s="153"/>
      <c r="AE14" s="153"/>
      <c r="AF14" s="160">
        <v>7.3</v>
      </c>
      <c r="AG14" s="161"/>
      <c r="AH14" s="160"/>
      <c r="AI14" s="160"/>
      <c r="AJ14" s="160"/>
      <c r="AK14" s="161">
        <v>1</v>
      </c>
      <c r="AL14" s="160">
        <v>0</v>
      </c>
      <c r="AM14" s="160"/>
      <c r="AN14" s="160"/>
      <c r="AO14" s="154"/>
      <c r="AP14" s="127"/>
      <c r="AQ14" s="153"/>
      <c r="AR14" s="153"/>
      <c r="AS14" s="154"/>
      <c r="AT14" s="127"/>
      <c r="AU14" s="153"/>
      <c r="AV14" s="153"/>
      <c r="AW14" s="154"/>
      <c r="AX14" s="127"/>
      <c r="AY14" s="153"/>
    </row>
    <row r="15" spans="1:51" ht="13">
      <c r="A15" s="126" t="s">
        <v>300</v>
      </c>
      <c r="B15" s="153"/>
      <c r="C15" s="153"/>
      <c r="D15" s="153"/>
      <c r="E15" s="153"/>
      <c r="F15" s="153"/>
      <c r="G15" s="153"/>
      <c r="H15" s="153"/>
      <c r="I15" s="153"/>
      <c r="J15" s="153"/>
      <c r="K15" s="153"/>
      <c r="L15" s="153"/>
      <c r="M15" s="89"/>
      <c r="N15" s="153"/>
      <c r="O15" s="153"/>
      <c r="P15" s="153"/>
      <c r="Q15" s="154"/>
      <c r="R15" s="153"/>
      <c r="S15" s="153"/>
      <c r="T15" s="153"/>
      <c r="U15" s="154"/>
      <c r="V15" s="153"/>
      <c r="W15" s="153"/>
      <c r="X15" s="153"/>
      <c r="Y15" s="154"/>
      <c r="Z15" s="153"/>
      <c r="AA15" s="153"/>
      <c r="AB15" s="153"/>
      <c r="AC15" s="154"/>
      <c r="AD15" s="153"/>
      <c r="AE15" s="153"/>
      <c r="AF15" s="160">
        <v>3.5</v>
      </c>
      <c r="AG15" s="161"/>
      <c r="AH15" s="160"/>
      <c r="AI15" s="160">
        <v>2.5</v>
      </c>
      <c r="AJ15" s="160"/>
      <c r="AK15" s="161">
        <v>9</v>
      </c>
      <c r="AL15" s="160">
        <v>0</v>
      </c>
      <c r="AM15" s="160"/>
      <c r="AN15" s="160"/>
      <c r="AO15" s="154"/>
      <c r="AP15" s="127"/>
      <c r="AQ15" s="153"/>
      <c r="AR15" s="153"/>
      <c r="AS15" s="154"/>
      <c r="AT15" s="127"/>
      <c r="AU15" s="153"/>
      <c r="AV15" s="153"/>
      <c r="AW15" s="154"/>
      <c r="AX15" s="127"/>
      <c r="AY15" s="153"/>
    </row>
    <row r="16" spans="1:51" ht="13">
      <c r="A16" s="123"/>
      <c r="B16" s="153"/>
      <c r="C16" s="153"/>
      <c r="D16" s="153"/>
      <c r="E16" s="153"/>
      <c r="F16" s="153"/>
      <c r="G16" s="153"/>
      <c r="H16" s="153"/>
      <c r="I16" s="153"/>
      <c r="J16" s="153"/>
      <c r="K16" s="153"/>
      <c r="L16" s="153"/>
      <c r="M16" s="89"/>
      <c r="N16" s="153"/>
      <c r="O16" s="153"/>
      <c r="P16" s="153"/>
      <c r="Q16" s="154"/>
      <c r="R16" s="153"/>
      <c r="S16" s="153"/>
      <c r="T16" s="153"/>
      <c r="U16" s="154"/>
      <c r="V16" s="153"/>
      <c r="W16" s="153"/>
      <c r="X16" s="153"/>
      <c r="Y16" s="154"/>
      <c r="Z16" s="153"/>
      <c r="AA16" s="153"/>
      <c r="AB16" s="153"/>
      <c r="AC16" s="154"/>
      <c r="AD16" s="153"/>
      <c r="AE16" s="153"/>
      <c r="AF16" s="153"/>
      <c r="AG16" s="154"/>
      <c r="AH16" s="153"/>
      <c r="AI16" s="153"/>
      <c r="AJ16" s="153"/>
      <c r="AK16" s="154"/>
      <c r="AL16" s="153"/>
      <c r="AM16" s="153"/>
      <c r="AN16" s="153"/>
      <c r="AO16" s="154"/>
      <c r="AP16" s="153"/>
      <c r="AQ16" s="153"/>
      <c r="AR16" s="153"/>
      <c r="AS16" s="154"/>
      <c r="AT16" s="153"/>
      <c r="AU16" s="153"/>
      <c r="AV16" s="153"/>
      <c r="AW16" s="154"/>
      <c r="AX16" s="153"/>
      <c r="AY16" s="153"/>
    </row>
    <row r="17" spans="1:51" ht="13">
      <c r="A17" s="157" t="s">
        <v>174</v>
      </c>
      <c r="B17" s="158">
        <v>2015</v>
      </c>
      <c r="C17" s="158">
        <v>2016</v>
      </c>
      <c r="D17" s="158">
        <v>2017</v>
      </c>
      <c r="E17" s="158">
        <v>2018</v>
      </c>
      <c r="F17" s="158">
        <v>2019</v>
      </c>
      <c r="G17" s="158">
        <v>2020</v>
      </c>
      <c r="H17" s="158">
        <v>2021</v>
      </c>
      <c r="I17" s="158">
        <v>2022</v>
      </c>
      <c r="J17" s="158">
        <v>2023</v>
      </c>
      <c r="K17" s="158">
        <v>2024</v>
      </c>
      <c r="L17" s="158">
        <v>2025</v>
      </c>
      <c r="M17" s="89"/>
      <c r="N17" s="158" t="s">
        <v>264</v>
      </c>
      <c r="O17" s="158" t="s">
        <v>265</v>
      </c>
      <c r="P17" s="158" t="s">
        <v>266</v>
      </c>
      <c r="Q17" s="159" t="s">
        <v>267</v>
      </c>
      <c r="R17" s="158" t="s">
        <v>128</v>
      </c>
      <c r="S17" s="158" t="s">
        <v>129</v>
      </c>
      <c r="T17" s="158" t="s">
        <v>130</v>
      </c>
      <c r="U17" s="159" t="s">
        <v>131</v>
      </c>
      <c r="V17" s="158" t="s">
        <v>132</v>
      </c>
      <c r="W17" s="158" t="s">
        <v>133</v>
      </c>
      <c r="X17" s="158" t="s">
        <v>134</v>
      </c>
      <c r="Y17" s="159" t="s">
        <v>135</v>
      </c>
      <c r="Z17" s="158" t="s">
        <v>136</v>
      </c>
      <c r="AA17" s="158" t="s">
        <v>137</v>
      </c>
      <c r="AB17" s="158" t="s">
        <v>138</v>
      </c>
      <c r="AC17" s="159" t="s">
        <v>139</v>
      </c>
      <c r="AD17" s="158" t="s">
        <v>140</v>
      </c>
      <c r="AE17" s="158" t="s">
        <v>141</v>
      </c>
      <c r="AF17" s="158" t="s">
        <v>142</v>
      </c>
      <c r="AG17" s="159" t="s">
        <v>143</v>
      </c>
      <c r="AH17" s="158" t="s">
        <v>144</v>
      </c>
      <c r="AI17" s="158" t="s">
        <v>145</v>
      </c>
      <c r="AJ17" s="158" t="s">
        <v>146</v>
      </c>
      <c r="AK17" s="159" t="s">
        <v>147</v>
      </c>
      <c r="AL17" s="158" t="s">
        <v>148</v>
      </c>
      <c r="AM17" s="158" t="s">
        <v>149</v>
      </c>
      <c r="AN17" s="158" t="s">
        <v>150</v>
      </c>
      <c r="AO17" s="159" t="s">
        <v>151</v>
      </c>
      <c r="AP17" s="158" t="s">
        <v>152</v>
      </c>
      <c r="AQ17" s="158" t="s">
        <v>153</v>
      </c>
      <c r="AR17" s="158" t="s">
        <v>154</v>
      </c>
      <c r="AS17" s="159" t="s">
        <v>155</v>
      </c>
      <c r="AT17" s="158" t="s">
        <v>156</v>
      </c>
      <c r="AU17" s="158" t="s">
        <v>157</v>
      </c>
      <c r="AV17" s="158" t="s">
        <v>158</v>
      </c>
      <c r="AW17" s="159" t="s">
        <v>820</v>
      </c>
      <c r="AX17" s="158" t="s">
        <v>1275</v>
      </c>
      <c r="AY17" s="158" t="s">
        <v>1344</v>
      </c>
    </row>
    <row r="18" spans="1:51" ht="13">
      <c r="A18" s="126" t="s">
        <v>293</v>
      </c>
      <c r="B18" s="127">
        <v>20317</v>
      </c>
      <c r="C18" s="127">
        <v>18898</v>
      </c>
      <c r="D18" s="127">
        <v>22383</v>
      </c>
      <c r="E18" s="127">
        <v>28540</v>
      </c>
      <c r="F18" s="127">
        <v>29891</v>
      </c>
      <c r="G18" s="127">
        <v>26927</v>
      </c>
      <c r="H18" s="127">
        <f t="shared" ref="H18:H23" si="1">SUM(AD18:AG18)</f>
        <v>29320</v>
      </c>
      <c r="I18" s="128">
        <v>38904</v>
      </c>
      <c r="J18" s="127">
        <v>47530</v>
      </c>
      <c r="K18" s="127">
        <v>48914</v>
      </c>
      <c r="L18" s="127">
        <v>47121</v>
      </c>
      <c r="M18" s="89"/>
      <c r="N18" s="127">
        <v>5220</v>
      </c>
      <c r="O18" s="127">
        <v>5495</v>
      </c>
      <c r="P18" s="127">
        <v>5406</v>
      </c>
      <c r="Q18" s="129">
        <v>6262</v>
      </c>
      <c r="R18" s="127">
        <v>5943</v>
      </c>
      <c r="S18" s="127">
        <v>7325</v>
      </c>
      <c r="T18" s="127">
        <v>7178</v>
      </c>
      <c r="U18" s="129">
        <v>8094</v>
      </c>
      <c r="V18" s="127">
        <v>7115</v>
      </c>
      <c r="W18" s="127">
        <v>7702</v>
      </c>
      <c r="X18" s="127">
        <v>7334</v>
      </c>
      <c r="Y18" s="129">
        <v>7740</v>
      </c>
      <c r="Z18" s="127">
        <v>6579</v>
      </c>
      <c r="AA18" s="127">
        <v>6422</v>
      </c>
      <c r="AB18" s="127">
        <v>6471</v>
      </c>
      <c r="AC18" s="129">
        <v>7455</v>
      </c>
      <c r="AD18" s="127">
        <v>6391</v>
      </c>
      <c r="AE18" s="127">
        <v>7187</v>
      </c>
      <c r="AF18" s="127">
        <v>7242</v>
      </c>
      <c r="AG18" s="129">
        <v>8500</v>
      </c>
      <c r="AH18" s="128">
        <v>8485</v>
      </c>
      <c r="AI18" s="128">
        <v>9060</v>
      </c>
      <c r="AJ18" s="128">
        <v>10070</v>
      </c>
      <c r="AK18" s="130">
        <v>11289</v>
      </c>
      <c r="AL18" s="127">
        <v>10733</v>
      </c>
      <c r="AM18" s="127">
        <v>12510</v>
      </c>
      <c r="AN18" s="127">
        <v>11729</v>
      </c>
      <c r="AO18" s="129">
        <v>12558</v>
      </c>
      <c r="AP18" s="127">
        <v>11212</v>
      </c>
      <c r="AQ18" s="127">
        <v>12516</v>
      </c>
      <c r="AR18" s="127">
        <v>11875</v>
      </c>
      <c r="AS18" s="129">
        <v>13311</v>
      </c>
      <c r="AT18" s="127">
        <v>11704</v>
      </c>
      <c r="AU18" s="127">
        <v>11435</v>
      </c>
      <c r="AV18" s="127">
        <v>11513</v>
      </c>
      <c r="AW18" s="129">
        <v>12469</v>
      </c>
      <c r="AX18" s="127">
        <v>10776</v>
      </c>
      <c r="AY18" s="127">
        <v>12839</v>
      </c>
    </row>
    <row r="19" spans="1:51" ht="13">
      <c r="A19" s="131" t="s">
        <v>294</v>
      </c>
      <c r="B19" s="132">
        <v>8510</v>
      </c>
      <c r="C19" s="132">
        <v>7710</v>
      </c>
      <c r="D19" s="132">
        <v>10276</v>
      </c>
      <c r="E19" s="132">
        <v>14238</v>
      </c>
      <c r="F19" s="132">
        <v>13862</v>
      </c>
      <c r="G19" s="132">
        <v>11382</v>
      </c>
      <c r="H19" s="132">
        <f t="shared" si="1"/>
        <v>12197</v>
      </c>
      <c r="I19" s="133">
        <v>16442</v>
      </c>
      <c r="J19" s="134">
        <v>20410</v>
      </c>
      <c r="K19" s="132">
        <v>21726</v>
      </c>
      <c r="L19" s="132">
        <v>21229</v>
      </c>
      <c r="M19" s="149"/>
      <c r="N19" s="132">
        <v>2219</v>
      </c>
      <c r="O19" s="132">
        <v>2469</v>
      </c>
      <c r="P19" s="132">
        <v>2414</v>
      </c>
      <c r="Q19" s="135">
        <v>3174</v>
      </c>
      <c r="R19" s="132">
        <v>2678</v>
      </c>
      <c r="S19" s="132">
        <v>3640</v>
      </c>
      <c r="T19" s="132">
        <v>3570</v>
      </c>
      <c r="U19" s="135">
        <v>4350</v>
      </c>
      <c r="V19" s="132">
        <v>3313</v>
      </c>
      <c r="W19" s="132">
        <v>3638</v>
      </c>
      <c r="X19" s="132">
        <v>3198</v>
      </c>
      <c r="Y19" s="135">
        <v>3713</v>
      </c>
      <c r="Z19" s="132">
        <v>2519</v>
      </c>
      <c r="AA19" s="132">
        <v>2768</v>
      </c>
      <c r="AB19" s="132">
        <v>2688</v>
      </c>
      <c r="AC19" s="135">
        <v>3408</v>
      </c>
      <c r="AD19" s="132">
        <v>2562</v>
      </c>
      <c r="AE19" s="132">
        <v>3052</v>
      </c>
      <c r="AF19" s="132">
        <v>2792</v>
      </c>
      <c r="AG19" s="135">
        <v>3791</v>
      </c>
      <c r="AH19" s="133">
        <v>3699</v>
      </c>
      <c r="AI19" s="133">
        <v>3550</v>
      </c>
      <c r="AJ19" s="133">
        <v>4155</v>
      </c>
      <c r="AK19" s="136">
        <v>5037</v>
      </c>
      <c r="AL19" s="134">
        <v>4120</v>
      </c>
      <c r="AM19" s="134">
        <v>5489</v>
      </c>
      <c r="AN19" s="134">
        <v>4870</v>
      </c>
      <c r="AO19" s="137">
        <v>5930.74</v>
      </c>
      <c r="AP19" s="132">
        <v>4708</v>
      </c>
      <c r="AQ19" s="132">
        <v>5546.6664725846003</v>
      </c>
      <c r="AR19" s="132">
        <v>5178.3335274153997</v>
      </c>
      <c r="AS19" s="138">
        <v>6293</v>
      </c>
      <c r="AT19" s="132">
        <v>5072</v>
      </c>
      <c r="AU19" s="132">
        <v>5012</v>
      </c>
      <c r="AV19" s="132">
        <v>5225</v>
      </c>
      <c r="AW19" s="138">
        <v>5920</v>
      </c>
      <c r="AX19" s="132">
        <v>4512</v>
      </c>
      <c r="AY19" s="132">
        <v>5938</v>
      </c>
    </row>
    <row r="20" spans="1:51" ht="13">
      <c r="A20" s="131" t="s">
        <v>295</v>
      </c>
      <c r="B20" s="139">
        <v>11807</v>
      </c>
      <c r="C20" s="139">
        <v>11188</v>
      </c>
      <c r="D20" s="139">
        <v>12106.760383407502</v>
      </c>
      <c r="E20" s="139">
        <v>14302</v>
      </c>
      <c r="F20" s="139">
        <v>16030</v>
      </c>
      <c r="G20" s="139">
        <v>15545</v>
      </c>
      <c r="H20" s="139">
        <f t="shared" si="1"/>
        <v>17123</v>
      </c>
      <c r="I20" s="140">
        <v>22462</v>
      </c>
      <c r="J20" s="141">
        <v>27120</v>
      </c>
      <c r="K20" s="139">
        <v>27188</v>
      </c>
      <c r="L20" s="139">
        <v>25892</v>
      </c>
      <c r="M20" s="163"/>
      <c r="N20" s="139">
        <v>3000.7719271698002</v>
      </c>
      <c r="O20" s="139">
        <v>3026</v>
      </c>
      <c r="P20" s="139">
        <v>2992</v>
      </c>
      <c r="Q20" s="142">
        <v>3088.1511000085002</v>
      </c>
      <c r="R20" s="139">
        <v>3265</v>
      </c>
      <c r="S20" s="139">
        <v>3685</v>
      </c>
      <c r="T20" s="139">
        <v>3608</v>
      </c>
      <c r="U20" s="142">
        <v>3744.3818536147</v>
      </c>
      <c r="V20" s="139">
        <v>3802</v>
      </c>
      <c r="W20" s="139">
        <v>4064</v>
      </c>
      <c r="X20" s="139">
        <v>4136</v>
      </c>
      <c r="Y20" s="142">
        <v>4028</v>
      </c>
      <c r="Z20" s="139">
        <v>4060</v>
      </c>
      <c r="AA20" s="139">
        <v>3654</v>
      </c>
      <c r="AB20" s="139">
        <v>3783</v>
      </c>
      <c r="AC20" s="142">
        <v>4048</v>
      </c>
      <c r="AD20" s="139">
        <v>3829</v>
      </c>
      <c r="AE20" s="139">
        <v>4135</v>
      </c>
      <c r="AF20" s="139">
        <v>4450</v>
      </c>
      <c r="AG20" s="142">
        <v>4709</v>
      </c>
      <c r="AH20" s="140">
        <v>4786</v>
      </c>
      <c r="AI20" s="140">
        <v>5510</v>
      </c>
      <c r="AJ20" s="140">
        <v>5915</v>
      </c>
      <c r="AK20" s="143">
        <v>6252</v>
      </c>
      <c r="AL20" s="141">
        <v>6613</v>
      </c>
      <c r="AM20" s="141">
        <v>7021</v>
      </c>
      <c r="AN20" s="141">
        <v>6859</v>
      </c>
      <c r="AO20" s="144">
        <v>6627.26</v>
      </c>
      <c r="AP20" s="139">
        <v>6504</v>
      </c>
      <c r="AQ20" s="139">
        <v>6969.3335274153997</v>
      </c>
      <c r="AR20" s="139">
        <v>6696.6664725846003</v>
      </c>
      <c r="AS20" s="145">
        <v>7018</v>
      </c>
      <c r="AT20" s="139">
        <v>6632</v>
      </c>
      <c r="AU20" s="139">
        <v>6423</v>
      </c>
      <c r="AV20" s="139">
        <v>6288</v>
      </c>
      <c r="AW20" s="145">
        <v>6549</v>
      </c>
      <c r="AX20" s="139">
        <v>6264</v>
      </c>
      <c r="AY20" s="139">
        <v>6901</v>
      </c>
    </row>
    <row r="21" spans="1:51" ht="13">
      <c r="A21" s="126" t="s">
        <v>296</v>
      </c>
      <c r="B21" s="127">
        <v>8088</v>
      </c>
      <c r="C21" s="127">
        <v>7925</v>
      </c>
      <c r="D21" s="127">
        <v>8738</v>
      </c>
      <c r="E21" s="127">
        <v>9519</v>
      </c>
      <c r="F21" s="127">
        <v>10799</v>
      </c>
      <c r="G21" s="127">
        <v>9024</v>
      </c>
      <c r="H21" s="127">
        <f t="shared" si="1"/>
        <v>10205</v>
      </c>
      <c r="I21" s="128">
        <v>10806</v>
      </c>
      <c r="J21" s="127">
        <v>12723</v>
      </c>
      <c r="K21" s="127">
        <v>14640</v>
      </c>
      <c r="L21" s="127">
        <v>14788</v>
      </c>
      <c r="M21" s="89"/>
      <c r="N21" s="127">
        <v>2161</v>
      </c>
      <c r="O21" s="127">
        <v>2297</v>
      </c>
      <c r="P21" s="127">
        <v>2141</v>
      </c>
      <c r="Q21" s="129">
        <v>2139</v>
      </c>
      <c r="R21" s="127">
        <v>2245</v>
      </c>
      <c r="S21" s="127">
        <v>2452</v>
      </c>
      <c r="T21" s="127">
        <v>2382</v>
      </c>
      <c r="U21" s="129">
        <v>2440</v>
      </c>
      <c r="V21" s="127">
        <v>2605</v>
      </c>
      <c r="W21" s="127">
        <v>2926</v>
      </c>
      <c r="X21" s="127">
        <v>2765</v>
      </c>
      <c r="Y21" s="129">
        <v>2503</v>
      </c>
      <c r="Z21" s="127">
        <v>2505</v>
      </c>
      <c r="AA21" s="127">
        <v>2035</v>
      </c>
      <c r="AB21" s="127">
        <v>2196</v>
      </c>
      <c r="AC21" s="129">
        <v>2288</v>
      </c>
      <c r="AD21" s="127">
        <v>2345</v>
      </c>
      <c r="AE21" s="127">
        <v>2517</v>
      </c>
      <c r="AF21" s="127">
        <v>2699</v>
      </c>
      <c r="AG21" s="129">
        <v>2644</v>
      </c>
      <c r="AH21" s="128">
        <v>2588</v>
      </c>
      <c r="AI21" s="128">
        <v>2794</v>
      </c>
      <c r="AJ21" s="128">
        <v>2711</v>
      </c>
      <c r="AK21" s="130">
        <v>2713</v>
      </c>
      <c r="AL21" s="127">
        <v>3125</v>
      </c>
      <c r="AM21" s="127">
        <v>3418</v>
      </c>
      <c r="AN21" s="127">
        <v>3195</v>
      </c>
      <c r="AO21" s="129">
        <v>2985</v>
      </c>
      <c r="AP21" s="127">
        <v>2949</v>
      </c>
      <c r="AQ21" s="127">
        <v>3991</v>
      </c>
      <c r="AR21" s="127">
        <v>3809</v>
      </c>
      <c r="AS21" s="129">
        <v>3891</v>
      </c>
      <c r="AT21" s="127">
        <v>3811</v>
      </c>
      <c r="AU21" s="127">
        <v>3665</v>
      </c>
      <c r="AV21" s="127">
        <v>3704</v>
      </c>
      <c r="AW21" s="129">
        <v>3608</v>
      </c>
      <c r="AX21" s="127">
        <v>3564</v>
      </c>
      <c r="AY21" s="127">
        <v>3854</v>
      </c>
    </row>
    <row r="22" spans="1:51" ht="13">
      <c r="A22" s="126" t="s">
        <v>297</v>
      </c>
      <c r="B22" s="127">
        <v>258</v>
      </c>
      <c r="C22" s="127">
        <v>279</v>
      </c>
      <c r="D22" s="127">
        <v>243.24751847849984</v>
      </c>
      <c r="E22" s="127">
        <v>226</v>
      </c>
      <c r="F22" s="127">
        <v>159</v>
      </c>
      <c r="G22" s="127">
        <v>171</v>
      </c>
      <c r="H22" s="127">
        <f t="shared" si="1"/>
        <v>120</v>
      </c>
      <c r="I22" s="127">
        <v>-16</v>
      </c>
      <c r="J22" s="127">
        <v>90</v>
      </c>
      <c r="K22" s="127">
        <v>50</v>
      </c>
      <c r="L22" s="127">
        <v>89</v>
      </c>
      <c r="M22" s="89"/>
      <c r="N22" s="127">
        <v>30.247518478499842</v>
      </c>
      <c r="O22" s="127">
        <v>87</v>
      </c>
      <c r="P22" s="127">
        <v>63</v>
      </c>
      <c r="Q22" s="129">
        <v>63</v>
      </c>
      <c r="R22" s="127">
        <v>45</v>
      </c>
      <c r="S22" s="127">
        <v>66</v>
      </c>
      <c r="T22" s="127">
        <v>91</v>
      </c>
      <c r="U22" s="129">
        <v>24</v>
      </c>
      <c r="V22" s="127">
        <v>65</v>
      </c>
      <c r="W22" s="127">
        <v>-2</v>
      </c>
      <c r="X22" s="127">
        <v>59</v>
      </c>
      <c r="Y22" s="129">
        <v>37</v>
      </c>
      <c r="Z22" s="127">
        <v>50</v>
      </c>
      <c r="AA22" s="127">
        <v>1</v>
      </c>
      <c r="AB22" s="127">
        <v>57</v>
      </c>
      <c r="AC22" s="129">
        <v>63</v>
      </c>
      <c r="AD22" s="127">
        <v>37</v>
      </c>
      <c r="AE22" s="127">
        <v>29</v>
      </c>
      <c r="AF22" s="127">
        <v>25</v>
      </c>
      <c r="AG22" s="129">
        <v>29</v>
      </c>
      <c r="AH22" s="128">
        <v>15</v>
      </c>
      <c r="AI22" s="128">
        <v>14</v>
      </c>
      <c r="AJ22" s="128">
        <v>21</v>
      </c>
      <c r="AK22" s="130">
        <v>-66</v>
      </c>
      <c r="AL22" s="127">
        <v>10</v>
      </c>
      <c r="AM22" s="127">
        <v>-18</v>
      </c>
      <c r="AN22" s="127">
        <v>73</v>
      </c>
      <c r="AO22" s="129">
        <v>25</v>
      </c>
      <c r="AP22" s="127">
        <v>-18</v>
      </c>
      <c r="AQ22" s="127">
        <v>4</v>
      </c>
      <c r="AR22" s="127">
        <v>15</v>
      </c>
      <c r="AS22" s="129">
        <v>49</v>
      </c>
      <c r="AT22" s="127">
        <v>21</v>
      </c>
      <c r="AU22" s="127">
        <v>30</v>
      </c>
      <c r="AV22" s="127">
        <v>25</v>
      </c>
      <c r="AW22" s="129">
        <v>13</v>
      </c>
      <c r="AX22" s="127">
        <v>11</v>
      </c>
      <c r="AY22" s="127">
        <v>9</v>
      </c>
    </row>
    <row r="23" spans="1:51" ht="13">
      <c r="A23" s="147" t="s">
        <v>298</v>
      </c>
      <c r="B23" s="148">
        <v>28663</v>
      </c>
      <c r="C23" s="148">
        <v>27102</v>
      </c>
      <c r="D23" s="148">
        <v>31364.2475184785</v>
      </c>
      <c r="E23" s="148">
        <v>38285</v>
      </c>
      <c r="F23" s="148">
        <v>40849</v>
      </c>
      <c r="G23" s="148">
        <v>36122</v>
      </c>
      <c r="H23" s="148">
        <f t="shared" si="1"/>
        <v>39645</v>
      </c>
      <c r="I23" s="148">
        <v>49694</v>
      </c>
      <c r="J23" s="148">
        <v>60343</v>
      </c>
      <c r="K23" s="148">
        <v>63604</v>
      </c>
      <c r="L23" s="148">
        <v>61998</v>
      </c>
      <c r="M23" s="164"/>
      <c r="N23" s="148">
        <v>7411.2475184784998</v>
      </c>
      <c r="O23" s="148">
        <v>7879</v>
      </c>
      <c r="P23" s="148">
        <v>7610</v>
      </c>
      <c r="Q23" s="150">
        <v>8464</v>
      </c>
      <c r="R23" s="148">
        <v>8233</v>
      </c>
      <c r="S23" s="148">
        <v>9843</v>
      </c>
      <c r="T23" s="148">
        <v>9651</v>
      </c>
      <c r="U23" s="150">
        <v>10558</v>
      </c>
      <c r="V23" s="148">
        <v>9785</v>
      </c>
      <c r="W23" s="148">
        <v>10626</v>
      </c>
      <c r="X23" s="148">
        <v>10158</v>
      </c>
      <c r="Y23" s="150">
        <v>10280</v>
      </c>
      <c r="Z23" s="148">
        <v>9134</v>
      </c>
      <c r="AA23" s="148">
        <v>8458</v>
      </c>
      <c r="AB23" s="148">
        <v>8724</v>
      </c>
      <c r="AC23" s="150">
        <v>9806</v>
      </c>
      <c r="AD23" s="148">
        <v>8773</v>
      </c>
      <c r="AE23" s="148">
        <v>9733</v>
      </c>
      <c r="AF23" s="148">
        <v>9966</v>
      </c>
      <c r="AG23" s="150">
        <v>11173</v>
      </c>
      <c r="AH23" s="151">
        <v>11088</v>
      </c>
      <c r="AI23" s="151">
        <v>11868</v>
      </c>
      <c r="AJ23" s="151">
        <v>12802</v>
      </c>
      <c r="AK23" s="152">
        <v>13936</v>
      </c>
      <c r="AL23" s="148">
        <v>13868</v>
      </c>
      <c r="AM23" s="148">
        <v>15910</v>
      </c>
      <c r="AN23" s="148">
        <v>14997</v>
      </c>
      <c r="AO23" s="150">
        <v>15568</v>
      </c>
      <c r="AP23" s="148">
        <v>14143</v>
      </c>
      <c r="AQ23" s="148">
        <v>16511</v>
      </c>
      <c r="AR23" s="148">
        <v>15699</v>
      </c>
      <c r="AS23" s="150">
        <v>17251</v>
      </c>
      <c r="AT23" s="148">
        <v>15536</v>
      </c>
      <c r="AU23" s="148">
        <v>15130</v>
      </c>
      <c r="AV23" s="148">
        <v>15242</v>
      </c>
      <c r="AW23" s="150">
        <v>16090</v>
      </c>
      <c r="AX23" s="148">
        <v>14351</v>
      </c>
      <c r="AY23" s="148">
        <v>16702</v>
      </c>
    </row>
    <row r="24" spans="1:51" ht="13">
      <c r="A24" s="131" t="s">
        <v>301</v>
      </c>
      <c r="B24" s="153"/>
      <c r="C24" s="165">
        <v>-0.05</v>
      </c>
      <c r="D24" s="165">
        <v>0.16</v>
      </c>
      <c r="E24" s="165">
        <v>0.22</v>
      </c>
      <c r="F24" s="165">
        <v>7.0000000000000007E-2</v>
      </c>
      <c r="G24" s="165">
        <v>-0.12</v>
      </c>
      <c r="H24" s="165">
        <f>H23/G23-1</f>
        <v>9.7530590775704473E-2</v>
      </c>
      <c r="I24" s="165">
        <f>I23/H23-1</f>
        <v>0.25347458695926339</v>
      </c>
      <c r="J24" s="165">
        <f>J23/I23-1</f>
        <v>0.2142914637582003</v>
      </c>
      <c r="K24" s="165">
        <f>K23/J23-1</f>
        <v>5.4041065243690234E-2</v>
      </c>
      <c r="L24" s="165">
        <v>-2.5249984277718407E-2</v>
      </c>
      <c r="M24" s="89"/>
      <c r="N24" s="153"/>
      <c r="O24" s="153"/>
      <c r="P24" s="153"/>
      <c r="Q24" s="154"/>
      <c r="R24" s="153"/>
      <c r="S24" s="153"/>
      <c r="T24" s="153"/>
      <c r="U24" s="154"/>
      <c r="V24" s="153"/>
      <c r="W24" s="153"/>
      <c r="X24" s="153"/>
      <c r="Y24" s="154"/>
      <c r="Z24" s="153"/>
      <c r="AA24" s="153"/>
      <c r="AB24" s="153"/>
      <c r="AC24" s="154"/>
      <c r="AD24" s="153"/>
      <c r="AE24" s="153"/>
      <c r="AF24" s="153"/>
      <c r="AG24" s="154"/>
      <c r="AH24" s="153"/>
      <c r="AI24" s="153"/>
      <c r="AJ24" s="153"/>
      <c r="AK24" s="154"/>
      <c r="AL24" s="153"/>
      <c r="AM24" s="153"/>
      <c r="AN24" s="153"/>
      <c r="AO24" s="154"/>
      <c r="AP24" s="153"/>
      <c r="AQ24" s="153"/>
      <c r="AR24" s="153"/>
      <c r="AS24" s="154"/>
      <c r="AT24" s="153"/>
      <c r="AU24" s="153"/>
      <c r="AV24" s="153"/>
      <c r="AW24" s="154"/>
      <c r="AX24" s="153"/>
      <c r="AY24" s="153"/>
    </row>
    <row r="25" spans="1:51" ht="13">
      <c r="A25" s="131" t="s">
        <v>1268</v>
      </c>
      <c r="B25" s="153"/>
      <c r="C25" s="166"/>
      <c r="D25" s="166"/>
      <c r="E25" s="166"/>
      <c r="F25" s="166"/>
      <c r="G25" s="166"/>
      <c r="H25" s="166"/>
      <c r="I25" s="166"/>
      <c r="J25" s="166"/>
      <c r="K25" s="166"/>
      <c r="L25" s="166">
        <f>($L$23/$B$23)^(1/10)-1</f>
        <v>8.0203558429421173E-2</v>
      </c>
      <c r="M25" s="89"/>
      <c r="N25" s="153"/>
      <c r="O25" s="153"/>
      <c r="P25" s="153"/>
      <c r="Q25" s="154"/>
      <c r="R25" s="153"/>
      <c r="S25" s="153"/>
      <c r="T25" s="153"/>
      <c r="U25" s="154"/>
      <c r="V25" s="153"/>
      <c r="W25" s="153"/>
      <c r="X25" s="153"/>
      <c r="Y25" s="154"/>
      <c r="Z25" s="153"/>
      <c r="AA25" s="153"/>
      <c r="AB25" s="153"/>
      <c r="AC25" s="154"/>
      <c r="AD25" s="153"/>
      <c r="AE25" s="153"/>
      <c r="AF25" s="153"/>
      <c r="AG25" s="154"/>
      <c r="AH25" s="153"/>
      <c r="AI25" s="153"/>
      <c r="AJ25" s="153"/>
      <c r="AK25" s="154"/>
      <c r="AL25" s="153"/>
      <c r="AM25" s="153"/>
      <c r="AN25" s="153"/>
      <c r="AO25" s="154"/>
      <c r="AP25" s="167"/>
      <c r="AQ25" s="153"/>
      <c r="AR25" s="153"/>
      <c r="AS25" s="154"/>
      <c r="AT25" s="167"/>
      <c r="AU25" s="153"/>
      <c r="AV25" s="153"/>
      <c r="AW25" s="154"/>
      <c r="AX25" s="167"/>
      <c r="AY25" s="153"/>
    </row>
    <row r="26" spans="1:51" ht="13">
      <c r="A26" s="131"/>
      <c r="B26" s="153"/>
      <c r="C26" s="166"/>
      <c r="D26" s="166"/>
      <c r="E26" s="166"/>
      <c r="F26" s="166"/>
      <c r="G26" s="166"/>
      <c r="H26" s="166"/>
      <c r="I26" s="166"/>
      <c r="J26" s="166"/>
      <c r="K26" s="166"/>
      <c r="L26" s="166"/>
      <c r="M26" s="89"/>
      <c r="N26" s="153"/>
      <c r="O26" s="153"/>
      <c r="P26" s="153"/>
      <c r="Q26" s="154"/>
      <c r="R26" s="153"/>
      <c r="S26" s="153"/>
      <c r="T26" s="153"/>
      <c r="U26" s="154"/>
      <c r="V26" s="153"/>
      <c r="W26" s="153"/>
      <c r="X26" s="153"/>
      <c r="Y26" s="154"/>
      <c r="Z26" s="153"/>
      <c r="AA26" s="153"/>
      <c r="AB26" s="153"/>
      <c r="AC26" s="154"/>
      <c r="AD26" s="153"/>
      <c r="AE26" s="153"/>
      <c r="AF26" s="153"/>
      <c r="AG26" s="154"/>
      <c r="AH26" s="153"/>
      <c r="AI26" s="153"/>
      <c r="AJ26" s="153"/>
      <c r="AK26" s="154"/>
      <c r="AL26" s="153"/>
      <c r="AM26" s="153"/>
      <c r="AN26" s="153"/>
      <c r="AO26" s="154"/>
      <c r="AP26" s="153"/>
      <c r="AQ26" s="153"/>
      <c r="AR26" s="153"/>
      <c r="AS26" s="154"/>
      <c r="AT26" s="153"/>
      <c r="AU26" s="153"/>
      <c r="AV26" s="153"/>
      <c r="AW26" s="154"/>
      <c r="AX26" s="153"/>
      <c r="AY26" s="153"/>
    </row>
    <row r="27" spans="1:51" ht="13">
      <c r="A27" s="123"/>
      <c r="B27" s="153"/>
      <c r="C27" s="153"/>
      <c r="D27" s="153"/>
      <c r="E27" s="153"/>
      <c r="F27" s="153"/>
      <c r="G27" s="167"/>
      <c r="H27" s="167"/>
      <c r="I27" s="167"/>
      <c r="J27" s="167"/>
      <c r="K27" s="153"/>
      <c r="L27" s="153"/>
      <c r="M27" s="89"/>
      <c r="N27" s="153"/>
      <c r="O27" s="153"/>
      <c r="P27" s="153"/>
      <c r="Q27" s="154"/>
      <c r="R27" s="153"/>
      <c r="S27" s="153"/>
      <c r="T27" s="153"/>
      <c r="U27" s="154"/>
      <c r="V27" s="153"/>
      <c r="W27" s="153"/>
      <c r="X27" s="153"/>
      <c r="Y27" s="154"/>
      <c r="Z27" s="153"/>
      <c r="AA27" s="153"/>
      <c r="AB27" s="153"/>
      <c r="AC27" s="154"/>
      <c r="AD27" s="153"/>
      <c r="AE27" s="153"/>
      <c r="AF27" s="153"/>
      <c r="AG27" s="154"/>
      <c r="AH27" s="153"/>
      <c r="AI27" s="153"/>
      <c r="AJ27" s="153"/>
      <c r="AK27" s="154"/>
      <c r="AL27" s="153"/>
      <c r="AM27" s="153"/>
      <c r="AN27" s="153"/>
      <c r="AO27" s="154"/>
      <c r="AP27" s="153"/>
      <c r="AQ27" s="153"/>
      <c r="AR27" s="153" t="s">
        <v>302</v>
      </c>
      <c r="AS27" s="154"/>
      <c r="AT27" s="153"/>
      <c r="AU27" s="153"/>
      <c r="AV27" s="153"/>
      <c r="AW27" s="154"/>
      <c r="AX27" s="153"/>
      <c r="AY27" s="153"/>
    </row>
    <row r="28" spans="1:51" ht="13">
      <c r="A28" s="157" t="s">
        <v>303</v>
      </c>
      <c r="B28" s="158">
        <v>2015</v>
      </c>
      <c r="C28" s="158">
        <v>2016</v>
      </c>
      <c r="D28" s="158">
        <v>2017</v>
      </c>
      <c r="E28" s="158">
        <v>2018</v>
      </c>
      <c r="F28" s="158">
        <v>2019</v>
      </c>
      <c r="G28" s="158">
        <v>2020</v>
      </c>
      <c r="H28" s="158">
        <v>2021</v>
      </c>
      <c r="I28" s="158">
        <v>2022</v>
      </c>
      <c r="J28" s="158">
        <v>2023</v>
      </c>
      <c r="K28" s="158">
        <v>2024</v>
      </c>
      <c r="L28" s="158">
        <v>2025</v>
      </c>
      <c r="M28" s="89"/>
      <c r="N28" s="158" t="s">
        <v>264</v>
      </c>
      <c r="O28" s="158" t="s">
        <v>265</v>
      </c>
      <c r="P28" s="158" t="s">
        <v>266</v>
      </c>
      <c r="Q28" s="159" t="s">
        <v>267</v>
      </c>
      <c r="R28" s="158" t="s">
        <v>128</v>
      </c>
      <c r="S28" s="158" t="s">
        <v>129</v>
      </c>
      <c r="T28" s="158" t="s">
        <v>130</v>
      </c>
      <c r="U28" s="159" t="s">
        <v>131</v>
      </c>
      <c r="V28" s="158" t="s">
        <v>132</v>
      </c>
      <c r="W28" s="158" t="s">
        <v>133</v>
      </c>
      <c r="X28" s="158" t="s">
        <v>134</v>
      </c>
      <c r="Y28" s="159" t="s">
        <v>135</v>
      </c>
      <c r="Z28" s="158" t="s">
        <v>136</v>
      </c>
      <c r="AA28" s="158" t="s">
        <v>137</v>
      </c>
      <c r="AB28" s="158" t="s">
        <v>138</v>
      </c>
      <c r="AC28" s="159" t="s">
        <v>139</v>
      </c>
      <c r="AD28" s="158" t="s">
        <v>140</v>
      </c>
      <c r="AE28" s="158" t="s">
        <v>141</v>
      </c>
      <c r="AF28" s="158" t="s">
        <v>142</v>
      </c>
      <c r="AG28" s="159" t="s">
        <v>143</v>
      </c>
      <c r="AH28" s="158" t="s">
        <v>144</v>
      </c>
      <c r="AI28" s="158" t="s">
        <v>145</v>
      </c>
      <c r="AJ28" s="158" t="s">
        <v>146</v>
      </c>
      <c r="AK28" s="159" t="s">
        <v>147</v>
      </c>
      <c r="AL28" s="158" t="s">
        <v>148</v>
      </c>
      <c r="AM28" s="158" t="s">
        <v>149</v>
      </c>
      <c r="AN28" s="158" t="s">
        <v>150</v>
      </c>
      <c r="AO28" s="159" t="s">
        <v>151</v>
      </c>
      <c r="AP28" s="158" t="s">
        <v>152</v>
      </c>
      <c r="AQ28" s="158" t="s">
        <v>153</v>
      </c>
      <c r="AR28" s="158" t="s">
        <v>154</v>
      </c>
      <c r="AS28" s="159" t="s">
        <v>155</v>
      </c>
      <c r="AT28" s="158" t="s">
        <v>156</v>
      </c>
      <c r="AU28" s="158" t="s">
        <v>157</v>
      </c>
      <c r="AV28" s="158" t="s">
        <v>158</v>
      </c>
      <c r="AW28" s="159" t="s">
        <v>820</v>
      </c>
      <c r="AX28" s="158" t="s">
        <v>1275</v>
      </c>
      <c r="AY28" s="158" t="s">
        <v>1344</v>
      </c>
    </row>
    <row r="29" spans="1:51" ht="13">
      <c r="A29" s="168" t="s">
        <v>293</v>
      </c>
      <c r="B29" s="162"/>
      <c r="C29" s="162"/>
      <c r="D29" s="162"/>
      <c r="E29" s="162"/>
      <c r="F29" s="162"/>
      <c r="G29" s="162"/>
      <c r="H29" s="162"/>
      <c r="I29" s="169"/>
      <c r="J29" s="162">
        <v>12553</v>
      </c>
      <c r="K29" s="162">
        <v>12425</v>
      </c>
      <c r="L29" s="162">
        <v>11188</v>
      </c>
      <c r="M29" s="89"/>
      <c r="N29" s="162"/>
      <c r="O29" s="162"/>
      <c r="P29" s="162"/>
      <c r="Q29" s="170"/>
      <c r="R29" s="162"/>
      <c r="S29" s="162"/>
      <c r="T29" s="162"/>
      <c r="U29" s="170"/>
      <c r="V29" s="162"/>
      <c r="W29" s="162"/>
      <c r="X29" s="162"/>
      <c r="Y29" s="170"/>
      <c r="Z29" s="162"/>
      <c r="AA29" s="162"/>
      <c r="AB29" s="162"/>
      <c r="AC29" s="170"/>
      <c r="AD29" s="162"/>
      <c r="AE29" s="162"/>
      <c r="AF29" s="162"/>
      <c r="AG29" s="170"/>
      <c r="AH29" s="169"/>
      <c r="AI29" s="169"/>
      <c r="AJ29" s="169"/>
      <c r="AK29" s="171"/>
      <c r="AL29" s="162">
        <v>2901</v>
      </c>
      <c r="AM29" s="162">
        <f>6057-AL29</f>
        <v>3156</v>
      </c>
      <c r="AN29" s="162">
        <f>9162-AM29-AL29</f>
        <v>3105</v>
      </c>
      <c r="AO29" s="170">
        <f>12553-AN29-AM29-AL29</f>
        <v>3391</v>
      </c>
      <c r="AP29" s="162">
        <v>2685</v>
      </c>
      <c r="AQ29" s="162">
        <f>5640-AP29</f>
        <v>2955</v>
      </c>
      <c r="AR29" s="162">
        <f>9108-5640</f>
        <v>3468</v>
      </c>
      <c r="AS29" s="170">
        <v>3317</v>
      </c>
      <c r="AT29" s="162">
        <v>2912</v>
      </c>
      <c r="AU29" s="162">
        <v>2751</v>
      </c>
      <c r="AV29" s="162">
        <v>2596</v>
      </c>
      <c r="AW29" s="170">
        <v>2929</v>
      </c>
      <c r="AX29" s="162">
        <v>2770</v>
      </c>
      <c r="AY29" s="162">
        <v>3163</v>
      </c>
    </row>
    <row r="30" spans="1:51" ht="13">
      <c r="A30" s="168" t="s">
        <v>296</v>
      </c>
      <c r="B30" s="162"/>
      <c r="C30" s="162"/>
      <c r="D30" s="162"/>
      <c r="E30" s="162"/>
      <c r="F30" s="162"/>
      <c r="G30" s="162"/>
      <c r="H30" s="162"/>
      <c r="I30" s="169"/>
      <c r="J30" s="162">
        <v>1913</v>
      </c>
      <c r="K30" s="162">
        <v>1641</v>
      </c>
      <c r="L30" s="162">
        <v>2116</v>
      </c>
      <c r="M30" s="89"/>
      <c r="N30" s="162"/>
      <c r="O30" s="162"/>
      <c r="P30" s="162"/>
      <c r="Q30" s="170"/>
      <c r="R30" s="162"/>
      <c r="S30" s="162"/>
      <c r="T30" s="162"/>
      <c r="U30" s="170"/>
      <c r="V30" s="162"/>
      <c r="W30" s="162"/>
      <c r="X30" s="162"/>
      <c r="Y30" s="170"/>
      <c r="Z30" s="162"/>
      <c r="AA30" s="162"/>
      <c r="AB30" s="162"/>
      <c r="AC30" s="170"/>
      <c r="AD30" s="162"/>
      <c r="AE30" s="162"/>
      <c r="AF30" s="162"/>
      <c r="AG30" s="170"/>
      <c r="AH30" s="169"/>
      <c r="AI30" s="169"/>
      <c r="AJ30" s="169"/>
      <c r="AK30" s="172"/>
      <c r="AL30" s="162">
        <v>561</v>
      </c>
      <c r="AM30" s="162">
        <f>1116-AL30</f>
        <v>555</v>
      </c>
      <c r="AN30" s="162">
        <f>1633-AL30-AM30</f>
        <v>517</v>
      </c>
      <c r="AO30" s="170">
        <f>1913-AN30-AM30-AL30</f>
        <v>280</v>
      </c>
      <c r="AP30" s="162">
        <v>369</v>
      </c>
      <c r="AQ30" s="162">
        <f>730-AP30</f>
        <v>361</v>
      </c>
      <c r="AR30" s="162">
        <f>1235-730</f>
        <v>505</v>
      </c>
      <c r="AS30" s="170">
        <v>406</v>
      </c>
      <c r="AT30" s="162">
        <v>539</v>
      </c>
      <c r="AU30" s="162">
        <v>452</v>
      </c>
      <c r="AV30" s="162">
        <v>511</v>
      </c>
      <c r="AW30" s="170">
        <v>614</v>
      </c>
      <c r="AX30" s="162">
        <v>476</v>
      </c>
      <c r="AY30" s="162">
        <v>560</v>
      </c>
    </row>
    <row r="31" spans="1:51" ht="13">
      <c r="A31" s="147" t="s">
        <v>298</v>
      </c>
      <c r="B31" s="148"/>
      <c r="C31" s="148"/>
      <c r="D31" s="148"/>
      <c r="E31" s="148"/>
      <c r="F31" s="148"/>
      <c r="G31" s="148"/>
      <c r="H31" s="148"/>
      <c r="I31" s="148"/>
      <c r="J31" s="148">
        <v>14078</v>
      </c>
      <c r="K31" s="148">
        <v>13768</v>
      </c>
      <c r="L31" s="148">
        <v>12962</v>
      </c>
      <c r="M31" s="89"/>
      <c r="N31" s="173"/>
      <c r="O31" s="173"/>
      <c r="P31" s="173"/>
      <c r="Q31" s="174"/>
      <c r="R31" s="173"/>
      <c r="S31" s="173"/>
      <c r="T31" s="173"/>
      <c r="U31" s="174"/>
      <c r="V31" s="173"/>
      <c r="W31" s="173"/>
      <c r="X31" s="173"/>
      <c r="Y31" s="174"/>
      <c r="Z31" s="173"/>
      <c r="AA31" s="173"/>
      <c r="AB31" s="173"/>
      <c r="AC31" s="174"/>
      <c r="AD31" s="148"/>
      <c r="AE31" s="148"/>
      <c r="AF31" s="148"/>
      <c r="AG31" s="150"/>
      <c r="AH31" s="148"/>
      <c r="AI31" s="148"/>
      <c r="AJ31" s="148"/>
      <c r="AK31" s="150"/>
      <c r="AL31" s="148">
        <v>3374</v>
      </c>
      <c r="AM31" s="148">
        <v>3605</v>
      </c>
      <c r="AN31" s="148">
        <v>3533</v>
      </c>
      <c r="AO31" s="150">
        <v>3566</v>
      </c>
      <c r="AP31" s="148">
        <v>2976</v>
      </c>
      <c r="AQ31" s="148">
        <f>6168-AP31</f>
        <v>3192</v>
      </c>
      <c r="AR31" s="148">
        <v>3896</v>
      </c>
      <c r="AS31" s="150">
        <v>3704</v>
      </c>
      <c r="AT31" s="148">
        <v>3353</v>
      </c>
      <c r="AU31" s="148">
        <v>3083</v>
      </c>
      <c r="AV31" s="148">
        <v>3047</v>
      </c>
      <c r="AW31" s="150">
        <v>3479</v>
      </c>
      <c r="AX31" s="148">
        <v>3103</v>
      </c>
      <c r="AY31" s="148">
        <v>3585</v>
      </c>
    </row>
    <row r="32" spans="1:51" ht="13">
      <c r="A32" s="123"/>
      <c r="B32" s="153"/>
      <c r="C32" s="153"/>
      <c r="D32" s="153"/>
      <c r="E32" s="153"/>
      <c r="F32" s="153"/>
      <c r="G32" s="167"/>
      <c r="H32" s="167"/>
      <c r="I32" s="167"/>
      <c r="J32" s="167"/>
      <c r="K32" s="167"/>
      <c r="L32" s="167"/>
      <c r="M32" s="89"/>
      <c r="N32" s="153"/>
      <c r="O32" s="153"/>
      <c r="P32" s="153"/>
      <c r="Q32" s="154"/>
      <c r="R32" s="153"/>
      <c r="S32" s="153"/>
      <c r="T32" s="153"/>
      <c r="U32" s="154"/>
      <c r="V32" s="153"/>
      <c r="W32" s="153"/>
      <c r="X32" s="153"/>
      <c r="Y32" s="154"/>
      <c r="Z32" s="153"/>
      <c r="AA32" s="153"/>
      <c r="AB32" s="153"/>
      <c r="AC32" s="154"/>
      <c r="AD32" s="153"/>
      <c r="AE32" s="153"/>
      <c r="AF32" s="153"/>
      <c r="AG32" s="154"/>
      <c r="AH32" s="153"/>
      <c r="AI32" s="153"/>
      <c r="AJ32" s="153"/>
      <c r="AK32" s="154"/>
      <c r="AL32" s="153"/>
      <c r="AM32" s="153"/>
      <c r="AN32" s="153"/>
      <c r="AO32" s="154"/>
      <c r="AP32" s="153"/>
      <c r="AQ32" s="153"/>
      <c r="AR32" s="153"/>
      <c r="AS32" s="154"/>
      <c r="AT32" s="153"/>
      <c r="AU32" s="153"/>
      <c r="AV32" s="153"/>
      <c r="AW32" s="154"/>
      <c r="AX32" s="153"/>
      <c r="AY32" s="153"/>
    </row>
    <row r="33" spans="1:51" ht="13">
      <c r="A33" s="157" t="s">
        <v>304</v>
      </c>
      <c r="B33" s="158">
        <v>2015</v>
      </c>
      <c r="C33" s="158">
        <v>2016</v>
      </c>
      <c r="D33" s="158">
        <v>2017</v>
      </c>
      <c r="E33" s="158">
        <v>2018</v>
      </c>
      <c r="F33" s="158">
        <v>2019</v>
      </c>
      <c r="G33" s="158">
        <v>2020</v>
      </c>
      <c r="H33" s="158">
        <v>2021</v>
      </c>
      <c r="I33" s="158">
        <v>2022</v>
      </c>
      <c r="J33" s="158">
        <v>2023</v>
      </c>
      <c r="K33" s="158">
        <v>2024</v>
      </c>
      <c r="L33" s="158">
        <v>2025</v>
      </c>
      <c r="M33" s="89"/>
      <c r="N33" s="158" t="s">
        <v>264</v>
      </c>
      <c r="O33" s="158" t="s">
        <v>265</v>
      </c>
      <c r="P33" s="158" t="s">
        <v>266</v>
      </c>
      <c r="Q33" s="159" t="s">
        <v>267</v>
      </c>
      <c r="R33" s="158" t="s">
        <v>128</v>
      </c>
      <c r="S33" s="158" t="s">
        <v>129</v>
      </c>
      <c r="T33" s="158" t="s">
        <v>130</v>
      </c>
      <c r="U33" s="159" t="s">
        <v>131</v>
      </c>
      <c r="V33" s="158" t="s">
        <v>132</v>
      </c>
      <c r="W33" s="158" t="s">
        <v>133</v>
      </c>
      <c r="X33" s="158" t="s">
        <v>134</v>
      </c>
      <c r="Y33" s="159" t="s">
        <v>135</v>
      </c>
      <c r="Z33" s="158" t="s">
        <v>136</v>
      </c>
      <c r="AA33" s="158" t="s">
        <v>137</v>
      </c>
      <c r="AB33" s="158" t="s">
        <v>138</v>
      </c>
      <c r="AC33" s="159" t="s">
        <v>139</v>
      </c>
      <c r="AD33" s="158" t="s">
        <v>140</v>
      </c>
      <c r="AE33" s="158" t="s">
        <v>141</v>
      </c>
      <c r="AF33" s="158" t="s">
        <v>142</v>
      </c>
      <c r="AG33" s="159" t="s">
        <v>143</v>
      </c>
      <c r="AH33" s="158" t="s">
        <v>144</v>
      </c>
      <c r="AI33" s="158" t="s">
        <v>145</v>
      </c>
      <c r="AJ33" s="158" t="s">
        <v>146</v>
      </c>
      <c r="AK33" s="159" t="s">
        <v>147</v>
      </c>
      <c r="AL33" s="158" t="s">
        <v>148</v>
      </c>
      <c r="AM33" s="158" t="s">
        <v>149</v>
      </c>
      <c r="AN33" s="158" t="s">
        <v>150</v>
      </c>
      <c r="AO33" s="159" t="s">
        <v>151</v>
      </c>
      <c r="AP33" s="158" t="s">
        <v>152</v>
      </c>
      <c r="AQ33" s="158" t="s">
        <v>153</v>
      </c>
      <c r="AR33" s="158" t="s">
        <v>154</v>
      </c>
      <c r="AS33" s="159" t="s">
        <v>155</v>
      </c>
      <c r="AT33" s="158" t="s">
        <v>156</v>
      </c>
      <c r="AU33" s="158" t="s">
        <v>157</v>
      </c>
      <c r="AV33" s="158" t="s">
        <v>158</v>
      </c>
      <c r="AW33" s="159" t="s">
        <v>820</v>
      </c>
      <c r="AX33" s="158" t="s">
        <v>1275</v>
      </c>
      <c r="AY33" s="158" t="s">
        <v>1344</v>
      </c>
    </row>
    <row r="34" spans="1:51" ht="13">
      <c r="A34" s="168" t="s">
        <v>293</v>
      </c>
      <c r="B34" s="162"/>
      <c r="C34" s="162"/>
      <c r="D34" s="162"/>
      <c r="E34" s="162"/>
      <c r="F34" s="162"/>
      <c r="G34" s="162"/>
      <c r="H34" s="162"/>
      <c r="I34" s="169"/>
      <c r="J34" s="162">
        <v>12202</v>
      </c>
      <c r="K34" s="162">
        <v>12028</v>
      </c>
      <c r="L34" s="127">
        <v>11352</v>
      </c>
      <c r="M34" s="89"/>
      <c r="N34" s="162"/>
      <c r="O34" s="162"/>
      <c r="P34" s="162"/>
      <c r="Q34" s="170"/>
      <c r="R34" s="162"/>
      <c r="S34" s="162"/>
      <c r="T34" s="162"/>
      <c r="U34" s="170"/>
      <c r="V34" s="162"/>
      <c r="W34" s="162"/>
      <c r="X34" s="162"/>
      <c r="Y34" s="170"/>
      <c r="Z34" s="162"/>
      <c r="AA34" s="162"/>
      <c r="AB34" s="162"/>
      <c r="AC34" s="170"/>
      <c r="AD34" s="162"/>
      <c r="AE34" s="162"/>
      <c r="AF34" s="162"/>
      <c r="AG34" s="170"/>
      <c r="AH34" s="169"/>
      <c r="AI34" s="169"/>
      <c r="AJ34" s="169"/>
      <c r="AK34" s="171"/>
      <c r="AL34" s="162">
        <v>2901</v>
      </c>
      <c r="AM34" s="162">
        <f>6057-AL34</f>
        <v>3156</v>
      </c>
      <c r="AN34" s="162">
        <f>9155-64-AM34-AL34</f>
        <v>3034</v>
      </c>
      <c r="AO34" s="170">
        <v>3111</v>
      </c>
      <c r="AP34" s="162">
        <v>2685</v>
      </c>
      <c r="AQ34" s="162">
        <f>5782-AP34</f>
        <v>3097</v>
      </c>
      <c r="AR34" s="162">
        <f>8697-AQ34-AP34</f>
        <v>2915</v>
      </c>
      <c r="AS34" s="170">
        <v>3331</v>
      </c>
      <c r="AT34" s="162">
        <v>2912</v>
      </c>
      <c r="AU34" s="162">
        <f>+AU29-AU62</f>
        <v>2800</v>
      </c>
      <c r="AV34" s="162">
        <v>2697</v>
      </c>
      <c r="AW34" s="170">
        <f>2959-16</f>
        <v>2943</v>
      </c>
      <c r="AX34" s="162">
        <v>2770</v>
      </c>
      <c r="AY34" s="162">
        <v>3163</v>
      </c>
    </row>
    <row r="35" spans="1:51" ht="13">
      <c r="A35" s="168" t="s">
        <v>296</v>
      </c>
      <c r="B35" s="162"/>
      <c r="C35" s="162"/>
      <c r="D35" s="162"/>
      <c r="E35" s="162"/>
      <c r="F35" s="162"/>
      <c r="G35" s="162"/>
      <c r="H35" s="162"/>
      <c r="I35" s="169"/>
      <c r="J35" s="162">
        <f>1938+133</f>
        <v>2071</v>
      </c>
      <c r="K35" s="162">
        <v>1931</v>
      </c>
      <c r="L35" s="162">
        <v>2116</v>
      </c>
      <c r="M35" s="89"/>
      <c r="N35" s="162"/>
      <c r="O35" s="162"/>
      <c r="P35" s="162"/>
      <c r="Q35" s="170"/>
      <c r="R35" s="162"/>
      <c r="S35" s="162"/>
      <c r="T35" s="162"/>
      <c r="U35" s="170"/>
      <c r="V35" s="162"/>
      <c r="W35" s="162"/>
      <c r="X35" s="162"/>
      <c r="Y35" s="170"/>
      <c r="Z35" s="162"/>
      <c r="AA35" s="162"/>
      <c r="AB35" s="162"/>
      <c r="AC35" s="170"/>
      <c r="AD35" s="162"/>
      <c r="AE35" s="162"/>
      <c r="AF35" s="162"/>
      <c r="AG35" s="170"/>
      <c r="AH35" s="169"/>
      <c r="AI35" s="169"/>
      <c r="AJ35" s="169"/>
      <c r="AK35" s="172"/>
      <c r="AL35" s="162">
        <v>561</v>
      </c>
      <c r="AM35" s="162">
        <f>1117-AL35</f>
        <v>556</v>
      </c>
      <c r="AN35" s="162">
        <f>1633-AM35-AL35</f>
        <v>516</v>
      </c>
      <c r="AO35" s="170">
        <f>2071-AN35-AM35-AL35</f>
        <v>438</v>
      </c>
      <c r="AP35" s="162">
        <v>494</v>
      </c>
      <c r="AQ35" s="162">
        <f>1020-AP35</f>
        <v>526</v>
      </c>
      <c r="AR35" s="162">
        <f>1527-AQ35-AP35-2</f>
        <v>505</v>
      </c>
      <c r="AS35" s="170">
        <v>406</v>
      </c>
      <c r="AT35" s="162">
        <v>539</v>
      </c>
      <c r="AU35" s="162">
        <f>+AU30-AU63</f>
        <v>550</v>
      </c>
      <c r="AV35" s="162">
        <v>505</v>
      </c>
      <c r="AW35" s="170">
        <v>522</v>
      </c>
      <c r="AX35" s="162">
        <v>476</v>
      </c>
      <c r="AY35" s="162">
        <v>560</v>
      </c>
    </row>
    <row r="36" spans="1:51" ht="13">
      <c r="A36" s="147" t="s">
        <v>298</v>
      </c>
      <c r="B36" s="148"/>
      <c r="C36" s="148"/>
      <c r="D36" s="148"/>
      <c r="E36" s="148"/>
      <c r="F36" s="148"/>
      <c r="G36" s="148"/>
      <c r="H36" s="148"/>
      <c r="I36" s="148"/>
      <c r="J36" s="148">
        <f>SUM(AL36:AO36)</f>
        <v>13948</v>
      </c>
      <c r="K36" s="148">
        <v>13661</v>
      </c>
      <c r="L36" s="148">
        <v>13146</v>
      </c>
      <c r="M36" s="89"/>
      <c r="N36" s="173"/>
      <c r="O36" s="173"/>
      <c r="P36" s="173"/>
      <c r="Q36" s="174"/>
      <c r="R36" s="173"/>
      <c r="S36" s="173"/>
      <c r="T36" s="173"/>
      <c r="U36" s="174"/>
      <c r="V36" s="173"/>
      <c r="W36" s="173"/>
      <c r="X36" s="173"/>
      <c r="Y36" s="174"/>
      <c r="Z36" s="173"/>
      <c r="AA36" s="173"/>
      <c r="AB36" s="173"/>
      <c r="AC36" s="174"/>
      <c r="AD36" s="148"/>
      <c r="AE36" s="148"/>
      <c r="AF36" s="148"/>
      <c r="AG36" s="150"/>
      <c r="AH36" s="148"/>
      <c r="AI36" s="148"/>
      <c r="AJ36" s="148"/>
      <c r="AK36" s="150"/>
      <c r="AL36" s="148">
        <f>3374-AL64</f>
        <v>3400</v>
      </c>
      <c r="AM36" s="148">
        <f>3605-AM64</f>
        <v>3621</v>
      </c>
      <c r="AN36" s="148">
        <f>3533-64-AN64</f>
        <v>3481</v>
      </c>
      <c r="AO36" s="150">
        <v>3446</v>
      </c>
      <c r="AP36" s="148">
        <f>2976-AP64</f>
        <v>3103</v>
      </c>
      <c r="AQ36" s="148">
        <v>3517</v>
      </c>
      <c r="AR36" s="148">
        <f>9979-AQ36-AP36</f>
        <v>3359</v>
      </c>
      <c r="AS36" s="150">
        <v>3682</v>
      </c>
      <c r="AT36" s="148">
        <v>3364</v>
      </c>
      <c r="AU36" s="148">
        <v>3236</v>
      </c>
      <c r="AV36" s="148">
        <v>3140.8887435937941</v>
      </c>
      <c r="AW36" s="150">
        <f>3421.2043374722-16</f>
        <v>3405.2043374722002</v>
      </c>
      <c r="AX36" s="148">
        <v>3124.9850068677001</v>
      </c>
      <c r="AY36" s="148">
        <v>3618.3179070512001</v>
      </c>
    </row>
    <row r="37" spans="1:51" ht="13">
      <c r="A37" s="89"/>
      <c r="B37" s="175"/>
      <c r="C37" s="175"/>
      <c r="D37" s="175"/>
      <c r="E37" s="175"/>
      <c r="F37" s="175"/>
      <c r="G37" s="175"/>
      <c r="H37" s="175"/>
      <c r="I37" s="175"/>
      <c r="J37" s="175"/>
      <c r="K37" s="175"/>
      <c r="L37" s="175"/>
      <c r="M37" s="89"/>
      <c r="N37" s="175"/>
      <c r="O37" s="175"/>
      <c r="P37" s="175"/>
      <c r="Q37" s="176"/>
      <c r="R37" s="175"/>
      <c r="S37" s="175"/>
      <c r="T37" s="175"/>
      <c r="U37" s="176"/>
      <c r="V37" s="175"/>
      <c r="W37" s="175"/>
      <c r="X37" s="175"/>
      <c r="Y37" s="176"/>
      <c r="Z37" s="175"/>
      <c r="AA37" s="175"/>
      <c r="AB37" s="175"/>
      <c r="AC37" s="176"/>
      <c r="AD37" s="175"/>
      <c r="AE37" s="175"/>
      <c r="AF37" s="175"/>
      <c r="AG37" s="176"/>
      <c r="AH37" s="177"/>
      <c r="AI37" s="175"/>
      <c r="AJ37" s="175"/>
      <c r="AK37" s="176"/>
      <c r="AL37" s="178"/>
      <c r="AM37" s="175"/>
      <c r="AN37" s="175"/>
      <c r="AO37" s="179"/>
      <c r="AP37" s="177"/>
      <c r="AQ37" s="175"/>
      <c r="AR37" s="175"/>
      <c r="AS37" s="179"/>
      <c r="AT37" s="177"/>
      <c r="AU37" s="175"/>
      <c r="AV37" s="175"/>
      <c r="AW37" s="179"/>
      <c r="AX37" s="177"/>
      <c r="AY37" s="175"/>
    </row>
    <row r="38" spans="1:51" ht="13">
      <c r="A38" s="157" t="s">
        <v>305</v>
      </c>
      <c r="B38" s="158">
        <v>2015</v>
      </c>
      <c r="C38" s="158">
        <v>2016</v>
      </c>
      <c r="D38" s="158">
        <v>2017</v>
      </c>
      <c r="E38" s="158">
        <v>2018</v>
      </c>
      <c r="F38" s="158">
        <v>2019</v>
      </c>
      <c r="G38" s="158">
        <v>2020</v>
      </c>
      <c r="H38" s="158">
        <v>2021</v>
      </c>
      <c r="I38" s="158">
        <v>2022</v>
      </c>
      <c r="J38" s="158">
        <v>2023</v>
      </c>
      <c r="K38" s="158">
        <v>2024</v>
      </c>
      <c r="L38" s="158">
        <v>2025</v>
      </c>
      <c r="M38" s="89"/>
      <c r="N38" s="158" t="s">
        <v>264</v>
      </c>
      <c r="O38" s="158" t="s">
        <v>265</v>
      </c>
      <c r="P38" s="158" t="s">
        <v>266</v>
      </c>
      <c r="Q38" s="159" t="s">
        <v>267</v>
      </c>
      <c r="R38" s="158" t="s">
        <v>128</v>
      </c>
      <c r="S38" s="158" t="s">
        <v>129</v>
      </c>
      <c r="T38" s="158" t="s">
        <v>130</v>
      </c>
      <c r="U38" s="159" t="s">
        <v>131</v>
      </c>
      <c r="V38" s="158" t="s">
        <v>132</v>
      </c>
      <c r="W38" s="158" t="s">
        <v>133</v>
      </c>
      <c r="X38" s="158" t="s">
        <v>134</v>
      </c>
      <c r="Y38" s="159" t="s">
        <v>135</v>
      </c>
      <c r="Z38" s="158" t="s">
        <v>136</v>
      </c>
      <c r="AA38" s="158" t="s">
        <v>137</v>
      </c>
      <c r="AB38" s="158" t="s">
        <v>138</v>
      </c>
      <c r="AC38" s="159" t="s">
        <v>139</v>
      </c>
      <c r="AD38" s="158" t="s">
        <v>140</v>
      </c>
      <c r="AE38" s="158" t="s">
        <v>141</v>
      </c>
      <c r="AF38" s="158" t="s">
        <v>142</v>
      </c>
      <c r="AG38" s="159" t="s">
        <v>143</v>
      </c>
      <c r="AH38" s="158" t="s">
        <v>144</v>
      </c>
      <c r="AI38" s="158" t="s">
        <v>145</v>
      </c>
      <c r="AJ38" s="158" t="s">
        <v>146</v>
      </c>
      <c r="AK38" s="159" t="s">
        <v>147</v>
      </c>
      <c r="AL38" s="158" t="s">
        <v>148</v>
      </c>
      <c r="AM38" s="158" t="s">
        <v>149</v>
      </c>
      <c r="AN38" s="158" t="s">
        <v>150</v>
      </c>
      <c r="AO38" s="159" t="s">
        <v>151</v>
      </c>
      <c r="AP38" s="158" t="s">
        <v>152</v>
      </c>
      <c r="AQ38" s="158" t="s">
        <v>153</v>
      </c>
      <c r="AR38" s="158" t="s">
        <v>154</v>
      </c>
      <c r="AS38" s="159" t="s">
        <v>155</v>
      </c>
      <c r="AT38" s="158" t="s">
        <v>156</v>
      </c>
      <c r="AU38" s="158" t="s">
        <v>157</v>
      </c>
      <c r="AV38" s="158" t="s">
        <v>158</v>
      </c>
      <c r="AW38" s="159" t="s">
        <v>820</v>
      </c>
      <c r="AX38" s="158" t="s">
        <v>1275</v>
      </c>
      <c r="AY38" s="158" t="s">
        <v>1344</v>
      </c>
    </row>
    <row r="39" spans="1:51" ht="13">
      <c r="A39" s="1119" t="s">
        <v>306</v>
      </c>
      <c r="B39" s="162"/>
      <c r="C39" s="162"/>
      <c r="D39" s="162"/>
      <c r="E39" s="162"/>
      <c r="F39" s="162"/>
      <c r="G39" s="162"/>
      <c r="H39" s="162"/>
      <c r="I39" s="169"/>
      <c r="J39" s="181">
        <f>+J34/J18</f>
        <v>0.25672207027140753</v>
      </c>
      <c r="K39" s="181">
        <f>+K34/K18</f>
        <v>0.24590096904771641</v>
      </c>
      <c r="L39" s="181">
        <v>0.24125124679017848</v>
      </c>
      <c r="M39" s="89"/>
      <c r="N39" s="181"/>
      <c r="O39" s="181"/>
      <c r="P39" s="181"/>
      <c r="Q39" s="182"/>
      <c r="R39" s="181"/>
      <c r="S39" s="181"/>
      <c r="T39" s="181"/>
      <c r="U39" s="182"/>
      <c r="V39" s="181"/>
      <c r="W39" s="181"/>
      <c r="X39" s="181"/>
      <c r="Y39" s="182"/>
      <c r="Z39" s="181"/>
      <c r="AA39" s="181"/>
      <c r="AB39" s="181"/>
      <c r="AC39" s="182"/>
      <c r="AD39" s="181"/>
      <c r="AE39" s="181"/>
      <c r="AF39" s="181"/>
      <c r="AG39" s="182"/>
      <c r="AH39" s="183"/>
      <c r="AI39" s="183"/>
      <c r="AJ39" s="183"/>
      <c r="AK39" s="184"/>
      <c r="AL39" s="181">
        <f t="shared" ref="AL39:AS39" si="2">+AL34/AL18</f>
        <v>0.27028789713966273</v>
      </c>
      <c r="AM39" s="181">
        <f t="shared" si="2"/>
        <v>0.25227817745803355</v>
      </c>
      <c r="AN39" s="181">
        <f t="shared" si="2"/>
        <v>0.25867507886435331</v>
      </c>
      <c r="AO39" s="182">
        <f t="shared" si="2"/>
        <v>0.24773053033922598</v>
      </c>
      <c r="AP39" s="175">
        <f t="shared" si="2"/>
        <v>0.23947556189796645</v>
      </c>
      <c r="AQ39" s="181">
        <f t="shared" si="2"/>
        <v>0.24744327261105784</v>
      </c>
      <c r="AR39" s="181">
        <f t="shared" si="2"/>
        <v>0.24547368421052632</v>
      </c>
      <c r="AS39" s="182">
        <f t="shared" si="2"/>
        <v>0.2502441589662685</v>
      </c>
      <c r="AT39" s="175">
        <v>0.249</v>
      </c>
      <c r="AU39" s="181">
        <f>+AU34/AU18</f>
        <v>0.24486226497595104</v>
      </c>
      <c r="AV39" s="181">
        <v>0.23425692695214106</v>
      </c>
      <c r="AW39" s="182">
        <v>0.23730852514235304</v>
      </c>
      <c r="AX39" s="175">
        <v>0.25705270972531552</v>
      </c>
      <c r="AY39" s="181">
        <v>0.24635875068151725</v>
      </c>
    </row>
    <row r="40" spans="1:51" ht="13">
      <c r="A40" s="89" t="s">
        <v>307</v>
      </c>
      <c r="B40" s="162"/>
      <c r="C40" s="162"/>
      <c r="D40" s="162"/>
      <c r="E40" s="162"/>
      <c r="F40" s="162"/>
      <c r="G40" s="162"/>
      <c r="H40" s="162"/>
      <c r="I40" s="169"/>
      <c r="J40" s="181">
        <f>+J35/J21</f>
        <v>0.16277607482511985</v>
      </c>
      <c r="K40" s="181">
        <f>+K35/K21</f>
        <v>0.13189890710382512</v>
      </c>
      <c r="L40" s="181">
        <v>0.14308899107384365</v>
      </c>
      <c r="M40" s="89"/>
      <c r="N40" s="181"/>
      <c r="O40" s="181"/>
      <c r="P40" s="181"/>
      <c r="Q40" s="182"/>
      <c r="R40" s="181"/>
      <c r="S40" s="181"/>
      <c r="T40" s="181"/>
      <c r="U40" s="182"/>
      <c r="V40" s="181"/>
      <c r="W40" s="181"/>
      <c r="X40" s="181"/>
      <c r="Y40" s="182"/>
      <c r="Z40" s="181"/>
      <c r="AA40" s="181"/>
      <c r="AB40" s="181"/>
      <c r="AC40" s="182"/>
      <c r="AD40" s="181"/>
      <c r="AE40" s="181"/>
      <c r="AF40" s="181"/>
      <c r="AG40" s="182"/>
      <c r="AH40" s="183"/>
      <c r="AI40" s="183"/>
      <c r="AJ40" s="183"/>
      <c r="AK40" s="185"/>
      <c r="AL40" s="181">
        <f t="shared" ref="AL40:AS40" si="3">+AL35/AL21</f>
        <v>0.17952000000000001</v>
      </c>
      <c r="AM40" s="181">
        <f t="shared" si="3"/>
        <v>0.16266822703335285</v>
      </c>
      <c r="AN40" s="181">
        <f t="shared" si="3"/>
        <v>0.16150234741784036</v>
      </c>
      <c r="AO40" s="186">
        <f t="shared" si="3"/>
        <v>0.14673366834170853</v>
      </c>
      <c r="AP40" s="175">
        <f t="shared" si="3"/>
        <v>0.16751441166497116</v>
      </c>
      <c r="AQ40" s="181">
        <f t="shared" si="3"/>
        <v>0.13179654221999498</v>
      </c>
      <c r="AR40" s="181">
        <f t="shared" si="3"/>
        <v>0.13258072985035443</v>
      </c>
      <c r="AS40" s="186">
        <f t="shared" si="3"/>
        <v>0.10434335646363403</v>
      </c>
      <c r="AT40" s="175">
        <v>0.14099999999999999</v>
      </c>
      <c r="AU40" s="181">
        <f>+AU35/AU21</f>
        <v>0.15006821282401092</v>
      </c>
      <c r="AV40" s="181">
        <v>0.13633909287257021</v>
      </c>
      <c r="AW40" s="186">
        <v>0.14467849223946785</v>
      </c>
      <c r="AX40" s="175">
        <v>0.13355780022446689</v>
      </c>
      <c r="AY40" s="181">
        <v>0.14530358069538143</v>
      </c>
    </row>
    <row r="41" spans="1:51" ht="13">
      <c r="A41" s="147" t="s">
        <v>308</v>
      </c>
      <c r="B41" s="173"/>
      <c r="C41" s="173"/>
      <c r="D41" s="173"/>
      <c r="E41" s="173"/>
      <c r="F41" s="173"/>
      <c r="G41" s="173"/>
      <c r="H41" s="173"/>
      <c r="I41" s="173"/>
      <c r="J41" s="187">
        <f>+J36/J23</f>
        <v>0.23114528611437946</v>
      </c>
      <c r="K41" s="187">
        <f>+K36/K23</f>
        <v>0.21478208917678132</v>
      </c>
      <c r="L41" s="187">
        <v>0.21229867223242677</v>
      </c>
      <c r="M41" s="188"/>
      <c r="N41" s="173"/>
      <c r="O41" s="173"/>
      <c r="P41" s="173"/>
      <c r="Q41" s="174"/>
      <c r="R41" s="173"/>
      <c r="S41" s="173"/>
      <c r="T41" s="173"/>
      <c r="U41" s="174"/>
      <c r="V41" s="173"/>
      <c r="W41" s="173"/>
      <c r="X41" s="173"/>
      <c r="Y41" s="174"/>
      <c r="Z41" s="173"/>
      <c r="AA41" s="173"/>
      <c r="AB41" s="173"/>
      <c r="AC41" s="174"/>
      <c r="AD41" s="148"/>
      <c r="AE41" s="148"/>
      <c r="AF41" s="148"/>
      <c r="AG41" s="150"/>
      <c r="AH41" s="148"/>
      <c r="AI41" s="148"/>
      <c r="AJ41" s="148"/>
      <c r="AK41" s="150"/>
      <c r="AL41" s="187">
        <f t="shared" ref="AL41:AS41" si="4">+AL36/AL23</f>
        <v>0.2451687337755985</v>
      </c>
      <c r="AM41" s="187">
        <f t="shared" si="4"/>
        <v>0.22759270898805783</v>
      </c>
      <c r="AN41" s="187">
        <f t="shared" si="4"/>
        <v>0.23211308928452357</v>
      </c>
      <c r="AO41" s="189">
        <f t="shared" si="4"/>
        <v>0.22135149023638231</v>
      </c>
      <c r="AP41" s="187">
        <f t="shared" si="4"/>
        <v>0.21940182422399773</v>
      </c>
      <c r="AQ41" s="187">
        <f t="shared" si="4"/>
        <v>0.21300950881230696</v>
      </c>
      <c r="AR41" s="187">
        <f t="shared" si="4"/>
        <v>0.21396267278170583</v>
      </c>
      <c r="AS41" s="189">
        <f t="shared" si="4"/>
        <v>0.21343690220856762</v>
      </c>
      <c r="AT41" s="190" t="s">
        <v>309</v>
      </c>
      <c r="AU41" s="187">
        <f>+AU36/AU23</f>
        <v>0.2138797091870456</v>
      </c>
      <c r="AV41" s="187">
        <v>0.20606801886850767</v>
      </c>
      <c r="AW41" s="189">
        <v>0.21262923166390302</v>
      </c>
      <c r="AX41" s="190">
        <v>0.21775381554370429</v>
      </c>
      <c r="AY41" s="187">
        <v>0.21663979805120345</v>
      </c>
    </row>
    <row r="42" spans="1:51" ht="13">
      <c r="A42" s="191"/>
      <c r="B42" s="192"/>
      <c r="C42" s="192"/>
      <c r="D42" s="192"/>
      <c r="E42" s="192"/>
      <c r="F42" s="192"/>
      <c r="G42" s="192"/>
      <c r="H42" s="192"/>
      <c r="I42" s="192"/>
      <c r="J42" s="193"/>
      <c r="K42" s="192"/>
      <c r="L42" s="192"/>
      <c r="M42" s="194"/>
      <c r="N42" s="192"/>
      <c r="O42" s="192"/>
      <c r="P42" s="192"/>
      <c r="Q42" s="195"/>
      <c r="R42" s="192"/>
      <c r="S42" s="192"/>
      <c r="T42" s="192"/>
      <c r="U42" s="195"/>
      <c r="V42" s="192"/>
      <c r="W42" s="192"/>
      <c r="X42" s="192"/>
      <c r="Y42" s="195"/>
      <c r="Z42" s="192"/>
      <c r="AA42" s="192"/>
      <c r="AB42" s="192"/>
      <c r="AC42" s="195"/>
      <c r="AD42" s="192"/>
      <c r="AE42" s="192"/>
      <c r="AF42" s="192"/>
      <c r="AG42" s="195"/>
      <c r="AH42" s="192"/>
      <c r="AI42" s="192"/>
      <c r="AJ42" s="192"/>
      <c r="AK42" s="195"/>
      <c r="AL42" s="193"/>
      <c r="AM42" s="193"/>
      <c r="AN42" s="193"/>
      <c r="AO42" s="196"/>
      <c r="AP42" s="193"/>
      <c r="AQ42" s="192"/>
      <c r="AR42" s="192"/>
      <c r="AS42" s="196"/>
      <c r="AT42" s="193"/>
      <c r="AU42" s="192"/>
      <c r="AV42" s="192"/>
      <c r="AW42" s="196"/>
      <c r="AX42" s="193"/>
      <c r="AY42" s="192"/>
    </row>
    <row r="43" spans="1:51" ht="13">
      <c r="A43" s="123"/>
      <c r="B43" s="153"/>
      <c r="C43" s="153"/>
      <c r="D43" s="153"/>
      <c r="E43" s="153"/>
      <c r="F43" s="153"/>
      <c r="G43" s="167"/>
      <c r="H43" s="167"/>
      <c r="I43" s="167"/>
      <c r="J43" s="167"/>
      <c r="K43" s="153"/>
      <c r="L43" s="153"/>
      <c r="M43" s="89"/>
      <c r="N43" s="153"/>
      <c r="O43" s="153"/>
      <c r="P43" s="153"/>
      <c r="Q43" s="154"/>
      <c r="R43" s="153"/>
      <c r="S43" s="153"/>
      <c r="T43" s="153"/>
      <c r="U43" s="154"/>
      <c r="V43" s="153"/>
      <c r="W43" s="153"/>
      <c r="X43" s="153"/>
      <c r="Y43" s="154"/>
      <c r="Z43" s="153"/>
      <c r="AA43" s="153"/>
      <c r="AB43" s="153"/>
      <c r="AC43" s="154"/>
      <c r="AD43" s="153"/>
      <c r="AE43" s="153"/>
      <c r="AF43" s="153"/>
      <c r="AG43" s="154"/>
      <c r="AH43" s="153"/>
      <c r="AI43" s="153"/>
      <c r="AJ43" s="153"/>
      <c r="AK43" s="154"/>
      <c r="AL43" s="153"/>
      <c r="AM43" s="153"/>
      <c r="AN43" s="153"/>
      <c r="AO43" s="154"/>
      <c r="AP43" s="153"/>
      <c r="AQ43" s="153"/>
      <c r="AR43" s="153"/>
      <c r="AS43" s="154"/>
      <c r="AT43" s="153"/>
      <c r="AU43" s="153"/>
      <c r="AV43" s="153"/>
      <c r="AW43" s="154"/>
      <c r="AX43" s="153"/>
      <c r="AY43" s="153"/>
    </row>
    <row r="44" spans="1:51" ht="13">
      <c r="A44" s="157" t="s">
        <v>310</v>
      </c>
      <c r="B44" s="158">
        <v>2015</v>
      </c>
      <c r="C44" s="158">
        <v>2016</v>
      </c>
      <c r="D44" s="158">
        <v>2017</v>
      </c>
      <c r="E44" s="158">
        <v>2018</v>
      </c>
      <c r="F44" s="158">
        <v>2019</v>
      </c>
      <c r="G44" s="158">
        <v>2020</v>
      </c>
      <c r="H44" s="158">
        <v>2021</v>
      </c>
      <c r="I44" s="158">
        <v>2022</v>
      </c>
      <c r="J44" s="158">
        <v>2023</v>
      </c>
      <c r="K44" s="158">
        <v>2024</v>
      </c>
      <c r="L44" s="158">
        <v>2025</v>
      </c>
      <c r="M44" s="89"/>
      <c r="N44" s="158" t="s">
        <v>264</v>
      </c>
      <c r="O44" s="158" t="s">
        <v>265</v>
      </c>
      <c r="P44" s="158" t="s">
        <v>266</v>
      </c>
      <c r="Q44" s="159" t="s">
        <v>267</v>
      </c>
      <c r="R44" s="158" t="s">
        <v>128</v>
      </c>
      <c r="S44" s="158" t="s">
        <v>129</v>
      </c>
      <c r="T44" s="158" t="s">
        <v>130</v>
      </c>
      <c r="U44" s="159" t="s">
        <v>131</v>
      </c>
      <c r="V44" s="158" t="s">
        <v>132</v>
      </c>
      <c r="W44" s="158" t="s">
        <v>133</v>
      </c>
      <c r="X44" s="158" t="s">
        <v>134</v>
      </c>
      <c r="Y44" s="159" t="s">
        <v>135</v>
      </c>
      <c r="Z44" s="158" t="s">
        <v>136</v>
      </c>
      <c r="AA44" s="158" t="s">
        <v>137</v>
      </c>
      <c r="AB44" s="158" t="s">
        <v>138</v>
      </c>
      <c r="AC44" s="159" t="s">
        <v>139</v>
      </c>
      <c r="AD44" s="158" t="s">
        <v>140</v>
      </c>
      <c r="AE44" s="158" t="s">
        <v>141</v>
      </c>
      <c r="AF44" s="158" t="s">
        <v>142</v>
      </c>
      <c r="AG44" s="159" t="s">
        <v>143</v>
      </c>
      <c r="AH44" s="158" t="s">
        <v>144</v>
      </c>
      <c r="AI44" s="158" t="s">
        <v>145</v>
      </c>
      <c r="AJ44" s="158" t="s">
        <v>146</v>
      </c>
      <c r="AK44" s="159" t="s">
        <v>147</v>
      </c>
      <c r="AL44" s="158" t="s">
        <v>148</v>
      </c>
      <c r="AM44" s="158" t="s">
        <v>149</v>
      </c>
      <c r="AN44" s="158" t="s">
        <v>150</v>
      </c>
      <c r="AO44" s="159" t="s">
        <v>151</v>
      </c>
      <c r="AP44" s="158" t="s">
        <v>152</v>
      </c>
      <c r="AQ44" s="158" t="s">
        <v>153</v>
      </c>
      <c r="AR44" s="158" t="s">
        <v>154</v>
      </c>
      <c r="AS44" s="159" t="s">
        <v>155</v>
      </c>
      <c r="AT44" s="158" t="s">
        <v>156</v>
      </c>
      <c r="AU44" s="158" t="s">
        <v>157</v>
      </c>
      <c r="AV44" s="158" t="s">
        <v>158</v>
      </c>
      <c r="AW44" s="159" t="s">
        <v>820</v>
      </c>
      <c r="AX44" s="158" t="s">
        <v>1275</v>
      </c>
      <c r="AY44" s="158" t="s">
        <v>1344</v>
      </c>
    </row>
    <row r="45" spans="1:51" ht="13">
      <c r="A45" s="126" t="s">
        <v>293</v>
      </c>
      <c r="B45" s="127">
        <v>4370</v>
      </c>
      <c r="C45" s="127">
        <v>3802</v>
      </c>
      <c r="D45" s="162">
        <v>5107</v>
      </c>
      <c r="E45" s="162">
        <v>6713</v>
      </c>
      <c r="F45" s="127">
        <v>7436</v>
      </c>
      <c r="G45" s="127">
        <v>6639</v>
      </c>
      <c r="H45" s="127">
        <f t="shared" ref="H45:H50" si="5">SUM(AD45:AG45)</f>
        <v>7808</v>
      </c>
      <c r="I45" s="128">
        <v>9491</v>
      </c>
      <c r="J45" s="127">
        <v>11792</v>
      </c>
      <c r="K45" s="127">
        <v>11310</v>
      </c>
      <c r="L45" s="127">
        <v>10458</v>
      </c>
      <c r="M45" s="89"/>
      <c r="N45" s="162">
        <v>1166</v>
      </c>
      <c r="O45" s="162">
        <v>1242</v>
      </c>
      <c r="P45" s="162">
        <v>1261</v>
      </c>
      <c r="Q45" s="170">
        <v>1438</v>
      </c>
      <c r="R45" s="162">
        <v>1351</v>
      </c>
      <c r="S45" s="162">
        <v>1741</v>
      </c>
      <c r="T45" s="162">
        <v>1755</v>
      </c>
      <c r="U45" s="170">
        <v>1866</v>
      </c>
      <c r="V45" s="162">
        <v>1707</v>
      </c>
      <c r="W45" s="162">
        <v>1961</v>
      </c>
      <c r="X45" s="162">
        <v>1923</v>
      </c>
      <c r="Y45" s="170">
        <v>1845</v>
      </c>
      <c r="Z45" s="162">
        <v>1586</v>
      </c>
      <c r="AA45" s="162">
        <v>1441</v>
      </c>
      <c r="AB45" s="162">
        <v>1646</v>
      </c>
      <c r="AC45" s="170">
        <v>1966</v>
      </c>
      <c r="AD45" s="162">
        <v>1696</v>
      </c>
      <c r="AE45" s="162">
        <v>1880</v>
      </c>
      <c r="AF45" s="162">
        <v>1909</v>
      </c>
      <c r="AG45" s="170">
        <v>2323</v>
      </c>
      <c r="AH45" s="169">
        <v>2188</v>
      </c>
      <c r="AI45" s="169">
        <v>1955</v>
      </c>
      <c r="AJ45" s="169">
        <v>2474</v>
      </c>
      <c r="AK45" s="172">
        <v>2874</v>
      </c>
      <c r="AL45" s="162">
        <v>2718</v>
      </c>
      <c r="AM45" s="127">
        <v>2995</v>
      </c>
      <c r="AN45" s="127">
        <v>2868</v>
      </c>
      <c r="AO45" s="170">
        <v>3211</v>
      </c>
      <c r="AP45" s="162">
        <v>2503</v>
      </c>
      <c r="AQ45" s="162">
        <v>2763</v>
      </c>
      <c r="AR45" s="162">
        <v>2923</v>
      </c>
      <c r="AS45" s="170">
        <v>3121</v>
      </c>
      <c r="AT45" s="162">
        <v>2724</v>
      </c>
      <c r="AU45" s="162">
        <v>2577</v>
      </c>
      <c r="AV45" s="162">
        <v>2426</v>
      </c>
      <c r="AW45" s="170">
        <v>2731</v>
      </c>
      <c r="AX45" s="162">
        <v>2584</v>
      </c>
      <c r="AY45" s="162">
        <v>2967</v>
      </c>
    </row>
    <row r="46" spans="1:51" ht="13">
      <c r="A46" s="126" t="s">
        <v>296</v>
      </c>
      <c r="B46" s="132">
        <v>957</v>
      </c>
      <c r="C46" s="132">
        <v>937</v>
      </c>
      <c r="D46" s="127">
        <v>1146.0051558893001</v>
      </c>
      <c r="E46" s="127">
        <v>1239</v>
      </c>
      <c r="F46" s="127">
        <v>1252</v>
      </c>
      <c r="G46" s="127">
        <v>1097</v>
      </c>
      <c r="H46" s="127">
        <f t="shared" si="5"/>
        <v>1784</v>
      </c>
      <c r="I46" s="128">
        <v>1900</v>
      </c>
      <c r="J46" s="127">
        <v>1780</v>
      </c>
      <c r="K46" s="132">
        <v>1373</v>
      </c>
      <c r="L46" s="132">
        <v>1810</v>
      </c>
      <c r="M46" s="89"/>
      <c r="N46" s="127">
        <v>321</v>
      </c>
      <c r="O46" s="127">
        <v>328</v>
      </c>
      <c r="P46" s="127">
        <v>279</v>
      </c>
      <c r="Q46" s="129">
        <v>218.0051558893</v>
      </c>
      <c r="R46" s="127">
        <v>287</v>
      </c>
      <c r="S46" s="127">
        <v>304</v>
      </c>
      <c r="T46" s="127">
        <v>324</v>
      </c>
      <c r="U46" s="129">
        <v>324</v>
      </c>
      <c r="V46" s="127">
        <v>371</v>
      </c>
      <c r="W46" s="127">
        <v>429</v>
      </c>
      <c r="X46" s="127">
        <v>157</v>
      </c>
      <c r="Y46" s="129">
        <v>295</v>
      </c>
      <c r="Z46" s="127">
        <v>337</v>
      </c>
      <c r="AA46" s="127">
        <v>143</v>
      </c>
      <c r="AB46" s="127">
        <v>254</v>
      </c>
      <c r="AC46" s="129">
        <v>363</v>
      </c>
      <c r="AD46" s="127">
        <v>386</v>
      </c>
      <c r="AE46" s="127">
        <v>416</v>
      </c>
      <c r="AF46" s="127">
        <v>502</v>
      </c>
      <c r="AG46" s="129">
        <v>480</v>
      </c>
      <c r="AH46" s="128">
        <v>474</v>
      </c>
      <c r="AI46" s="128">
        <v>436</v>
      </c>
      <c r="AJ46" s="128">
        <v>514</v>
      </c>
      <c r="AK46" s="130">
        <v>476</v>
      </c>
      <c r="AL46" s="127">
        <v>532</v>
      </c>
      <c r="AM46" s="127">
        <v>524</v>
      </c>
      <c r="AN46" s="127">
        <v>481</v>
      </c>
      <c r="AO46" s="129">
        <v>243</v>
      </c>
      <c r="AP46" s="127">
        <v>335</v>
      </c>
      <c r="AQ46" s="127">
        <v>283</v>
      </c>
      <c r="AR46" s="127">
        <v>429</v>
      </c>
      <c r="AS46" s="129">
        <v>326</v>
      </c>
      <c r="AT46" s="127">
        <v>461</v>
      </c>
      <c r="AU46" s="127">
        <v>376</v>
      </c>
      <c r="AV46" s="127">
        <v>436</v>
      </c>
      <c r="AW46" s="129">
        <v>537</v>
      </c>
      <c r="AX46" s="127">
        <v>404</v>
      </c>
      <c r="AY46" s="127">
        <v>488</v>
      </c>
    </row>
    <row r="47" spans="1:51" ht="13">
      <c r="A47" s="126" t="s">
        <v>297</v>
      </c>
      <c r="B47" s="139">
        <v>-152</v>
      </c>
      <c r="C47" s="139">
        <v>-191</v>
      </c>
      <c r="D47" s="162">
        <v>-323</v>
      </c>
      <c r="E47" s="127">
        <v>-567</v>
      </c>
      <c r="F47" s="127">
        <v>-552</v>
      </c>
      <c r="G47" s="127">
        <v>-354</v>
      </c>
      <c r="H47" s="127">
        <f t="shared" si="5"/>
        <v>-597</v>
      </c>
      <c r="I47" s="127">
        <v>-244</v>
      </c>
      <c r="J47" s="127">
        <v>-389</v>
      </c>
      <c r="K47" s="139">
        <v>-298</v>
      </c>
      <c r="L47" s="139">
        <v>-343</v>
      </c>
      <c r="M47" s="89"/>
      <c r="N47" s="162">
        <v>-73</v>
      </c>
      <c r="O47" s="162">
        <v>-102</v>
      </c>
      <c r="P47" s="162">
        <v>-20</v>
      </c>
      <c r="Q47" s="170">
        <v>-128</v>
      </c>
      <c r="R47" s="162">
        <v>-123</v>
      </c>
      <c r="S47" s="162">
        <v>-235</v>
      </c>
      <c r="T47" s="162">
        <v>-181</v>
      </c>
      <c r="U47" s="170">
        <v>-28</v>
      </c>
      <c r="V47" s="162">
        <v>-148</v>
      </c>
      <c r="W47" s="162">
        <v>-127</v>
      </c>
      <c r="X47" s="162">
        <v>-153</v>
      </c>
      <c r="Y47" s="170">
        <v>-124</v>
      </c>
      <c r="Z47" s="162">
        <v>9</v>
      </c>
      <c r="AA47" s="162">
        <v>-166</v>
      </c>
      <c r="AB47" s="162">
        <v>-80</v>
      </c>
      <c r="AC47" s="170">
        <v>-117</v>
      </c>
      <c r="AD47" s="162">
        <v>-215</v>
      </c>
      <c r="AE47" s="162">
        <v>-114</v>
      </c>
      <c r="AF47" s="162">
        <v>-59</v>
      </c>
      <c r="AG47" s="170">
        <v>-209</v>
      </c>
      <c r="AH47" s="162">
        <v>-31</v>
      </c>
      <c r="AI47" s="162">
        <v>-10</v>
      </c>
      <c r="AJ47" s="162">
        <v>-88</v>
      </c>
      <c r="AK47" s="170">
        <v>-115</v>
      </c>
      <c r="AL47" s="162">
        <v>-89</v>
      </c>
      <c r="AM47" s="162">
        <v>-106</v>
      </c>
      <c r="AN47" s="162">
        <v>-89</v>
      </c>
      <c r="AO47" s="170">
        <v>-105</v>
      </c>
      <c r="AP47" s="162">
        <v>-78</v>
      </c>
      <c r="AQ47" s="162">
        <v>-125</v>
      </c>
      <c r="AR47" s="162">
        <v>-75</v>
      </c>
      <c r="AS47" s="170">
        <v>-20</v>
      </c>
      <c r="AT47" s="162">
        <v>-97</v>
      </c>
      <c r="AU47" s="162">
        <v>-122</v>
      </c>
      <c r="AV47" s="162">
        <v>-60</v>
      </c>
      <c r="AW47" s="170">
        <v>-64</v>
      </c>
      <c r="AX47" s="162">
        <v>-142</v>
      </c>
      <c r="AY47" s="162">
        <v>-139</v>
      </c>
    </row>
    <row r="48" spans="1:51" ht="13">
      <c r="A48" s="147" t="s">
        <v>189</v>
      </c>
      <c r="B48" s="148">
        <v>5175</v>
      </c>
      <c r="C48" s="148">
        <v>4548</v>
      </c>
      <c r="D48" s="148">
        <v>5930.0051558893001</v>
      </c>
      <c r="E48" s="148">
        <v>7385</v>
      </c>
      <c r="F48" s="148">
        <v>8136</v>
      </c>
      <c r="G48" s="148">
        <v>7382</v>
      </c>
      <c r="H48" s="148">
        <f t="shared" si="5"/>
        <v>8995</v>
      </c>
      <c r="I48" s="148">
        <v>11147</v>
      </c>
      <c r="J48" s="148">
        <v>13183</v>
      </c>
      <c r="K48" s="148">
        <v>12385</v>
      </c>
      <c r="L48" s="148">
        <v>11925</v>
      </c>
      <c r="M48" s="116"/>
      <c r="N48" s="148">
        <v>1414</v>
      </c>
      <c r="O48" s="148">
        <v>1468</v>
      </c>
      <c r="P48" s="148">
        <v>1520</v>
      </c>
      <c r="Q48" s="150">
        <v>1528.0051558893001</v>
      </c>
      <c r="R48" s="148">
        <v>1515</v>
      </c>
      <c r="S48" s="148">
        <v>1810</v>
      </c>
      <c r="T48" s="148">
        <v>1898</v>
      </c>
      <c r="U48" s="150">
        <v>2162</v>
      </c>
      <c r="V48" s="148">
        <v>1930</v>
      </c>
      <c r="W48" s="148">
        <v>2263</v>
      </c>
      <c r="X48" s="148">
        <v>1927</v>
      </c>
      <c r="Y48" s="150">
        <v>2016</v>
      </c>
      <c r="Z48" s="148">
        <v>1932</v>
      </c>
      <c r="AA48" s="148">
        <v>1418</v>
      </c>
      <c r="AB48" s="148">
        <v>1820</v>
      </c>
      <c r="AC48" s="150">
        <v>2212</v>
      </c>
      <c r="AD48" s="148">
        <v>1867</v>
      </c>
      <c r="AE48" s="148">
        <v>2182</v>
      </c>
      <c r="AF48" s="148">
        <v>2352</v>
      </c>
      <c r="AG48" s="150">
        <v>2594</v>
      </c>
      <c r="AH48" s="148">
        <v>2631</v>
      </c>
      <c r="AI48" s="148">
        <v>2381</v>
      </c>
      <c r="AJ48" s="148">
        <v>2900</v>
      </c>
      <c r="AK48" s="150">
        <v>3235</v>
      </c>
      <c r="AL48" s="148">
        <v>3161</v>
      </c>
      <c r="AM48" s="148">
        <v>3413</v>
      </c>
      <c r="AN48" s="148">
        <v>3260</v>
      </c>
      <c r="AO48" s="150">
        <v>3349</v>
      </c>
      <c r="AP48" s="148">
        <v>2760</v>
      </c>
      <c r="AQ48" s="148">
        <v>2921</v>
      </c>
      <c r="AR48" s="148">
        <v>3277</v>
      </c>
      <c r="AS48" s="150">
        <v>3427</v>
      </c>
      <c r="AT48" s="148">
        <v>3088</v>
      </c>
      <c r="AU48" s="148">
        <v>2831</v>
      </c>
      <c r="AV48" s="148">
        <v>2802</v>
      </c>
      <c r="AW48" s="150">
        <v>3204</v>
      </c>
      <c r="AX48" s="148">
        <v>2846</v>
      </c>
      <c r="AY48" s="148">
        <v>3316</v>
      </c>
    </row>
    <row r="49" spans="1:51" ht="13">
      <c r="A49" s="126" t="s">
        <v>280</v>
      </c>
      <c r="B49" s="127">
        <v>-220</v>
      </c>
      <c r="C49" s="127">
        <v>-137</v>
      </c>
      <c r="D49" s="127">
        <v>-137</v>
      </c>
      <c r="E49" s="127">
        <v>-184</v>
      </c>
      <c r="F49" s="127">
        <v>-293</v>
      </c>
      <c r="G49" s="127">
        <v>-295</v>
      </c>
      <c r="H49" s="127">
        <f t="shared" si="5"/>
        <v>-31</v>
      </c>
      <c r="I49" s="127">
        <v>-369</v>
      </c>
      <c r="J49" s="127">
        <v>-948</v>
      </c>
      <c r="K49" s="127">
        <v>-946</v>
      </c>
      <c r="L49" s="127">
        <v>-689</v>
      </c>
      <c r="M49" s="188"/>
      <c r="N49" s="127">
        <v>-23</v>
      </c>
      <c r="O49" s="127">
        <v>-10</v>
      </c>
      <c r="P49" s="127">
        <v>-19</v>
      </c>
      <c r="Q49" s="129">
        <v>-85</v>
      </c>
      <c r="R49" s="127">
        <v>-57</v>
      </c>
      <c r="S49" s="127">
        <v>-44</v>
      </c>
      <c r="T49" s="127">
        <v>-36.982705969999984</v>
      </c>
      <c r="U49" s="129">
        <v>-46.017294030000016</v>
      </c>
      <c r="V49" s="127">
        <v>-100</v>
      </c>
      <c r="W49" s="127">
        <v>-38</v>
      </c>
      <c r="X49" s="127">
        <v>-61</v>
      </c>
      <c r="Y49" s="129">
        <v>-94</v>
      </c>
      <c r="Z49" s="127">
        <v>-46</v>
      </c>
      <c r="AA49" s="127">
        <v>-51</v>
      </c>
      <c r="AB49" s="127">
        <v>-76</v>
      </c>
      <c r="AC49" s="129">
        <v>-122</v>
      </c>
      <c r="AD49" s="127">
        <v>-33</v>
      </c>
      <c r="AE49" s="127">
        <v>-44</v>
      </c>
      <c r="AF49" s="127">
        <v>73</v>
      </c>
      <c r="AG49" s="129">
        <v>-27</v>
      </c>
      <c r="AH49" s="127">
        <v>-67</v>
      </c>
      <c r="AI49" s="127">
        <v>-89</v>
      </c>
      <c r="AJ49" s="127">
        <v>-24</v>
      </c>
      <c r="AK49" s="129">
        <v>-189</v>
      </c>
      <c r="AL49" s="127">
        <v>-197</v>
      </c>
      <c r="AM49" s="127">
        <v>15</v>
      </c>
      <c r="AN49" s="127">
        <v>-331</v>
      </c>
      <c r="AO49" s="129">
        <v>-435</v>
      </c>
      <c r="AP49" s="127">
        <v>-116</v>
      </c>
      <c r="AQ49" s="127">
        <v>-265</v>
      </c>
      <c r="AR49" s="127">
        <v>-264</v>
      </c>
      <c r="AS49" s="129">
        <v>-301</v>
      </c>
      <c r="AT49" s="127">
        <v>-207</v>
      </c>
      <c r="AU49" s="127">
        <v>-131</v>
      </c>
      <c r="AV49" s="127">
        <v>-236</v>
      </c>
      <c r="AW49" s="129">
        <v>-115</v>
      </c>
      <c r="AX49" s="127">
        <v>-84</v>
      </c>
      <c r="AY49" s="127">
        <v>-130</v>
      </c>
    </row>
    <row r="50" spans="1:51" ht="13">
      <c r="A50" s="147" t="s">
        <v>282</v>
      </c>
      <c r="B50" s="148">
        <v>4955</v>
      </c>
      <c r="C50" s="148">
        <v>4411</v>
      </c>
      <c r="D50" s="148">
        <v>5793</v>
      </c>
      <c r="E50" s="148">
        <v>7201</v>
      </c>
      <c r="F50" s="148">
        <v>7843</v>
      </c>
      <c r="G50" s="148">
        <v>7087</v>
      </c>
      <c r="H50" s="148">
        <f t="shared" si="5"/>
        <v>8964</v>
      </c>
      <c r="I50" s="148">
        <v>10778</v>
      </c>
      <c r="J50" s="148">
        <v>12235</v>
      </c>
      <c r="K50" s="148">
        <v>11439</v>
      </c>
      <c r="L50" s="148">
        <v>11236</v>
      </c>
      <c r="M50" s="89"/>
      <c r="N50" s="148">
        <v>1391</v>
      </c>
      <c r="O50" s="148">
        <v>1458</v>
      </c>
      <c r="P50" s="148">
        <v>1501</v>
      </c>
      <c r="Q50" s="150">
        <v>1443</v>
      </c>
      <c r="R50" s="148">
        <v>1458</v>
      </c>
      <c r="S50" s="148">
        <v>1766</v>
      </c>
      <c r="T50" s="148">
        <v>1861.0172940299999</v>
      </c>
      <c r="U50" s="150">
        <v>2116.1874796013699</v>
      </c>
      <c r="V50" s="148">
        <v>1830</v>
      </c>
      <c r="W50" s="148">
        <v>2225</v>
      </c>
      <c r="X50" s="148">
        <v>1866</v>
      </c>
      <c r="Y50" s="150">
        <v>1922</v>
      </c>
      <c r="Z50" s="148">
        <v>1886</v>
      </c>
      <c r="AA50" s="148">
        <v>1367</v>
      </c>
      <c r="AB50" s="148">
        <v>1744</v>
      </c>
      <c r="AC50" s="150">
        <v>2090</v>
      </c>
      <c r="AD50" s="148">
        <v>1834</v>
      </c>
      <c r="AE50" s="148">
        <v>2138</v>
      </c>
      <c r="AF50" s="148">
        <v>2425</v>
      </c>
      <c r="AG50" s="150">
        <v>2567</v>
      </c>
      <c r="AH50" s="148">
        <v>2564</v>
      </c>
      <c r="AI50" s="148">
        <v>2292</v>
      </c>
      <c r="AJ50" s="148">
        <v>2876</v>
      </c>
      <c r="AK50" s="150">
        <v>3046</v>
      </c>
      <c r="AL50" s="148">
        <v>2964</v>
      </c>
      <c r="AM50" s="148">
        <v>3428</v>
      </c>
      <c r="AN50" s="148">
        <v>2929</v>
      </c>
      <c r="AO50" s="150">
        <v>2914</v>
      </c>
      <c r="AP50" s="148">
        <v>2644</v>
      </c>
      <c r="AQ50" s="148">
        <v>2656</v>
      </c>
      <c r="AR50" s="148">
        <v>3013</v>
      </c>
      <c r="AS50" s="150">
        <v>3126</v>
      </c>
      <c r="AT50" s="148">
        <v>2881</v>
      </c>
      <c r="AU50" s="148">
        <v>2700</v>
      </c>
      <c r="AV50" s="148">
        <v>2566</v>
      </c>
      <c r="AW50" s="150">
        <v>3089</v>
      </c>
      <c r="AX50" s="148">
        <v>2762</v>
      </c>
      <c r="AY50" s="148">
        <v>3186</v>
      </c>
    </row>
    <row r="51" spans="1:51" ht="13">
      <c r="A51" s="123"/>
      <c r="B51" s="197"/>
      <c r="C51" s="197"/>
      <c r="D51" s="197"/>
      <c r="E51" s="197"/>
      <c r="F51" s="197"/>
      <c r="G51" s="197"/>
      <c r="H51" s="197"/>
      <c r="I51" s="197"/>
      <c r="J51" s="197"/>
      <c r="K51" s="197"/>
      <c r="L51" s="197"/>
      <c r="M51" s="89"/>
      <c r="N51" s="197"/>
      <c r="O51" s="197"/>
      <c r="P51" s="197"/>
      <c r="Q51" s="198"/>
      <c r="R51" s="197"/>
      <c r="S51" s="197"/>
      <c r="T51" s="197"/>
      <c r="U51" s="198"/>
      <c r="V51" s="197"/>
      <c r="W51" s="197"/>
      <c r="X51" s="197"/>
      <c r="Y51" s="198"/>
      <c r="Z51" s="197"/>
      <c r="AA51" s="197"/>
      <c r="AB51" s="197"/>
      <c r="AC51" s="198"/>
      <c r="AD51" s="197"/>
      <c r="AE51" s="197"/>
      <c r="AF51" s="197"/>
      <c r="AG51" s="198"/>
      <c r="AH51" s="197"/>
      <c r="AI51" s="197"/>
      <c r="AJ51" s="197"/>
      <c r="AK51" s="198"/>
      <c r="AL51" s="197"/>
      <c r="AM51" s="197"/>
      <c r="AN51" s="197"/>
      <c r="AO51" s="198"/>
      <c r="AP51" s="197"/>
      <c r="AQ51" s="197"/>
      <c r="AR51" s="197"/>
      <c r="AS51" s="198"/>
      <c r="AT51" s="197"/>
      <c r="AU51" s="197"/>
      <c r="AV51" s="197"/>
      <c r="AW51" s="198"/>
      <c r="AX51" s="197"/>
      <c r="AY51" s="197"/>
    </row>
    <row r="52" spans="1:51" ht="13">
      <c r="A52" s="123"/>
      <c r="B52" s="197"/>
      <c r="C52" s="197"/>
      <c r="D52" s="197"/>
      <c r="E52" s="197"/>
      <c r="F52" s="197"/>
      <c r="G52" s="197"/>
      <c r="H52" s="197"/>
      <c r="I52" s="197"/>
      <c r="J52" s="197"/>
      <c r="K52" s="197"/>
      <c r="L52" s="197"/>
      <c r="M52" s="89"/>
      <c r="N52" s="197"/>
      <c r="O52" s="197"/>
      <c r="P52" s="197"/>
      <c r="Q52" s="198"/>
      <c r="R52" s="197"/>
      <c r="S52" s="197"/>
      <c r="T52" s="197"/>
      <c r="U52" s="198"/>
      <c r="V52" s="197"/>
      <c r="W52" s="197"/>
      <c r="X52" s="197"/>
      <c r="Y52" s="198"/>
      <c r="Z52" s="197"/>
      <c r="AA52" s="197"/>
      <c r="AB52" s="199"/>
      <c r="AC52" s="198"/>
      <c r="AD52" s="197"/>
      <c r="AE52" s="197"/>
      <c r="AF52" s="199"/>
      <c r="AG52" s="198"/>
      <c r="AH52" s="197"/>
      <c r="AI52" s="197"/>
      <c r="AJ52" s="199"/>
      <c r="AK52" s="198"/>
      <c r="AL52" s="197"/>
      <c r="AM52" s="197"/>
      <c r="AN52" s="199"/>
      <c r="AO52" s="198"/>
      <c r="AP52" s="197"/>
      <c r="AQ52" s="197"/>
      <c r="AR52" s="199"/>
      <c r="AS52" s="198"/>
      <c r="AT52" s="197"/>
      <c r="AU52" s="197"/>
      <c r="AV52" s="197"/>
      <c r="AW52" s="198"/>
      <c r="AX52" s="197"/>
      <c r="AY52" s="197"/>
    </row>
    <row r="53" spans="1:51" ht="13">
      <c r="A53" s="157" t="s">
        <v>311</v>
      </c>
      <c r="B53" s="158">
        <v>2015</v>
      </c>
      <c r="C53" s="158">
        <v>2016</v>
      </c>
      <c r="D53" s="158">
        <v>2017</v>
      </c>
      <c r="E53" s="158">
        <v>2018</v>
      </c>
      <c r="F53" s="158">
        <v>2019</v>
      </c>
      <c r="G53" s="158">
        <v>2020</v>
      </c>
      <c r="H53" s="158">
        <v>2021</v>
      </c>
      <c r="I53" s="158">
        <v>2022</v>
      </c>
      <c r="J53" s="158">
        <v>2023</v>
      </c>
      <c r="K53" s="158">
        <v>2024</v>
      </c>
      <c r="L53" s="158">
        <v>2025</v>
      </c>
      <c r="M53" s="89"/>
      <c r="N53" s="158" t="s">
        <v>264</v>
      </c>
      <c r="O53" s="158" t="s">
        <v>265</v>
      </c>
      <c r="P53" s="158" t="s">
        <v>266</v>
      </c>
      <c r="Q53" s="159" t="s">
        <v>267</v>
      </c>
      <c r="R53" s="158" t="s">
        <v>128</v>
      </c>
      <c r="S53" s="158" t="s">
        <v>129</v>
      </c>
      <c r="T53" s="158" t="s">
        <v>130</v>
      </c>
      <c r="U53" s="159" t="s">
        <v>131</v>
      </c>
      <c r="V53" s="158" t="s">
        <v>132</v>
      </c>
      <c r="W53" s="158" t="s">
        <v>133</v>
      </c>
      <c r="X53" s="158" t="s">
        <v>134</v>
      </c>
      <c r="Y53" s="159" t="s">
        <v>135</v>
      </c>
      <c r="Z53" s="158" t="s">
        <v>136</v>
      </c>
      <c r="AA53" s="158" t="s">
        <v>137</v>
      </c>
      <c r="AB53" s="158" t="s">
        <v>138</v>
      </c>
      <c r="AC53" s="159" t="s">
        <v>139</v>
      </c>
      <c r="AD53" s="158" t="s">
        <v>140</v>
      </c>
      <c r="AE53" s="158" t="s">
        <v>141</v>
      </c>
      <c r="AF53" s="158" t="s">
        <v>142</v>
      </c>
      <c r="AG53" s="159" t="s">
        <v>143</v>
      </c>
      <c r="AH53" s="158" t="s">
        <v>144</v>
      </c>
      <c r="AI53" s="158" t="s">
        <v>145</v>
      </c>
      <c r="AJ53" s="158" t="s">
        <v>146</v>
      </c>
      <c r="AK53" s="159" t="s">
        <v>147</v>
      </c>
      <c r="AL53" s="158" t="s">
        <v>148</v>
      </c>
      <c r="AM53" s="158" t="s">
        <v>149</v>
      </c>
      <c r="AN53" s="158" t="s">
        <v>150</v>
      </c>
      <c r="AO53" s="159" t="s">
        <v>151</v>
      </c>
      <c r="AP53" s="158" t="s">
        <v>152</v>
      </c>
      <c r="AQ53" s="158" t="s">
        <v>153</v>
      </c>
      <c r="AR53" s="158" t="s">
        <v>154</v>
      </c>
      <c r="AS53" s="159" t="s">
        <v>155</v>
      </c>
      <c r="AT53" s="158" t="s">
        <v>156</v>
      </c>
      <c r="AU53" s="158" t="s">
        <v>157</v>
      </c>
      <c r="AV53" s="158" t="s">
        <v>158</v>
      </c>
      <c r="AW53" s="159" t="s">
        <v>820</v>
      </c>
      <c r="AX53" s="158" t="s">
        <v>1275</v>
      </c>
      <c r="AY53" s="158" t="s">
        <v>1344</v>
      </c>
    </row>
    <row r="54" spans="1:51" ht="13">
      <c r="A54" s="126" t="s">
        <v>293</v>
      </c>
      <c r="B54" s="175">
        <v>0.21509081065117883</v>
      </c>
      <c r="C54" s="175">
        <v>0.20118531061487988</v>
      </c>
      <c r="D54" s="175">
        <v>0.22816423178304965</v>
      </c>
      <c r="E54" s="181">
        <v>0.23524877365101612</v>
      </c>
      <c r="F54" s="175">
        <v>0.249</v>
      </c>
      <c r="G54" s="175">
        <v>0.247</v>
      </c>
      <c r="H54" s="175">
        <f>H45/H18</f>
        <v>0.26630286493860844</v>
      </c>
      <c r="I54" s="200">
        <f>I45/I18</f>
        <v>0.24395949002673248</v>
      </c>
      <c r="J54" s="175">
        <f>J45/J18</f>
        <v>0.2480959394066905</v>
      </c>
      <c r="K54" s="175">
        <f>K45/K18</f>
        <v>0.23122214498916466</v>
      </c>
      <c r="L54" s="175">
        <f>L45/L18</f>
        <v>0.22193926274909276</v>
      </c>
      <c r="M54" s="89"/>
      <c r="N54" s="175">
        <v>0.223</v>
      </c>
      <c r="O54" s="175">
        <v>0.22600000000000001</v>
      </c>
      <c r="P54" s="175">
        <v>0.23300000000000001</v>
      </c>
      <c r="Q54" s="176">
        <v>0.23</v>
      </c>
      <c r="R54" s="175">
        <v>0.22700000000000001</v>
      </c>
      <c r="S54" s="175">
        <v>0.23799999999999999</v>
      </c>
      <c r="T54" s="175">
        <v>0.245</v>
      </c>
      <c r="U54" s="176">
        <v>0.23100000000000001</v>
      </c>
      <c r="V54" s="175">
        <v>0.24</v>
      </c>
      <c r="W54" s="175">
        <v>0.255</v>
      </c>
      <c r="X54" s="175">
        <v>0.26200000000000001</v>
      </c>
      <c r="Y54" s="176">
        <v>0.23799999999999999</v>
      </c>
      <c r="Z54" s="175">
        <v>0.24099999999999999</v>
      </c>
      <c r="AA54" s="175">
        <v>0.22438492681407701</v>
      </c>
      <c r="AB54" s="175">
        <v>0.25436563127800998</v>
      </c>
      <c r="AC54" s="176">
        <v>0.26400000000000001</v>
      </c>
      <c r="AD54" s="175">
        <v>0.26536999999999999</v>
      </c>
      <c r="AE54" s="175">
        <v>0.26200000000000001</v>
      </c>
      <c r="AF54" s="175">
        <v>0.26400000000000001</v>
      </c>
      <c r="AG54" s="176">
        <v>0.27300000000000002</v>
      </c>
      <c r="AH54" s="200">
        <f>AH45/AH18</f>
        <v>0.25786682380671772</v>
      </c>
      <c r="AI54" s="200">
        <f>AI45/AI18</f>
        <v>0.21578366445916114</v>
      </c>
      <c r="AJ54" s="200">
        <f>AJ45/AJ18</f>
        <v>0.24568023833167826</v>
      </c>
      <c r="AK54" s="201">
        <f>AK45/AK18</f>
        <v>0.25458410842412971</v>
      </c>
      <c r="AL54" s="175">
        <v>0.25323767818876403</v>
      </c>
      <c r="AM54" s="175">
        <v>0.23899999999999999</v>
      </c>
      <c r="AN54" s="175">
        <v>0.244522124648308</v>
      </c>
      <c r="AO54" s="176">
        <v>0.25569358178053803</v>
      </c>
      <c r="AP54" s="175">
        <v>0.223245270109002</v>
      </c>
      <c r="AQ54" s="175">
        <v>0.220757430488974</v>
      </c>
      <c r="AR54" s="175">
        <v>0.246147368421053</v>
      </c>
      <c r="AS54" s="176">
        <v>0.234467733453535</v>
      </c>
      <c r="AT54" s="175" t="s">
        <v>312</v>
      </c>
      <c r="AU54" s="175">
        <v>0.22536073458679501</v>
      </c>
      <c r="AV54" s="175">
        <v>0.21071831842265265</v>
      </c>
      <c r="AW54" s="176">
        <v>0.21902317748015077</v>
      </c>
      <c r="AX54" s="175">
        <v>0.23978013471033491</v>
      </c>
      <c r="AY54" s="175">
        <v>0.2310927642339746</v>
      </c>
    </row>
    <row r="55" spans="1:51" ht="13">
      <c r="A55" s="126" t="s">
        <v>296</v>
      </c>
      <c r="B55" s="202">
        <v>0.11832344213649852</v>
      </c>
      <c r="C55" s="202">
        <v>0.11823343848580442</v>
      </c>
      <c r="D55" s="202">
        <v>0.13114847827369075</v>
      </c>
      <c r="E55" s="202">
        <v>0.13011790000000001</v>
      </c>
      <c r="F55" s="202">
        <v>0.11600000000000001</v>
      </c>
      <c r="G55" s="202">
        <v>0.122</v>
      </c>
      <c r="H55" s="202">
        <f>H46/H21</f>
        <v>0.17481626653601176</v>
      </c>
      <c r="I55" s="203">
        <f>I46/I21</f>
        <v>0.17582824356838794</v>
      </c>
      <c r="J55" s="202">
        <f>J46/J21</f>
        <v>0.1399041106657235</v>
      </c>
      <c r="K55" s="202">
        <f>K46/K21</f>
        <v>9.3784153005464485E-2</v>
      </c>
      <c r="L55" s="202">
        <f>L46/L21</f>
        <v>0.12239653773329727</v>
      </c>
      <c r="M55" s="89"/>
      <c r="N55" s="202">
        <v>0.14799999999999999</v>
      </c>
      <c r="O55" s="202">
        <v>0.14299999999999999</v>
      </c>
      <c r="P55" s="202">
        <v>0.13</v>
      </c>
      <c r="Q55" s="204">
        <v>0.10199999999999999</v>
      </c>
      <c r="R55" s="202">
        <v>0.128</v>
      </c>
      <c r="S55" s="202">
        <v>0.124</v>
      </c>
      <c r="T55" s="202">
        <v>0.13598930000000001</v>
      </c>
      <c r="U55" s="204">
        <v>0.13259570000000001</v>
      </c>
      <c r="V55" s="202">
        <v>0.14237610000000001</v>
      </c>
      <c r="W55" s="202">
        <v>0.14649909999999999</v>
      </c>
      <c r="X55" s="202">
        <v>5.6908899999999998E-2</v>
      </c>
      <c r="Y55" s="204">
        <v>0.11799999999999999</v>
      </c>
      <c r="Z55" s="202">
        <v>0.13500000000000001</v>
      </c>
      <c r="AA55" s="202">
        <v>7.0270270270270302E-2</v>
      </c>
      <c r="AB55" s="202">
        <v>0.115664845173042</v>
      </c>
      <c r="AC55" s="204">
        <v>0.159</v>
      </c>
      <c r="AD55" s="202">
        <v>0.16461000000000001</v>
      </c>
      <c r="AE55" s="202">
        <v>0.16500000000000001</v>
      </c>
      <c r="AF55" s="202">
        <v>0.186</v>
      </c>
      <c r="AG55" s="204">
        <v>0.182</v>
      </c>
      <c r="AH55" s="203">
        <f>AH46/AH21</f>
        <v>0.18315301391035549</v>
      </c>
      <c r="AI55" s="203">
        <f>AI46/AI21</f>
        <v>0.15604867573371511</v>
      </c>
      <c r="AJ55" s="203">
        <f>AJ46/AJ21</f>
        <v>0.18959793434157138</v>
      </c>
      <c r="AK55" s="205">
        <f>AK46/AK21</f>
        <v>0.17545152967194988</v>
      </c>
      <c r="AL55" s="202">
        <v>0.17024</v>
      </c>
      <c r="AM55" s="202">
        <v>0.153</v>
      </c>
      <c r="AN55" s="202">
        <v>0.15054773082942099</v>
      </c>
      <c r="AO55" s="204">
        <v>8.1407035175879397E-2</v>
      </c>
      <c r="AP55" s="202">
        <v>0.1135174</v>
      </c>
      <c r="AQ55" s="202">
        <v>7.0909546479579005E-2</v>
      </c>
      <c r="AR55" s="202">
        <v>0.112627986348123</v>
      </c>
      <c r="AS55" s="204">
        <v>8.3783089180159295E-2</v>
      </c>
      <c r="AT55" s="202" t="s">
        <v>313</v>
      </c>
      <c r="AU55" s="202">
        <v>0.102592087312415</v>
      </c>
      <c r="AV55" s="202">
        <v>0.11771058315334773</v>
      </c>
      <c r="AW55" s="204">
        <v>0.14883592017738359</v>
      </c>
      <c r="AX55" s="202">
        <v>0.1134048</v>
      </c>
      <c r="AY55" s="202">
        <v>0.12662169174883239</v>
      </c>
    </row>
    <row r="56" spans="1:51" ht="13">
      <c r="A56" s="147" t="s">
        <v>298</v>
      </c>
      <c r="B56" s="187">
        <v>0.18054634895161009</v>
      </c>
      <c r="C56" s="187">
        <v>0.16781049369050255</v>
      </c>
      <c r="D56" s="187">
        <v>0.189</v>
      </c>
      <c r="E56" s="187">
        <v>0.19289538983936266</v>
      </c>
      <c r="F56" s="187">
        <v>0.19900000000000001</v>
      </c>
      <c r="G56" s="187">
        <v>0.20399999999999999</v>
      </c>
      <c r="H56" s="187">
        <f>H48/H23</f>
        <v>0.22688863665027115</v>
      </c>
      <c r="I56" s="187">
        <v>0.224</v>
      </c>
      <c r="J56" s="187">
        <f>J48/J23</f>
        <v>0.21846775930928194</v>
      </c>
      <c r="K56" s="187">
        <f>K48/K23</f>
        <v>0.1947204578328407</v>
      </c>
      <c r="L56" s="187">
        <f>L48/L23</f>
        <v>0.19234491435207587</v>
      </c>
      <c r="M56" s="89"/>
      <c r="N56" s="187">
        <v>0.191</v>
      </c>
      <c r="O56" s="187">
        <v>0.186</v>
      </c>
      <c r="P56" s="187">
        <v>0.2</v>
      </c>
      <c r="Q56" s="189">
        <v>0.18099999999999999</v>
      </c>
      <c r="R56" s="187">
        <v>0.18415860000000001</v>
      </c>
      <c r="S56" s="187">
        <v>0.184</v>
      </c>
      <c r="T56" s="187">
        <v>0.19666355818049944</v>
      </c>
      <c r="U56" s="189">
        <v>0.20477363136957757</v>
      </c>
      <c r="V56" s="187">
        <v>0.19721749999999999</v>
      </c>
      <c r="W56" s="187">
        <v>0.2130041</v>
      </c>
      <c r="X56" s="187">
        <v>0.1896526</v>
      </c>
      <c r="Y56" s="189">
        <v>0.19600000000000001</v>
      </c>
      <c r="Z56" s="187">
        <v>0.21199999999999999</v>
      </c>
      <c r="AA56" s="187">
        <v>0.167651927169544</v>
      </c>
      <c r="AB56" s="187">
        <v>0.20861989912883999</v>
      </c>
      <c r="AC56" s="189">
        <v>0.22600000000000001</v>
      </c>
      <c r="AD56" s="187">
        <v>0.21281</v>
      </c>
      <c r="AE56" s="187">
        <v>0.224</v>
      </c>
      <c r="AF56" s="187">
        <v>0.23599999999999999</v>
      </c>
      <c r="AG56" s="189">
        <v>0.23200000000000001</v>
      </c>
      <c r="AH56" s="187">
        <v>0.23699999999999999</v>
      </c>
      <c r="AI56" s="187">
        <v>0.20100000000000001</v>
      </c>
      <c r="AJ56" s="187">
        <v>0.22652710513982199</v>
      </c>
      <c r="AK56" s="189">
        <v>0.23213260619977</v>
      </c>
      <c r="AL56" s="187">
        <v>0.22793481396019599</v>
      </c>
      <c r="AM56" s="187">
        <v>0.215</v>
      </c>
      <c r="AN56" s="187">
        <v>0.217376808695072</v>
      </c>
      <c r="AO56" s="189">
        <v>0.21512076053442999</v>
      </c>
      <c r="AP56" s="187">
        <v>0.1951698</v>
      </c>
      <c r="AQ56" s="187">
        <v>0.17691236145599901</v>
      </c>
      <c r="AR56" s="187">
        <v>0.20873941015351299</v>
      </c>
      <c r="AS56" s="189">
        <v>0.19865515042606199</v>
      </c>
      <c r="AT56" s="190" t="s">
        <v>277</v>
      </c>
      <c r="AU56" s="187">
        <v>0.187111698612029</v>
      </c>
      <c r="AV56" s="187">
        <v>0.18383414250098412</v>
      </c>
      <c r="AW56" s="189">
        <v>0.19912989434431325</v>
      </c>
      <c r="AX56" s="190">
        <v>0.19828900000000002</v>
      </c>
      <c r="AY56" s="187">
        <v>0.19853909711411805</v>
      </c>
    </row>
    <row r="57" spans="1:51" ht="13">
      <c r="A57" s="123"/>
      <c r="B57" s="206"/>
      <c r="C57" s="206"/>
      <c r="D57" s="206"/>
      <c r="E57" s="206"/>
      <c r="F57" s="206"/>
      <c r="G57" s="206"/>
      <c r="H57" s="206"/>
      <c r="I57" s="206"/>
      <c r="J57" s="206"/>
      <c r="K57" s="206"/>
      <c r="L57" s="206"/>
      <c r="M57" s="89"/>
      <c r="N57" s="206"/>
      <c r="O57" s="206"/>
      <c r="P57" s="206"/>
      <c r="Q57" s="207"/>
      <c r="R57" s="206"/>
      <c r="S57" s="206"/>
      <c r="T57" s="206"/>
      <c r="U57" s="207"/>
      <c r="V57" s="206"/>
      <c r="W57" s="206"/>
      <c r="X57" s="206"/>
      <c r="Y57" s="207"/>
      <c r="Z57" s="206"/>
      <c r="AA57" s="206"/>
      <c r="AB57" s="206"/>
      <c r="AC57" s="207"/>
      <c r="AD57" s="206"/>
      <c r="AE57" s="206"/>
      <c r="AF57" s="206"/>
      <c r="AG57" s="207"/>
      <c r="AH57" s="206"/>
      <c r="AI57" s="206"/>
      <c r="AJ57" s="206"/>
      <c r="AK57" s="207"/>
      <c r="AL57" s="206"/>
      <c r="AM57" s="206"/>
      <c r="AN57" s="206"/>
      <c r="AO57" s="207"/>
      <c r="AP57" s="206"/>
      <c r="AQ57" s="206"/>
      <c r="AR57" s="206"/>
      <c r="AS57" s="207"/>
      <c r="AT57" s="206"/>
      <c r="AU57" s="206"/>
      <c r="AV57" s="206"/>
      <c r="AW57" s="207"/>
      <c r="AX57" s="206"/>
      <c r="AY57" s="206"/>
    </row>
    <row r="58" spans="1:51" ht="13">
      <c r="A58" s="157" t="s">
        <v>314</v>
      </c>
      <c r="B58" s="158">
        <v>2015</v>
      </c>
      <c r="C58" s="158">
        <v>2016</v>
      </c>
      <c r="D58" s="158">
        <v>2017</v>
      </c>
      <c r="E58" s="158">
        <v>2018</v>
      </c>
      <c r="F58" s="158">
        <v>2019</v>
      </c>
      <c r="G58" s="158">
        <v>2020</v>
      </c>
      <c r="H58" s="158">
        <v>2021</v>
      </c>
      <c r="I58" s="158">
        <v>2022</v>
      </c>
      <c r="J58" s="158">
        <v>2023</v>
      </c>
      <c r="K58" s="158">
        <v>2024</v>
      </c>
      <c r="L58" s="158">
        <v>2025</v>
      </c>
      <c r="M58" s="89"/>
      <c r="N58" s="158" t="s">
        <v>264</v>
      </c>
      <c r="O58" s="158" t="s">
        <v>265</v>
      </c>
      <c r="P58" s="158" t="s">
        <v>266</v>
      </c>
      <c r="Q58" s="159" t="s">
        <v>267</v>
      </c>
      <c r="R58" s="158" t="s">
        <v>128</v>
      </c>
      <c r="S58" s="158" t="s">
        <v>129</v>
      </c>
      <c r="T58" s="158" t="s">
        <v>130</v>
      </c>
      <c r="U58" s="159" t="s">
        <v>131</v>
      </c>
      <c r="V58" s="158" t="s">
        <v>132</v>
      </c>
      <c r="W58" s="158" t="s">
        <v>133</v>
      </c>
      <c r="X58" s="158" t="s">
        <v>134</v>
      </c>
      <c r="Y58" s="159" t="s">
        <v>135</v>
      </c>
      <c r="Z58" s="158" t="s">
        <v>136</v>
      </c>
      <c r="AA58" s="158" t="s">
        <v>137</v>
      </c>
      <c r="AB58" s="158" t="s">
        <v>138</v>
      </c>
      <c r="AC58" s="159" t="s">
        <v>139</v>
      </c>
      <c r="AD58" s="158" t="s">
        <v>140</v>
      </c>
      <c r="AE58" s="158" t="s">
        <v>141</v>
      </c>
      <c r="AF58" s="158" t="s">
        <v>142</v>
      </c>
      <c r="AG58" s="159" t="s">
        <v>143</v>
      </c>
      <c r="AH58" s="158" t="s">
        <v>144</v>
      </c>
      <c r="AI58" s="158" t="s">
        <v>145</v>
      </c>
      <c r="AJ58" s="158" t="s">
        <v>146</v>
      </c>
      <c r="AK58" s="159" t="s">
        <v>147</v>
      </c>
      <c r="AL58" s="158" t="s">
        <v>148</v>
      </c>
      <c r="AM58" s="158" t="s">
        <v>149</v>
      </c>
      <c r="AN58" s="158" t="s">
        <v>150</v>
      </c>
      <c r="AO58" s="159" t="s">
        <v>151</v>
      </c>
      <c r="AP58" s="158" t="s">
        <v>152</v>
      </c>
      <c r="AQ58" s="158" t="s">
        <v>153</v>
      </c>
      <c r="AR58" s="158" t="s">
        <v>154</v>
      </c>
      <c r="AS58" s="159" t="s">
        <v>155</v>
      </c>
      <c r="AT58" s="158" t="s">
        <v>156</v>
      </c>
      <c r="AU58" s="158" t="s">
        <v>157</v>
      </c>
      <c r="AV58" s="158" t="s">
        <v>158</v>
      </c>
      <c r="AW58" s="159" t="s">
        <v>820</v>
      </c>
      <c r="AX58" s="158" t="s">
        <v>1275</v>
      </c>
      <c r="AY58" s="158" t="s">
        <v>1344</v>
      </c>
    </row>
    <row r="59" spans="1:51" ht="13">
      <c r="A59" s="126" t="s">
        <v>315</v>
      </c>
      <c r="B59" s="177" t="s">
        <v>192</v>
      </c>
      <c r="C59" s="177" t="s">
        <v>192</v>
      </c>
      <c r="D59" s="177">
        <v>-163</v>
      </c>
      <c r="E59" s="177">
        <v>-66</v>
      </c>
      <c r="F59" s="177">
        <v>-194</v>
      </c>
      <c r="G59" s="177">
        <v>-99</v>
      </c>
      <c r="H59" s="177">
        <v>-270</v>
      </c>
      <c r="I59" s="177">
        <v>37</v>
      </c>
      <c r="J59" s="177">
        <v>-63</v>
      </c>
      <c r="K59" s="177" t="s">
        <v>192</v>
      </c>
      <c r="L59" s="177">
        <v>-20</v>
      </c>
      <c r="M59" s="89"/>
      <c r="N59" s="177">
        <v>-45</v>
      </c>
      <c r="O59" s="177">
        <v>-53</v>
      </c>
      <c r="P59" s="177">
        <v>-15</v>
      </c>
      <c r="Q59" s="179">
        <v>-50</v>
      </c>
      <c r="R59" s="177">
        <v>0</v>
      </c>
      <c r="S59" s="177">
        <v>-77</v>
      </c>
      <c r="T59" s="177">
        <v>-56</v>
      </c>
      <c r="U59" s="179">
        <v>67</v>
      </c>
      <c r="V59" s="177">
        <v>-59</v>
      </c>
      <c r="W59" s="177">
        <v>-39</v>
      </c>
      <c r="X59" s="177">
        <v>-54</v>
      </c>
      <c r="Y59" s="179">
        <v>-42</v>
      </c>
      <c r="Z59" s="177">
        <v>65</v>
      </c>
      <c r="AA59" s="177">
        <v>-91</v>
      </c>
      <c r="AB59" s="177">
        <v>-21</v>
      </c>
      <c r="AC59" s="179">
        <v>-52</v>
      </c>
      <c r="AD59" s="177">
        <v>-149</v>
      </c>
      <c r="AE59" s="177">
        <v>-15</v>
      </c>
      <c r="AF59" s="177">
        <v>21</v>
      </c>
      <c r="AG59" s="179">
        <v>-127</v>
      </c>
      <c r="AH59" s="177">
        <v>43</v>
      </c>
      <c r="AI59" s="177">
        <v>75</v>
      </c>
      <c r="AJ59" s="177">
        <v>-14</v>
      </c>
      <c r="AK59" s="179">
        <v>-67</v>
      </c>
      <c r="AL59" s="177">
        <v>-26</v>
      </c>
      <c r="AM59" s="177">
        <v>-16</v>
      </c>
      <c r="AN59" s="177">
        <v>-19</v>
      </c>
      <c r="AO59" s="179">
        <v>-2</v>
      </c>
      <c r="AP59" s="177">
        <v>-2</v>
      </c>
      <c r="AQ59" s="177">
        <v>-18</v>
      </c>
      <c r="AR59" s="208">
        <v>-17</v>
      </c>
      <c r="AS59" s="179">
        <v>37</v>
      </c>
      <c r="AT59" s="177">
        <v>-11</v>
      </c>
      <c r="AU59" s="177">
        <v>-6</v>
      </c>
      <c r="AV59" s="177">
        <v>1</v>
      </c>
      <c r="AW59" s="179">
        <v>-4</v>
      </c>
      <c r="AX59" s="177">
        <v>-22</v>
      </c>
      <c r="AY59" s="177">
        <v>-33</v>
      </c>
    </row>
    <row r="60" spans="1:51" ht="13">
      <c r="A60" s="126" t="s">
        <v>316</v>
      </c>
      <c r="B60" s="177" t="s">
        <v>192</v>
      </c>
      <c r="C60" s="177" t="s">
        <v>192</v>
      </c>
      <c r="D60" s="177" t="s">
        <v>192</v>
      </c>
      <c r="E60" s="177" t="s">
        <v>192</v>
      </c>
      <c r="F60" s="177">
        <v>-28</v>
      </c>
      <c r="G60" s="209" t="s">
        <v>192</v>
      </c>
      <c r="H60" s="209" t="s">
        <v>192</v>
      </c>
      <c r="I60" s="209" t="s">
        <v>192</v>
      </c>
      <c r="J60" s="209" t="s">
        <v>192</v>
      </c>
      <c r="K60" s="177" t="s">
        <v>192</v>
      </c>
      <c r="L60" s="177" t="s">
        <v>192</v>
      </c>
      <c r="M60" s="89"/>
      <c r="N60" s="177" t="s">
        <v>192</v>
      </c>
      <c r="O60" s="177" t="s">
        <v>192</v>
      </c>
      <c r="P60" s="177" t="s">
        <v>192</v>
      </c>
      <c r="Q60" s="179" t="s">
        <v>192</v>
      </c>
      <c r="R60" s="177" t="s">
        <v>192</v>
      </c>
      <c r="S60" s="177" t="s">
        <v>192</v>
      </c>
      <c r="T60" s="177" t="s">
        <v>192</v>
      </c>
      <c r="U60" s="179" t="s">
        <v>192</v>
      </c>
      <c r="V60" s="177" t="s">
        <v>192</v>
      </c>
      <c r="W60" s="177" t="s">
        <v>192</v>
      </c>
      <c r="X60" s="177" t="s">
        <v>192</v>
      </c>
      <c r="Y60" s="179">
        <v>-28</v>
      </c>
      <c r="Z60" s="177" t="s">
        <v>192</v>
      </c>
      <c r="AA60" s="177" t="s">
        <v>192</v>
      </c>
      <c r="AB60" s="177" t="s">
        <v>192</v>
      </c>
      <c r="AC60" s="179" t="s">
        <v>192</v>
      </c>
      <c r="AD60" s="177" t="s">
        <v>192</v>
      </c>
      <c r="AE60" s="177" t="s">
        <v>192</v>
      </c>
      <c r="AF60" s="177" t="s">
        <v>192</v>
      </c>
      <c r="AG60" s="179" t="s">
        <v>192</v>
      </c>
      <c r="AH60" s="177"/>
      <c r="AI60" s="177"/>
      <c r="AJ60" s="177"/>
      <c r="AK60" s="179"/>
      <c r="AL60" s="177" t="s">
        <v>192</v>
      </c>
      <c r="AM60" s="177" t="s">
        <v>192</v>
      </c>
      <c r="AN60" s="177" t="s">
        <v>192</v>
      </c>
      <c r="AO60" s="179" t="s">
        <v>192</v>
      </c>
      <c r="AP60" s="177" t="s">
        <v>192</v>
      </c>
      <c r="AQ60" s="177" t="s">
        <v>192</v>
      </c>
      <c r="AR60" s="208" t="s">
        <v>192</v>
      </c>
      <c r="AS60" s="179" t="s">
        <v>192</v>
      </c>
      <c r="AT60" s="177" t="s">
        <v>192</v>
      </c>
      <c r="AU60" s="177" t="s">
        <v>192</v>
      </c>
      <c r="AV60" s="177" t="s">
        <v>192</v>
      </c>
      <c r="AW60" s="179" t="s">
        <v>192</v>
      </c>
      <c r="AX60" s="177" t="s">
        <v>192</v>
      </c>
      <c r="AY60" s="177" t="s">
        <v>192</v>
      </c>
    </row>
    <row r="61" spans="1:51" ht="13">
      <c r="A61" s="180" t="s">
        <v>317</v>
      </c>
      <c r="B61" s="177" t="s">
        <v>192</v>
      </c>
      <c r="C61" s="177" t="s">
        <v>192</v>
      </c>
      <c r="D61" s="177" t="s">
        <v>192</v>
      </c>
      <c r="E61" s="177">
        <v>-328</v>
      </c>
      <c r="F61" s="177" t="s">
        <v>192</v>
      </c>
      <c r="G61" s="209" t="s">
        <v>192</v>
      </c>
      <c r="H61" s="209" t="s">
        <v>192</v>
      </c>
      <c r="I61" s="209" t="s">
        <v>192</v>
      </c>
      <c r="J61" s="209" t="s">
        <v>192</v>
      </c>
      <c r="K61" s="177" t="s">
        <v>192</v>
      </c>
      <c r="L61" s="177" t="s">
        <v>192</v>
      </c>
      <c r="M61" s="89"/>
      <c r="N61" s="177" t="s">
        <v>192</v>
      </c>
      <c r="O61" s="177" t="s">
        <v>192</v>
      </c>
      <c r="P61" s="177" t="s">
        <v>192</v>
      </c>
      <c r="Q61" s="179" t="s">
        <v>192</v>
      </c>
      <c r="R61" s="177">
        <v>-95</v>
      </c>
      <c r="S61" s="177">
        <v>-104</v>
      </c>
      <c r="T61" s="177">
        <v>-70</v>
      </c>
      <c r="U61" s="179">
        <v>-59</v>
      </c>
      <c r="V61" s="177" t="s">
        <v>192</v>
      </c>
      <c r="W61" s="177" t="s">
        <v>192</v>
      </c>
      <c r="X61" s="177" t="s">
        <v>192</v>
      </c>
      <c r="Y61" s="179" t="s">
        <v>192</v>
      </c>
      <c r="Z61" s="177" t="s">
        <v>192</v>
      </c>
      <c r="AA61" s="177" t="s">
        <v>192</v>
      </c>
      <c r="AB61" s="177" t="s">
        <v>192</v>
      </c>
      <c r="AC61" s="179" t="s">
        <v>192</v>
      </c>
      <c r="AD61" s="177" t="s">
        <v>192</v>
      </c>
      <c r="AE61" s="177" t="s">
        <v>192</v>
      </c>
      <c r="AF61" s="177" t="s">
        <v>192</v>
      </c>
      <c r="AG61" s="179" t="s">
        <v>192</v>
      </c>
      <c r="AH61" s="177"/>
      <c r="AI61" s="177"/>
      <c r="AJ61" s="177"/>
      <c r="AK61" s="179"/>
      <c r="AL61" s="177" t="s">
        <v>192</v>
      </c>
      <c r="AM61" s="177" t="s">
        <v>192</v>
      </c>
      <c r="AN61" s="177" t="s">
        <v>192</v>
      </c>
      <c r="AO61" s="179" t="s">
        <v>192</v>
      </c>
      <c r="AP61" s="177" t="s">
        <v>192</v>
      </c>
      <c r="AQ61" s="177" t="s">
        <v>192</v>
      </c>
      <c r="AR61" s="208" t="s">
        <v>192</v>
      </c>
      <c r="AS61" s="179" t="s">
        <v>192</v>
      </c>
      <c r="AT61" s="177" t="s">
        <v>192</v>
      </c>
      <c r="AU61" s="177" t="s">
        <v>192</v>
      </c>
      <c r="AV61" s="177" t="s">
        <v>192</v>
      </c>
      <c r="AW61" s="179" t="s">
        <v>192</v>
      </c>
      <c r="AX61" s="177" t="s">
        <v>192</v>
      </c>
      <c r="AY61" s="177" t="s">
        <v>192</v>
      </c>
    </row>
    <row r="62" spans="1:51" ht="13">
      <c r="A62" s="180" t="s">
        <v>318</v>
      </c>
      <c r="B62" s="177" t="s">
        <v>192</v>
      </c>
      <c r="C62" s="177" t="s">
        <v>192</v>
      </c>
      <c r="D62" s="177" t="s">
        <v>192</v>
      </c>
      <c r="E62" s="177" t="s">
        <v>192</v>
      </c>
      <c r="F62" s="177">
        <v>-28</v>
      </c>
      <c r="G62" s="177">
        <v>-84</v>
      </c>
      <c r="H62" s="177">
        <v>167</v>
      </c>
      <c r="I62" s="177">
        <v>-560</v>
      </c>
      <c r="J62" s="177">
        <v>287</v>
      </c>
      <c r="K62" s="177">
        <v>51</v>
      </c>
      <c r="L62" s="177">
        <v>-180</v>
      </c>
      <c r="M62" s="210"/>
      <c r="N62" s="177" t="s">
        <v>192</v>
      </c>
      <c r="O62" s="177" t="s">
        <v>192</v>
      </c>
      <c r="P62" s="177" t="s">
        <v>192</v>
      </c>
      <c r="Q62" s="179" t="s">
        <v>192</v>
      </c>
      <c r="R62" s="177" t="s">
        <v>192</v>
      </c>
      <c r="S62" s="177" t="s">
        <v>192</v>
      </c>
      <c r="T62" s="177" t="s">
        <v>192</v>
      </c>
      <c r="U62" s="179" t="s">
        <v>192</v>
      </c>
      <c r="V62" s="177" t="s">
        <v>192</v>
      </c>
      <c r="W62" s="177" t="s">
        <v>192</v>
      </c>
      <c r="X62" s="177" t="s">
        <v>192</v>
      </c>
      <c r="Y62" s="179">
        <v>-28</v>
      </c>
      <c r="Z62" s="177">
        <v>-34</v>
      </c>
      <c r="AA62" s="177">
        <v>-17</v>
      </c>
      <c r="AB62" s="177">
        <v>-33</v>
      </c>
      <c r="AC62" s="179" t="s">
        <v>192</v>
      </c>
      <c r="AD62" s="177" t="s">
        <v>192</v>
      </c>
      <c r="AE62" s="177" t="s">
        <v>192</v>
      </c>
      <c r="AF62" s="177" t="s">
        <v>192</v>
      </c>
      <c r="AG62" s="179">
        <v>167</v>
      </c>
      <c r="AH62" s="177"/>
      <c r="AI62" s="177">
        <v>-422</v>
      </c>
      <c r="AJ62" s="177">
        <v>-138</v>
      </c>
      <c r="AK62" s="179"/>
      <c r="AL62" s="177" t="s">
        <v>192</v>
      </c>
      <c r="AM62" s="177" t="s">
        <v>192</v>
      </c>
      <c r="AN62" s="177">
        <v>7</v>
      </c>
      <c r="AO62" s="179">
        <v>280</v>
      </c>
      <c r="AP62" s="177" t="s">
        <v>192</v>
      </c>
      <c r="AQ62" s="177">
        <v>-142</v>
      </c>
      <c r="AR62" s="208">
        <v>208</v>
      </c>
      <c r="AS62" s="179">
        <v>-15</v>
      </c>
      <c r="AT62" s="177" t="s">
        <v>192</v>
      </c>
      <c r="AU62" s="177">
        <v>-49</v>
      </c>
      <c r="AV62" s="177">
        <v>-101</v>
      </c>
      <c r="AW62" s="179">
        <v>-30</v>
      </c>
      <c r="AX62" s="177" t="s">
        <v>192</v>
      </c>
      <c r="AY62" s="177" t="s">
        <v>192</v>
      </c>
    </row>
    <row r="63" spans="1:51" ht="13">
      <c r="A63" s="126" t="s">
        <v>319</v>
      </c>
      <c r="B63" s="177" t="s">
        <v>192</v>
      </c>
      <c r="C63" s="177" t="s">
        <v>192</v>
      </c>
      <c r="D63" s="177" t="s">
        <v>192</v>
      </c>
      <c r="E63" s="177" t="s">
        <v>192</v>
      </c>
      <c r="F63" s="177">
        <v>-196</v>
      </c>
      <c r="G63" s="177">
        <v>-104</v>
      </c>
      <c r="H63" s="209" t="s">
        <v>192</v>
      </c>
      <c r="I63" s="209">
        <v>-85</v>
      </c>
      <c r="J63" s="209">
        <v>-158</v>
      </c>
      <c r="K63" s="177">
        <v>-290</v>
      </c>
      <c r="L63" s="177" t="s">
        <v>192</v>
      </c>
      <c r="M63" s="210"/>
      <c r="N63" s="177" t="s">
        <v>192</v>
      </c>
      <c r="O63" s="177" t="s">
        <v>192</v>
      </c>
      <c r="P63" s="177" t="s">
        <v>192</v>
      </c>
      <c r="Q63" s="179" t="s">
        <v>192</v>
      </c>
      <c r="R63" s="177" t="s">
        <v>192</v>
      </c>
      <c r="S63" s="177" t="s">
        <v>192</v>
      </c>
      <c r="T63" s="177" t="s">
        <v>192</v>
      </c>
      <c r="U63" s="179" t="s">
        <v>192</v>
      </c>
      <c r="V63" s="177" t="s">
        <v>192</v>
      </c>
      <c r="W63" s="177" t="s">
        <v>192</v>
      </c>
      <c r="X63" s="177">
        <v>-179</v>
      </c>
      <c r="Y63" s="179">
        <v>-17</v>
      </c>
      <c r="Z63" s="177">
        <v>-10</v>
      </c>
      <c r="AA63" s="177">
        <v>-57</v>
      </c>
      <c r="AB63" s="177">
        <v>-22</v>
      </c>
      <c r="AC63" s="179">
        <v>-15</v>
      </c>
      <c r="AD63" s="177" t="s">
        <v>192</v>
      </c>
      <c r="AE63" s="177" t="s">
        <v>192</v>
      </c>
      <c r="AF63" s="177" t="s">
        <v>192</v>
      </c>
      <c r="AG63" s="179" t="s">
        <v>192</v>
      </c>
      <c r="AH63" s="177"/>
      <c r="AI63" s="177">
        <v>-73</v>
      </c>
      <c r="AJ63" s="177">
        <v>-12</v>
      </c>
      <c r="AK63" s="179"/>
      <c r="AL63" s="177" t="s">
        <v>192</v>
      </c>
      <c r="AM63" s="177" t="s">
        <v>192</v>
      </c>
      <c r="AN63" s="177" t="s">
        <v>192</v>
      </c>
      <c r="AO63" s="179">
        <v>-158</v>
      </c>
      <c r="AP63" s="177">
        <v>-125</v>
      </c>
      <c r="AQ63" s="177">
        <v>-165</v>
      </c>
      <c r="AR63" s="208" t="s">
        <v>192</v>
      </c>
      <c r="AS63" s="179" t="s">
        <v>192</v>
      </c>
      <c r="AT63" s="177" t="s">
        <v>192</v>
      </c>
      <c r="AU63" s="177">
        <v>-98</v>
      </c>
      <c r="AV63" s="177">
        <v>6</v>
      </c>
      <c r="AW63" s="179">
        <v>92</v>
      </c>
      <c r="AX63" s="177" t="s">
        <v>192</v>
      </c>
      <c r="AY63" s="177" t="s">
        <v>192</v>
      </c>
    </row>
    <row r="64" spans="1:51" ht="13">
      <c r="A64" s="147" t="s">
        <v>298</v>
      </c>
      <c r="B64" s="211"/>
      <c r="C64" s="211"/>
      <c r="D64" s="148">
        <v>-163</v>
      </c>
      <c r="E64" s="148">
        <v>-394</v>
      </c>
      <c r="F64" s="148">
        <v>-446</v>
      </c>
      <c r="G64" s="148">
        <v>-287</v>
      </c>
      <c r="H64" s="148">
        <v>-103</v>
      </c>
      <c r="I64" s="148">
        <v>-608</v>
      </c>
      <c r="J64" s="148">
        <v>66</v>
      </c>
      <c r="K64" s="211">
        <v>-239</v>
      </c>
      <c r="L64" s="211">
        <v>-200</v>
      </c>
      <c r="M64" s="89"/>
      <c r="N64" s="148">
        <v>-45</v>
      </c>
      <c r="O64" s="148">
        <v>-53</v>
      </c>
      <c r="P64" s="148">
        <v>-15</v>
      </c>
      <c r="Q64" s="150">
        <v>-50</v>
      </c>
      <c r="R64" s="148">
        <v>-95</v>
      </c>
      <c r="S64" s="148">
        <v>-181</v>
      </c>
      <c r="T64" s="148">
        <v>-126</v>
      </c>
      <c r="U64" s="150">
        <v>8</v>
      </c>
      <c r="V64" s="148">
        <v>-59</v>
      </c>
      <c r="W64" s="148">
        <v>-39</v>
      </c>
      <c r="X64" s="148">
        <v>-233</v>
      </c>
      <c r="Y64" s="150">
        <v>-115</v>
      </c>
      <c r="Z64" s="148">
        <v>21</v>
      </c>
      <c r="AA64" s="148">
        <v>-164.6</v>
      </c>
      <c r="AB64" s="148">
        <v>-75.8</v>
      </c>
      <c r="AC64" s="150">
        <v>-67</v>
      </c>
      <c r="AD64" s="148">
        <v>-149</v>
      </c>
      <c r="AE64" s="148">
        <v>-15</v>
      </c>
      <c r="AF64" s="148">
        <v>21</v>
      </c>
      <c r="AG64" s="150">
        <v>40</v>
      </c>
      <c r="AH64" s="148">
        <v>43</v>
      </c>
      <c r="AI64" s="148">
        <v>-420</v>
      </c>
      <c r="AJ64" s="148">
        <v>-164</v>
      </c>
      <c r="AK64" s="150">
        <v>-67</v>
      </c>
      <c r="AL64" s="148">
        <v>-26</v>
      </c>
      <c r="AM64" s="148">
        <v>-16</v>
      </c>
      <c r="AN64" s="148">
        <v>-12</v>
      </c>
      <c r="AO64" s="150">
        <v>120</v>
      </c>
      <c r="AP64" s="148">
        <v>-127</v>
      </c>
      <c r="AQ64" s="148">
        <v>-325</v>
      </c>
      <c r="AR64" s="148">
        <v>191</v>
      </c>
      <c r="AS64" s="150">
        <v>22</v>
      </c>
      <c r="AT64" s="148">
        <v>-11</v>
      </c>
      <c r="AU64" s="148">
        <v>-153</v>
      </c>
      <c r="AV64" s="148">
        <v>-94</v>
      </c>
      <c r="AW64" s="150">
        <v>58</v>
      </c>
      <c r="AX64" s="148">
        <v>-22</v>
      </c>
      <c r="AY64" s="148">
        <v>-33</v>
      </c>
    </row>
    <row r="65" spans="1:52" ht="13">
      <c r="A65" s="123"/>
      <c r="B65" s="206"/>
      <c r="C65" s="206"/>
      <c r="D65" s="206"/>
      <c r="E65" s="206"/>
      <c r="F65" s="206"/>
      <c r="G65" s="206"/>
      <c r="H65" s="206"/>
      <c r="I65" s="206"/>
      <c r="J65" s="206"/>
      <c r="K65" s="206"/>
      <c r="L65" s="206"/>
      <c r="M65" s="89"/>
      <c r="N65" s="206"/>
      <c r="O65" s="206"/>
      <c r="P65" s="206"/>
      <c r="Q65" s="207"/>
      <c r="R65" s="206"/>
      <c r="S65" s="206"/>
      <c r="T65" s="206"/>
      <c r="U65" s="207"/>
      <c r="V65" s="206"/>
      <c r="W65" s="206"/>
      <c r="X65" s="206"/>
      <c r="Y65" s="207"/>
      <c r="Z65" s="206"/>
      <c r="AA65" s="206"/>
      <c r="AB65" s="206"/>
      <c r="AC65" s="207"/>
      <c r="AD65" s="206"/>
      <c r="AE65" s="206"/>
      <c r="AF65" s="206"/>
      <c r="AG65" s="207"/>
      <c r="AH65" s="206"/>
      <c r="AI65" s="206"/>
      <c r="AJ65" s="206"/>
      <c r="AK65" s="207"/>
      <c r="AL65" s="206"/>
      <c r="AM65" s="206"/>
      <c r="AN65" s="206"/>
      <c r="AO65" s="207"/>
      <c r="AP65" s="206"/>
      <c r="AQ65" s="206"/>
      <c r="AR65" s="206"/>
      <c r="AS65" s="207"/>
      <c r="AT65" s="206"/>
      <c r="AU65" s="206"/>
      <c r="AV65" s="206"/>
      <c r="AW65" s="207"/>
      <c r="AX65" s="206"/>
      <c r="AY65" s="206"/>
    </row>
    <row r="66" spans="1:52" ht="13">
      <c r="A66" s="157" t="s">
        <v>320</v>
      </c>
      <c r="B66" s="158">
        <v>2015</v>
      </c>
      <c r="C66" s="158">
        <v>2016</v>
      </c>
      <c r="D66" s="158">
        <v>2017</v>
      </c>
      <c r="E66" s="158">
        <v>2018</v>
      </c>
      <c r="F66" s="158">
        <v>2019</v>
      </c>
      <c r="G66" s="158">
        <v>2020</v>
      </c>
      <c r="H66" s="158">
        <v>2021</v>
      </c>
      <c r="I66" s="158">
        <v>2022</v>
      </c>
      <c r="J66" s="158">
        <v>2023</v>
      </c>
      <c r="K66" s="158">
        <v>2024</v>
      </c>
      <c r="L66" s="158">
        <v>2025</v>
      </c>
      <c r="M66" s="89"/>
      <c r="N66" s="158" t="s">
        <v>264</v>
      </c>
      <c r="O66" s="158" t="s">
        <v>265</v>
      </c>
      <c r="P66" s="158" t="s">
        <v>266</v>
      </c>
      <c r="Q66" s="159" t="s">
        <v>267</v>
      </c>
      <c r="R66" s="158" t="s">
        <v>128</v>
      </c>
      <c r="S66" s="158" t="s">
        <v>129</v>
      </c>
      <c r="T66" s="158" t="s">
        <v>130</v>
      </c>
      <c r="U66" s="159" t="s">
        <v>131</v>
      </c>
      <c r="V66" s="158" t="s">
        <v>132</v>
      </c>
      <c r="W66" s="158" t="s">
        <v>133</v>
      </c>
      <c r="X66" s="158" t="s">
        <v>134</v>
      </c>
      <c r="Y66" s="159" t="s">
        <v>135</v>
      </c>
      <c r="Z66" s="158" t="s">
        <v>136</v>
      </c>
      <c r="AA66" s="158" t="s">
        <v>137</v>
      </c>
      <c r="AB66" s="158" t="s">
        <v>138</v>
      </c>
      <c r="AC66" s="159" t="s">
        <v>139</v>
      </c>
      <c r="AD66" s="158" t="s">
        <v>140</v>
      </c>
      <c r="AE66" s="158" t="s">
        <v>141</v>
      </c>
      <c r="AF66" s="158" t="s">
        <v>142</v>
      </c>
      <c r="AG66" s="159" t="s">
        <v>143</v>
      </c>
      <c r="AH66" s="158" t="s">
        <v>144</v>
      </c>
      <c r="AI66" s="158" t="s">
        <v>145</v>
      </c>
      <c r="AJ66" s="158" t="s">
        <v>146</v>
      </c>
      <c r="AK66" s="159" t="s">
        <v>147</v>
      </c>
      <c r="AL66" s="158" t="s">
        <v>148</v>
      </c>
      <c r="AM66" s="158" t="s">
        <v>149</v>
      </c>
      <c r="AN66" s="158" t="s">
        <v>150</v>
      </c>
      <c r="AO66" s="159" t="s">
        <v>151</v>
      </c>
      <c r="AP66" s="158" t="s">
        <v>152</v>
      </c>
      <c r="AQ66" s="158" t="s">
        <v>153</v>
      </c>
      <c r="AR66" s="158" t="s">
        <v>154</v>
      </c>
      <c r="AS66" s="159" t="s">
        <v>155</v>
      </c>
      <c r="AT66" s="158" t="s">
        <v>156</v>
      </c>
      <c r="AU66" s="158" t="s">
        <v>157</v>
      </c>
      <c r="AV66" s="158" t="s">
        <v>158</v>
      </c>
      <c r="AW66" s="159" t="s">
        <v>820</v>
      </c>
      <c r="AX66" s="158" t="s">
        <v>1275</v>
      </c>
      <c r="AY66" s="158" t="s">
        <v>1344</v>
      </c>
    </row>
    <row r="67" spans="1:52" ht="13">
      <c r="A67" s="126" t="s">
        <v>293</v>
      </c>
      <c r="B67" s="162">
        <v>4370</v>
      </c>
      <c r="C67" s="162">
        <v>3802</v>
      </c>
      <c r="D67" s="162">
        <v>5107</v>
      </c>
      <c r="E67" s="162">
        <v>6713</v>
      </c>
      <c r="F67" s="162">
        <v>7464</v>
      </c>
      <c r="G67" s="162">
        <v>6723</v>
      </c>
      <c r="H67" s="162">
        <v>7641</v>
      </c>
      <c r="I67" s="169">
        <f>I45-I62</f>
        <v>10051</v>
      </c>
      <c r="J67" s="162">
        <f>J45-J62</f>
        <v>11505</v>
      </c>
      <c r="K67" s="162">
        <v>11259</v>
      </c>
      <c r="L67" s="162">
        <v>10638</v>
      </c>
      <c r="M67" s="212"/>
      <c r="N67" s="162">
        <v>1166</v>
      </c>
      <c r="O67" s="162">
        <v>1242</v>
      </c>
      <c r="P67" s="162">
        <v>1261</v>
      </c>
      <c r="Q67" s="170">
        <v>1438</v>
      </c>
      <c r="R67" s="162">
        <v>1351</v>
      </c>
      <c r="S67" s="162">
        <v>1741</v>
      </c>
      <c r="T67" s="162">
        <v>1755</v>
      </c>
      <c r="U67" s="170">
        <v>1866</v>
      </c>
      <c r="V67" s="162">
        <v>1707</v>
      </c>
      <c r="W67" s="162">
        <v>1961</v>
      </c>
      <c r="X67" s="162">
        <v>1923</v>
      </c>
      <c r="Y67" s="170">
        <v>1873</v>
      </c>
      <c r="Z67" s="162">
        <v>1620</v>
      </c>
      <c r="AA67" s="162">
        <v>1458</v>
      </c>
      <c r="AB67" s="162">
        <v>1679</v>
      </c>
      <c r="AC67" s="170">
        <v>1966</v>
      </c>
      <c r="AD67" s="162">
        <v>1696</v>
      </c>
      <c r="AE67" s="162">
        <v>1880</v>
      </c>
      <c r="AF67" s="162">
        <v>1909</v>
      </c>
      <c r="AG67" s="170">
        <v>2156</v>
      </c>
      <c r="AH67" s="169">
        <f t="shared" ref="AH67:AK68" si="6">AH45-AH62</f>
        <v>2188</v>
      </c>
      <c r="AI67" s="169">
        <f t="shared" si="6"/>
        <v>2377</v>
      </c>
      <c r="AJ67" s="169">
        <f t="shared" si="6"/>
        <v>2612</v>
      </c>
      <c r="AK67" s="171">
        <f t="shared" si="6"/>
        <v>2874</v>
      </c>
      <c r="AL67" s="162">
        <v>2718</v>
      </c>
      <c r="AM67" s="162">
        <v>2995</v>
      </c>
      <c r="AN67" s="162">
        <v>2861</v>
      </c>
      <c r="AO67" s="170">
        <v>2931</v>
      </c>
      <c r="AP67" s="162">
        <v>2503</v>
      </c>
      <c r="AQ67" s="162">
        <v>2905</v>
      </c>
      <c r="AR67" s="162">
        <v>2715</v>
      </c>
      <c r="AS67" s="170">
        <v>3136</v>
      </c>
      <c r="AT67" s="162">
        <v>2724</v>
      </c>
      <c r="AU67" s="162">
        <v>2626</v>
      </c>
      <c r="AV67" s="162">
        <v>2527</v>
      </c>
      <c r="AW67" s="170">
        <v>2761</v>
      </c>
      <c r="AX67" s="162">
        <v>2584</v>
      </c>
      <c r="AY67" s="162">
        <v>2967</v>
      </c>
    </row>
    <row r="68" spans="1:52" ht="13">
      <c r="A68" s="126" t="s">
        <v>296</v>
      </c>
      <c r="B68" s="162">
        <v>957</v>
      </c>
      <c r="C68" s="162">
        <v>937</v>
      </c>
      <c r="D68" s="162">
        <v>1146.0051558893001</v>
      </c>
      <c r="E68" s="162">
        <v>1239</v>
      </c>
      <c r="F68" s="162">
        <v>1448</v>
      </c>
      <c r="G68" s="162">
        <v>1201</v>
      </c>
      <c r="H68" s="162">
        <v>1784</v>
      </c>
      <c r="I68" s="169">
        <f>I46-I63</f>
        <v>1985</v>
      </c>
      <c r="J68" s="162">
        <f>J46-J63</f>
        <v>1938</v>
      </c>
      <c r="K68" s="162">
        <v>1663</v>
      </c>
      <c r="L68" s="162">
        <v>1810</v>
      </c>
      <c r="M68" s="212"/>
      <c r="N68" s="162">
        <v>321</v>
      </c>
      <c r="O68" s="162">
        <v>328</v>
      </c>
      <c r="P68" s="162">
        <v>279</v>
      </c>
      <c r="Q68" s="170">
        <v>218.0051558893</v>
      </c>
      <c r="R68" s="162">
        <v>287</v>
      </c>
      <c r="S68" s="162">
        <v>304</v>
      </c>
      <c r="T68" s="162">
        <v>324</v>
      </c>
      <c r="U68" s="170">
        <v>324</v>
      </c>
      <c r="V68" s="162">
        <v>371</v>
      </c>
      <c r="W68" s="162">
        <v>429</v>
      </c>
      <c r="X68" s="162">
        <v>336</v>
      </c>
      <c r="Y68" s="170">
        <v>312</v>
      </c>
      <c r="Z68" s="162">
        <v>347</v>
      </c>
      <c r="AA68" s="162">
        <v>200</v>
      </c>
      <c r="AB68" s="162">
        <v>276</v>
      </c>
      <c r="AC68" s="170">
        <v>378</v>
      </c>
      <c r="AD68" s="162">
        <v>386</v>
      </c>
      <c r="AE68" s="162">
        <v>416</v>
      </c>
      <c r="AF68" s="162">
        <v>502</v>
      </c>
      <c r="AG68" s="170">
        <v>480</v>
      </c>
      <c r="AH68" s="169">
        <f t="shared" si="6"/>
        <v>474</v>
      </c>
      <c r="AI68" s="169">
        <f t="shared" si="6"/>
        <v>509</v>
      </c>
      <c r="AJ68" s="169">
        <f t="shared" si="6"/>
        <v>526</v>
      </c>
      <c r="AK68" s="172">
        <f t="shared" si="6"/>
        <v>476</v>
      </c>
      <c r="AL68" s="162">
        <v>532</v>
      </c>
      <c r="AM68" s="162">
        <v>524</v>
      </c>
      <c r="AN68" s="162">
        <v>481</v>
      </c>
      <c r="AO68" s="170">
        <v>401</v>
      </c>
      <c r="AP68" s="162">
        <v>460</v>
      </c>
      <c r="AQ68" s="162">
        <v>448</v>
      </c>
      <c r="AR68" s="162">
        <v>429</v>
      </c>
      <c r="AS68" s="170">
        <v>326</v>
      </c>
      <c r="AT68" s="162">
        <v>461</v>
      </c>
      <c r="AU68" s="162">
        <v>474</v>
      </c>
      <c r="AV68" s="162">
        <v>430</v>
      </c>
      <c r="AW68" s="170">
        <v>445</v>
      </c>
      <c r="AX68" s="162">
        <v>404</v>
      </c>
      <c r="AY68" s="162">
        <v>488</v>
      </c>
    </row>
    <row r="69" spans="1:52" ht="13">
      <c r="A69" s="147" t="s">
        <v>298</v>
      </c>
      <c r="B69" s="148">
        <v>5175</v>
      </c>
      <c r="C69" s="148">
        <v>4548</v>
      </c>
      <c r="D69" s="148">
        <v>6093.0051558893001</v>
      </c>
      <c r="E69" s="148">
        <v>7779</v>
      </c>
      <c r="F69" s="148">
        <v>8582</v>
      </c>
      <c r="G69" s="148">
        <v>7669</v>
      </c>
      <c r="H69" s="148">
        <v>9098</v>
      </c>
      <c r="I69" s="148">
        <v>11755</v>
      </c>
      <c r="J69" s="148">
        <v>13117</v>
      </c>
      <c r="K69" s="148">
        <v>12624</v>
      </c>
      <c r="L69" s="148">
        <v>12125</v>
      </c>
      <c r="M69" s="213"/>
      <c r="N69" s="148">
        <v>1459</v>
      </c>
      <c r="O69" s="148">
        <v>1521</v>
      </c>
      <c r="P69" s="148">
        <v>1535</v>
      </c>
      <c r="Q69" s="150">
        <v>1578.0051558893001</v>
      </c>
      <c r="R69" s="148">
        <v>1610</v>
      </c>
      <c r="S69" s="148">
        <v>1991</v>
      </c>
      <c r="T69" s="148">
        <v>2024</v>
      </c>
      <c r="U69" s="150">
        <v>2154</v>
      </c>
      <c r="V69" s="148">
        <v>1989</v>
      </c>
      <c r="W69" s="148">
        <v>2302</v>
      </c>
      <c r="X69" s="148">
        <v>2160</v>
      </c>
      <c r="Y69" s="150">
        <v>2131</v>
      </c>
      <c r="Z69" s="148">
        <v>1911</v>
      </c>
      <c r="AA69" s="148">
        <v>1582.6</v>
      </c>
      <c r="AB69" s="148">
        <v>1895.8</v>
      </c>
      <c r="AC69" s="150">
        <v>2279</v>
      </c>
      <c r="AD69" s="148">
        <v>2016</v>
      </c>
      <c r="AE69" s="148">
        <v>2197</v>
      </c>
      <c r="AF69" s="148">
        <v>2331</v>
      </c>
      <c r="AG69" s="150">
        <v>2554</v>
      </c>
      <c r="AH69" s="148">
        <v>2588</v>
      </c>
      <c r="AI69" s="148">
        <v>2801</v>
      </c>
      <c r="AJ69" s="148">
        <v>3064</v>
      </c>
      <c r="AK69" s="150">
        <v>3302</v>
      </c>
      <c r="AL69" s="148">
        <v>3187</v>
      </c>
      <c r="AM69" s="148">
        <v>3429</v>
      </c>
      <c r="AN69" s="148">
        <v>3272</v>
      </c>
      <c r="AO69" s="150">
        <v>3229</v>
      </c>
      <c r="AP69" s="148">
        <v>2887</v>
      </c>
      <c r="AQ69" s="148">
        <v>3246</v>
      </c>
      <c r="AR69" s="148">
        <v>3086</v>
      </c>
      <c r="AS69" s="150">
        <v>3405</v>
      </c>
      <c r="AT69" s="148">
        <v>3099</v>
      </c>
      <c r="AU69" s="148">
        <v>2984</v>
      </c>
      <c r="AV69" s="148">
        <v>2896</v>
      </c>
      <c r="AW69" s="150">
        <v>3146</v>
      </c>
      <c r="AX69" s="148">
        <v>2868</v>
      </c>
      <c r="AY69" s="148">
        <v>3349</v>
      </c>
      <c r="AZ69" s="1120"/>
    </row>
    <row r="70" spans="1:52" ht="13">
      <c r="A70" s="123"/>
      <c r="B70" s="153"/>
      <c r="C70" s="153"/>
      <c r="D70" s="153"/>
      <c r="E70" s="153"/>
      <c r="F70" s="153"/>
      <c r="G70" s="153"/>
      <c r="H70" s="153"/>
      <c r="I70" s="153"/>
      <c r="J70" s="153"/>
      <c r="K70" s="153"/>
      <c r="L70" s="153"/>
      <c r="M70" s="213"/>
      <c r="N70" s="153"/>
      <c r="O70" s="153"/>
      <c r="P70" s="153"/>
      <c r="Q70" s="154"/>
      <c r="R70" s="153"/>
      <c r="S70" s="153"/>
      <c r="T70" s="153"/>
      <c r="U70" s="154"/>
      <c r="V70" s="153"/>
      <c r="W70" s="153"/>
      <c r="X70" s="153"/>
      <c r="Y70" s="154"/>
      <c r="Z70" s="153"/>
      <c r="AA70" s="153"/>
      <c r="AB70" s="197"/>
      <c r="AC70" s="154"/>
      <c r="AD70" s="153"/>
      <c r="AE70" s="153"/>
      <c r="AF70" s="197"/>
      <c r="AG70" s="154"/>
      <c r="AH70" s="153"/>
      <c r="AI70" s="153"/>
      <c r="AJ70" s="197"/>
      <c r="AK70" s="154"/>
      <c r="AL70" s="153"/>
      <c r="AM70" s="153"/>
      <c r="AN70" s="197"/>
      <c r="AO70" s="154"/>
      <c r="AP70" s="153"/>
      <c r="AQ70" s="153"/>
      <c r="AR70" s="197"/>
      <c r="AS70" s="154"/>
      <c r="AT70" s="153"/>
      <c r="AU70" s="153"/>
      <c r="AV70" s="153"/>
      <c r="AW70" s="154"/>
      <c r="AX70" s="153"/>
      <c r="AY70" s="153"/>
    </row>
    <row r="71" spans="1:52" ht="13">
      <c r="A71" s="123"/>
      <c r="B71" s="206"/>
      <c r="C71" s="206"/>
      <c r="D71" s="206"/>
      <c r="E71" s="206"/>
      <c r="F71" s="206"/>
      <c r="G71" s="206"/>
      <c r="H71" s="206"/>
      <c r="I71" s="206"/>
      <c r="J71" s="206"/>
      <c r="K71" s="206"/>
      <c r="L71" s="206"/>
      <c r="M71" s="89"/>
      <c r="N71" s="206"/>
      <c r="O71" s="206"/>
      <c r="P71" s="206"/>
      <c r="Q71" s="207"/>
      <c r="R71" s="206"/>
      <c r="S71" s="206"/>
      <c r="T71" s="206"/>
      <c r="U71" s="207"/>
      <c r="V71" s="206"/>
      <c r="W71" s="206"/>
      <c r="X71" s="206"/>
      <c r="Y71" s="207"/>
      <c r="Z71" s="206"/>
      <c r="AA71" s="206"/>
      <c r="AB71" s="199"/>
      <c r="AC71" s="207"/>
      <c r="AD71" s="214"/>
      <c r="AE71" s="214"/>
      <c r="AF71" s="199"/>
      <c r="AG71" s="207"/>
      <c r="AH71" s="214"/>
      <c r="AI71" s="206"/>
      <c r="AJ71" s="199"/>
      <c r="AK71" s="207"/>
      <c r="AL71" s="214"/>
      <c r="AM71" s="214"/>
      <c r="AN71" s="199"/>
      <c r="AO71" s="207"/>
      <c r="AP71" s="214"/>
      <c r="AQ71" s="214"/>
      <c r="AR71" s="199"/>
      <c r="AS71" s="207"/>
      <c r="AT71" s="214"/>
      <c r="AU71" s="214"/>
      <c r="AV71" s="214"/>
      <c r="AW71" s="207"/>
      <c r="AX71" s="214"/>
      <c r="AY71" s="214"/>
    </row>
    <row r="72" spans="1:52" ht="13">
      <c r="A72" s="157" t="s">
        <v>321</v>
      </c>
      <c r="B72" s="158">
        <v>2015</v>
      </c>
      <c r="C72" s="158">
        <v>2016</v>
      </c>
      <c r="D72" s="158">
        <v>2017</v>
      </c>
      <c r="E72" s="158">
        <v>2018</v>
      </c>
      <c r="F72" s="158">
        <v>2019</v>
      </c>
      <c r="G72" s="158">
        <v>2020</v>
      </c>
      <c r="H72" s="158">
        <v>2021</v>
      </c>
      <c r="I72" s="158">
        <v>2022</v>
      </c>
      <c r="J72" s="158">
        <v>2023</v>
      </c>
      <c r="K72" s="158">
        <v>2024</v>
      </c>
      <c r="L72" s="158">
        <v>2025</v>
      </c>
      <c r="M72" s="89"/>
      <c r="N72" s="158" t="s">
        <v>264</v>
      </c>
      <c r="O72" s="158" t="s">
        <v>265</v>
      </c>
      <c r="P72" s="158" t="s">
        <v>266</v>
      </c>
      <c r="Q72" s="159" t="s">
        <v>267</v>
      </c>
      <c r="R72" s="158" t="s">
        <v>128</v>
      </c>
      <c r="S72" s="158" t="s">
        <v>129</v>
      </c>
      <c r="T72" s="158" t="s">
        <v>130</v>
      </c>
      <c r="U72" s="159" t="s">
        <v>131</v>
      </c>
      <c r="V72" s="158" t="s">
        <v>132</v>
      </c>
      <c r="W72" s="158" t="s">
        <v>133</v>
      </c>
      <c r="X72" s="158" t="s">
        <v>134</v>
      </c>
      <c r="Y72" s="159" t="s">
        <v>135</v>
      </c>
      <c r="Z72" s="158" t="s">
        <v>136</v>
      </c>
      <c r="AA72" s="158" t="s">
        <v>137</v>
      </c>
      <c r="AB72" s="158" t="s">
        <v>138</v>
      </c>
      <c r="AC72" s="159" t="s">
        <v>139</v>
      </c>
      <c r="AD72" s="158" t="s">
        <v>140</v>
      </c>
      <c r="AE72" s="158" t="s">
        <v>141</v>
      </c>
      <c r="AF72" s="158" t="s">
        <v>142</v>
      </c>
      <c r="AG72" s="159" t="s">
        <v>143</v>
      </c>
      <c r="AH72" s="158" t="s">
        <v>144</v>
      </c>
      <c r="AI72" s="158" t="s">
        <v>145</v>
      </c>
      <c r="AJ72" s="158" t="s">
        <v>146</v>
      </c>
      <c r="AK72" s="159" t="s">
        <v>147</v>
      </c>
      <c r="AL72" s="158" t="s">
        <v>148</v>
      </c>
      <c r="AM72" s="158" t="s">
        <v>149</v>
      </c>
      <c r="AN72" s="158" t="s">
        <v>150</v>
      </c>
      <c r="AO72" s="159" t="s">
        <v>151</v>
      </c>
      <c r="AP72" s="158" t="s">
        <v>152</v>
      </c>
      <c r="AQ72" s="158" t="s">
        <v>153</v>
      </c>
      <c r="AR72" s="158" t="s">
        <v>154</v>
      </c>
      <c r="AS72" s="159" t="s">
        <v>155</v>
      </c>
      <c r="AT72" s="158" t="s">
        <v>156</v>
      </c>
      <c r="AU72" s="158" t="s">
        <v>157</v>
      </c>
      <c r="AV72" s="158" t="s">
        <v>158</v>
      </c>
      <c r="AW72" s="159" t="s">
        <v>820</v>
      </c>
      <c r="AX72" s="158" t="s">
        <v>1275</v>
      </c>
      <c r="AY72" s="158" t="s">
        <v>1344</v>
      </c>
    </row>
    <row r="73" spans="1:52" ht="13">
      <c r="A73" s="180" t="s">
        <v>322</v>
      </c>
      <c r="B73" s="181">
        <v>0.21509081065117883</v>
      </c>
      <c r="C73" s="181">
        <v>0.20118531061487988</v>
      </c>
      <c r="D73" s="175">
        <v>0.22816423178304965</v>
      </c>
      <c r="E73" s="181">
        <v>0.23524877365101612</v>
      </c>
      <c r="F73" s="175">
        <v>0.25</v>
      </c>
      <c r="G73" s="175">
        <v>0.25</v>
      </c>
      <c r="H73" s="175">
        <f>H67/H18</f>
        <v>0.26060709413369715</v>
      </c>
      <c r="I73" s="200">
        <f>I67/I18</f>
        <v>0.25835389677154019</v>
      </c>
      <c r="J73" s="175">
        <f>J67/J18</f>
        <v>0.24205764780138861</v>
      </c>
      <c r="K73" s="175">
        <f>K67/K18</f>
        <v>0.2301794987120252</v>
      </c>
      <c r="L73" s="175">
        <f>L67/L18</f>
        <v>0.22575921563634049</v>
      </c>
      <c r="M73" s="89"/>
      <c r="N73" s="175">
        <v>0.223</v>
      </c>
      <c r="O73" s="175">
        <v>0.22600000000000001</v>
      </c>
      <c r="P73" s="175">
        <v>0.23300000000000001</v>
      </c>
      <c r="Q73" s="176">
        <v>0.23</v>
      </c>
      <c r="R73" s="175">
        <v>0.22700000000000001</v>
      </c>
      <c r="S73" s="175">
        <v>0.23799999999999999</v>
      </c>
      <c r="T73" s="175">
        <v>0.245</v>
      </c>
      <c r="U73" s="176">
        <v>0.23100000000000001</v>
      </c>
      <c r="V73" s="175">
        <v>0.24</v>
      </c>
      <c r="W73" s="175">
        <v>0.255</v>
      </c>
      <c r="X73" s="175">
        <v>0.26200000000000001</v>
      </c>
      <c r="Y73" s="176">
        <v>0.24199999999999999</v>
      </c>
      <c r="Z73" s="175">
        <v>0.246</v>
      </c>
      <c r="AA73" s="175">
        <v>0.22709436312675199</v>
      </c>
      <c r="AB73" s="175">
        <v>0.259465306753207</v>
      </c>
      <c r="AC73" s="176">
        <v>0.26400000000000001</v>
      </c>
      <c r="AD73" s="175">
        <v>0.26500000000000001</v>
      </c>
      <c r="AE73" s="175">
        <v>0.26200000000000001</v>
      </c>
      <c r="AF73" s="175">
        <v>0.26400000000000001</v>
      </c>
      <c r="AG73" s="176">
        <v>0.254</v>
      </c>
      <c r="AH73" s="200">
        <f>AH67/AH18</f>
        <v>0.25786682380671772</v>
      </c>
      <c r="AI73" s="200">
        <f>AI67/AI18</f>
        <v>0.26236203090507726</v>
      </c>
      <c r="AJ73" s="200">
        <f>AJ67/AJ18</f>
        <v>0.25938430983118171</v>
      </c>
      <c r="AK73" s="201">
        <f>AK67/AK18</f>
        <v>0.25458410842412971</v>
      </c>
      <c r="AL73" s="175">
        <v>0.25323767818876403</v>
      </c>
      <c r="AM73" s="175">
        <v>0.23899999999999999</v>
      </c>
      <c r="AN73" s="175">
        <v>0.243925313325944</v>
      </c>
      <c r="AO73" s="176">
        <v>0.23339703774486401</v>
      </c>
      <c r="AP73" s="175">
        <v>0.22324295397788099</v>
      </c>
      <c r="AQ73" s="175">
        <v>0.23210290827740501</v>
      </c>
      <c r="AR73" s="175">
        <v>0.22863157894736799</v>
      </c>
      <c r="AS73" s="176">
        <v>0.23559462099015899</v>
      </c>
      <c r="AT73" s="215" t="s">
        <v>312</v>
      </c>
      <c r="AU73" s="175">
        <v>0.229645824223874</v>
      </c>
      <c r="AV73" s="175">
        <v>0.21949101016242509</v>
      </c>
      <c r="AW73" s="176">
        <v>0.22142914427780899</v>
      </c>
      <c r="AX73" s="215">
        <v>0.23979213066072755</v>
      </c>
      <c r="AY73" s="175">
        <v>0.2310927642339746</v>
      </c>
    </row>
    <row r="74" spans="1:52" ht="13">
      <c r="A74" s="89" t="s">
        <v>323</v>
      </c>
      <c r="B74" s="175">
        <v>0.11832344213649852</v>
      </c>
      <c r="C74" s="175">
        <v>0.11823343848580442</v>
      </c>
      <c r="D74" s="175">
        <v>0.13114847827369075</v>
      </c>
      <c r="E74" s="175">
        <v>0.13011790000000001</v>
      </c>
      <c r="F74" s="175">
        <v>0.13400000000000001</v>
      </c>
      <c r="G74" s="175">
        <v>0.13284879315943299</v>
      </c>
      <c r="H74" s="175">
        <f>H68/H21</f>
        <v>0.17481626653601176</v>
      </c>
      <c r="I74" s="200">
        <f>I68/I21</f>
        <v>0.18369424393855266</v>
      </c>
      <c r="J74" s="175">
        <f>J68/J21</f>
        <v>0.15232256543268097</v>
      </c>
      <c r="K74" s="175">
        <f>K68/K21</f>
        <v>0.11359289617486339</v>
      </c>
      <c r="L74" s="175">
        <f>L68/L21</f>
        <v>0.12239653773329727</v>
      </c>
      <c r="M74" s="89"/>
      <c r="N74" s="175">
        <v>0.14799999999999999</v>
      </c>
      <c r="O74" s="175">
        <v>0.14299999999999999</v>
      </c>
      <c r="P74" s="175">
        <v>0.13</v>
      </c>
      <c r="Q74" s="176">
        <v>0.10199999999999999</v>
      </c>
      <c r="R74" s="175">
        <v>0.12767809999999999</v>
      </c>
      <c r="S74" s="175">
        <v>0.124</v>
      </c>
      <c r="T74" s="175">
        <v>0.13600000000000001</v>
      </c>
      <c r="U74" s="176">
        <v>0.13300000000000001</v>
      </c>
      <c r="V74" s="175">
        <v>0.14237610000000001</v>
      </c>
      <c r="W74" s="175">
        <v>0.14599999999999999</v>
      </c>
      <c r="X74" s="175">
        <v>0.122</v>
      </c>
      <c r="Y74" s="176">
        <v>0.125</v>
      </c>
      <c r="Z74" s="175">
        <v>0.13900000000000001</v>
      </c>
      <c r="AA74" s="175">
        <v>9.7985257985258006E-2</v>
      </c>
      <c r="AB74" s="175">
        <v>0.12568306010929001</v>
      </c>
      <c r="AC74" s="176">
        <v>0.16500000000000001</v>
      </c>
      <c r="AD74" s="175">
        <v>0.16500000000000001</v>
      </c>
      <c r="AE74" s="175">
        <v>0.16500000000000001</v>
      </c>
      <c r="AF74" s="175">
        <v>0.186</v>
      </c>
      <c r="AG74" s="176">
        <v>0.182</v>
      </c>
      <c r="AH74" s="200">
        <f>AH68/AH21</f>
        <v>0.18315301391035549</v>
      </c>
      <c r="AI74" s="200">
        <f>AI68/AI21</f>
        <v>0.18217609162491052</v>
      </c>
      <c r="AJ74" s="200">
        <f>AJ68/AJ21</f>
        <v>0.19402434526005163</v>
      </c>
      <c r="AK74" s="216">
        <f>AK68/AK21</f>
        <v>0.17545152967194988</v>
      </c>
      <c r="AL74" s="175">
        <v>0.17024</v>
      </c>
      <c r="AM74" s="175">
        <v>0.153</v>
      </c>
      <c r="AN74" s="175">
        <v>0.15054773082942099</v>
      </c>
      <c r="AO74" s="176">
        <v>0.134338358458961</v>
      </c>
      <c r="AP74" s="175">
        <v>0.15598507968802999</v>
      </c>
      <c r="AQ74" s="175">
        <v>0.11225256827862699</v>
      </c>
      <c r="AR74" s="175">
        <v>0.112627986348123</v>
      </c>
      <c r="AS74" s="176">
        <v>8.3783089180159295E-2</v>
      </c>
      <c r="AT74" s="215" t="s">
        <v>313</v>
      </c>
      <c r="AU74" s="175">
        <v>0.129331514324693</v>
      </c>
      <c r="AV74" s="175">
        <v>0.11609071274298056</v>
      </c>
      <c r="AW74" s="176">
        <v>0.1233370288248337</v>
      </c>
      <c r="AX74" s="215">
        <v>0.11335578002244669</v>
      </c>
      <c r="AY74" s="175">
        <v>0.12662169174883239</v>
      </c>
    </row>
    <row r="75" spans="1:52" ht="13">
      <c r="A75" s="147" t="s">
        <v>324</v>
      </c>
      <c r="B75" s="187">
        <v>0.18054634895161009</v>
      </c>
      <c r="C75" s="187">
        <v>0.16781049369050255</v>
      </c>
      <c r="D75" s="187">
        <v>0.19426594412314713</v>
      </c>
      <c r="E75" s="187">
        <v>0.20318662661616821</v>
      </c>
      <c r="F75" s="187">
        <v>0.21009082229675144</v>
      </c>
      <c r="G75" s="187">
        <v>0.21230828857759815</v>
      </c>
      <c r="H75" s="187">
        <v>0.22900000000000001</v>
      </c>
      <c r="I75" s="187">
        <v>0.23699999999999999</v>
      </c>
      <c r="J75" s="187">
        <v>0.217</v>
      </c>
      <c r="K75" s="187">
        <v>0.19800000000000001</v>
      </c>
      <c r="L75" s="187">
        <v>0.19600000000000001</v>
      </c>
      <c r="M75" s="217"/>
      <c r="N75" s="187">
        <v>0.19686294329831355</v>
      </c>
      <c r="O75" s="187">
        <v>0.19304480263992893</v>
      </c>
      <c r="P75" s="187">
        <v>0.20170827858081472</v>
      </c>
      <c r="Q75" s="189">
        <v>0.18643728212302696</v>
      </c>
      <c r="R75" s="187">
        <v>0.19600000000000001</v>
      </c>
      <c r="S75" s="187">
        <v>0.20200000000000001</v>
      </c>
      <c r="T75" s="187">
        <v>0.21</v>
      </c>
      <c r="U75" s="189">
        <v>0.20399999999999999</v>
      </c>
      <c r="V75" s="187">
        <v>0.20327031170158405</v>
      </c>
      <c r="W75" s="187">
        <v>0.21663843402973837</v>
      </c>
      <c r="X75" s="187">
        <v>0.21264028352037803</v>
      </c>
      <c r="Y75" s="189">
        <v>0.20729571984435799</v>
      </c>
      <c r="Z75" s="187">
        <v>0.20899999999999999</v>
      </c>
      <c r="AA75" s="187">
        <v>0.18711279262236899</v>
      </c>
      <c r="AB75" s="187">
        <v>0.21730857404860199</v>
      </c>
      <c r="AC75" s="189">
        <v>0.23200000000000001</v>
      </c>
      <c r="AD75" s="187">
        <v>0.23</v>
      </c>
      <c r="AE75" s="187">
        <v>0.22600000000000001</v>
      </c>
      <c r="AF75" s="187">
        <v>0.23400000000000001</v>
      </c>
      <c r="AG75" s="189">
        <v>0.22900000000000001</v>
      </c>
      <c r="AH75" s="187">
        <v>0.23300000000000001</v>
      </c>
      <c r="AI75" s="187">
        <v>0.23599999999999999</v>
      </c>
      <c r="AJ75" s="187">
        <v>0.23899999999999999</v>
      </c>
      <c r="AK75" s="189">
        <v>0.23699999999999999</v>
      </c>
      <c r="AL75" s="187">
        <v>0.22980963368906801</v>
      </c>
      <c r="AM75" s="187">
        <v>0.216</v>
      </c>
      <c r="AN75" s="187">
        <v>0.21817696872707901</v>
      </c>
      <c r="AO75" s="189">
        <v>0.20741264131551901</v>
      </c>
      <c r="AP75" s="187">
        <v>0.204129251219685</v>
      </c>
      <c r="AQ75" s="187">
        <v>0.196596208588214</v>
      </c>
      <c r="AR75" s="187">
        <v>0.19657303012930799</v>
      </c>
      <c r="AS75" s="189">
        <v>0.19737986203698299</v>
      </c>
      <c r="AT75" s="218" t="s">
        <v>277</v>
      </c>
      <c r="AU75" s="187">
        <v>0.197224058162591</v>
      </c>
      <c r="AV75" s="187">
        <v>0.19000131216375807</v>
      </c>
      <c r="AW75" s="189">
        <v>0.19552517091361094</v>
      </c>
      <c r="AX75" s="218">
        <v>0.19984670057835691</v>
      </c>
      <c r="AY75" s="187">
        <v>0.2005149083942043</v>
      </c>
    </row>
    <row r="76" spans="1:52" ht="13">
      <c r="A76" s="126"/>
      <c r="B76" s="177"/>
      <c r="C76" s="177"/>
      <c r="D76" s="177"/>
      <c r="E76" s="177"/>
      <c r="F76" s="177"/>
      <c r="G76" s="177"/>
      <c r="H76" s="177"/>
      <c r="I76" s="177"/>
      <c r="J76" s="177"/>
      <c r="K76" s="177"/>
      <c r="L76" s="177"/>
      <c r="M76" s="89"/>
      <c r="N76" s="177"/>
      <c r="O76" s="177"/>
      <c r="P76" s="177"/>
      <c r="Q76" s="179"/>
      <c r="R76" s="177"/>
      <c r="S76" s="177"/>
      <c r="T76" s="177"/>
      <c r="U76" s="179"/>
      <c r="V76" s="177"/>
      <c r="W76" s="177"/>
      <c r="X76" s="177"/>
      <c r="Y76" s="179"/>
      <c r="Z76" s="177"/>
      <c r="AA76" s="177"/>
      <c r="AB76" s="177"/>
      <c r="AC76" s="179"/>
      <c r="AD76" s="177"/>
      <c r="AE76" s="177"/>
      <c r="AF76" s="177"/>
      <c r="AG76" s="179"/>
      <c r="AH76" s="177"/>
      <c r="AI76" s="177"/>
      <c r="AJ76" s="177"/>
      <c r="AK76" s="179"/>
      <c r="AL76" s="177"/>
      <c r="AM76" s="177"/>
      <c r="AN76" s="177"/>
      <c r="AO76" s="179"/>
      <c r="AP76" s="177"/>
      <c r="AQ76" s="177"/>
      <c r="AR76" s="177"/>
      <c r="AS76" s="179"/>
      <c r="AT76" s="177"/>
      <c r="AU76" s="177"/>
      <c r="AV76" s="177"/>
      <c r="AW76" s="179"/>
      <c r="AX76" s="177"/>
      <c r="AY76" s="177"/>
    </row>
    <row r="77" spans="1:52" ht="13">
      <c r="A77" s="157" t="s">
        <v>325</v>
      </c>
      <c r="B77" s="158">
        <v>2015</v>
      </c>
      <c r="C77" s="158">
        <v>2016</v>
      </c>
      <c r="D77" s="158">
        <v>2017</v>
      </c>
      <c r="E77" s="158">
        <v>2018</v>
      </c>
      <c r="F77" s="158">
        <v>2019</v>
      </c>
      <c r="G77" s="158">
        <v>2020</v>
      </c>
      <c r="H77" s="158">
        <v>2021</v>
      </c>
      <c r="I77" s="158">
        <v>2022</v>
      </c>
      <c r="J77" s="158">
        <v>2023</v>
      </c>
      <c r="K77" s="158">
        <v>2024</v>
      </c>
      <c r="L77" s="158">
        <v>2025</v>
      </c>
      <c r="M77" s="89"/>
      <c r="N77" s="158" t="s">
        <v>264</v>
      </c>
      <c r="O77" s="158" t="s">
        <v>265</v>
      </c>
      <c r="P77" s="158" t="s">
        <v>266</v>
      </c>
      <c r="Q77" s="159" t="s">
        <v>267</v>
      </c>
      <c r="R77" s="158" t="s">
        <v>128</v>
      </c>
      <c r="S77" s="158" t="s">
        <v>129</v>
      </c>
      <c r="T77" s="158" t="s">
        <v>130</v>
      </c>
      <c r="U77" s="159" t="s">
        <v>131</v>
      </c>
      <c r="V77" s="158" t="s">
        <v>132</v>
      </c>
      <c r="W77" s="158" t="s">
        <v>133</v>
      </c>
      <c r="X77" s="158" t="s">
        <v>134</v>
      </c>
      <c r="Y77" s="159" t="s">
        <v>135</v>
      </c>
      <c r="Z77" s="158" t="s">
        <v>136</v>
      </c>
      <c r="AA77" s="158" t="s">
        <v>137</v>
      </c>
      <c r="AB77" s="158" t="s">
        <v>138</v>
      </c>
      <c r="AC77" s="159" t="s">
        <v>139</v>
      </c>
      <c r="AD77" s="158" t="s">
        <v>140</v>
      </c>
      <c r="AE77" s="158" t="s">
        <v>141</v>
      </c>
      <c r="AF77" s="158" t="s">
        <v>142</v>
      </c>
      <c r="AG77" s="159" t="s">
        <v>143</v>
      </c>
      <c r="AH77" s="158" t="s">
        <v>144</v>
      </c>
      <c r="AI77" s="158" t="s">
        <v>145</v>
      </c>
      <c r="AJ77" s="158" t="s">
        <v>146</v>
      </c>
      <c r="AK77" s="159" t="s">
        <v>147</v>
      </c>
      <c r="AL77" s="158" t="s">
        <v>148</v>
      </c>
      <c r="AM77" s="158" t="s">
        <v>149</v>
      </c>
      <c r="AN77" s="158" t="s">
        <v>150</v>
      </c>
      <c r="AO77" s="159" t="s">
        <v>151</v>
      </c>
      <c r="AP77" s="158" t="s">
        <v>152</v>
      </c>
      <c r="AQ77" s="158" t="s">
        <v>153</v>
      </c>
      <c r="AR77" s="158" t="s">
        <v>154</v>
      </c>
      <c r="AS77" s="159" t="s">
        <v>155</v>
      </c>
      <c r="AT77" s="158" t="s">
        <v>156</v>
      </c>
      <c r="AU77" s="158" t="s">
        <v>157</v>
      </c>
      <c r="AV77" s="158" t="s">
        <v>158</v>
      </c>
      <c r="AW77" s="159" t="s">
        <v>820</v>
      </c>
      <c r="AX77" s="158" t="s">
        <v>1275</v>
      </c>
      <c r="AY77" s="158" t="s">
        <v>1344</v>
      </c>
    </row>
    <row r="78" spans="1:52" ht="13">
      <c r="A78" s="180" t="s">
        <v>326</v>
      </c>
      <c r="B78" s="219" t="s">
        <v>192</v>
      </c>
      <c r="C78" s="219" t="s">
        <v>192</v>
      </c>
      <c r="D78" s="220">
        <v>-163</v>
      </c>
      <c r="E78" s="220">
        <v>-66</v>
      </c>
      <c r="F78" s="220">
        <v>-194</v>
      </c>
      <c r="G78" s="220">
        <v>-99</v>
      </c>
      <c r="H78" s="220">
        <v>-270</v>
      </c>
      <c r="I78" s="220">
        <v>37</v>
      </c>
      <c r="J78" s="220">
        <v>-63</v>
      </c>
      <c r="K78" s="219">
        <v>0</v>
      </c>
      <c r="L78" s="219">
        <v>-20</v>
      </c>
      <c r="M78" s="221"/>
      <c r="N78" s="220">
        <v>-45</v>
      </c>
      <c r="O78" s="220">
        <v>-53</v>
      </c>
      <c r="P78" s="220">
        <v>-15</v>
      </c>
      <c r="Q78" s="222">
        <v>-50</v>
      </c>
      <c r="R78" s="220">
        <v>0</v>
      </c>
      <c r="S78" s="220">
        <v>-77</v>
      </c>
      <c r="T78" s="220">
        <v>-56</v>
      </c>
      <c r="U78" s="222">
        <v>67</v>
      </c>
      <c r="V78" s="220">
        <v>-59</v>
      </c>
      <c r="W78" s="220">
        <v>-39</v>
      </c>
      <c r="X78" s="220">
        <v>-54</v>
      </c>
      <c r="Y78" s="222">
        <v>-42</v>
      </c>
      <c r="Z78" s="220">
        <f>Z59</f>
        <v>65</v>
      </c>
      <c r="AA78" s="220">
        <v>-91</v>
      </c>
      <c r="AB78" s="223">
        <v>-21</v>
      </c>
      <c r="AC78" s="222">
        <v>-52</v>
      </c>
      <c r="AD78" s="220">
        <v>-149</v>
      </c>
      <c r="AE78" s="220">
        <v>-15</v>
      </c>
      <c r="AF78" s="220">
        <v>21</v>
      </c>
      <c r="AG78" s="222">
        <v>-127</v>
      </c>
      <c r="AH78" s="220">
        <v>43</v>
      </c>
      <c r="AI78" s="220">
        <v>75</v>
      </c>
      <c r="AJ78" s="220">
        <v>-14</v>
      </c>
      <c r="AK78" s="222">
        <v>-67</v>
      </c>
      <c r="AL78" s="220">
        <v>-26</v>
      </c>
      <c r="AM78" s="220">
        <v>-16</v>
      </c>
      <c r="AN78" s="220">
        <v>-19</v>
      </c>
      <c r="AO78" s="222">
        <v>-2</v>
      </c>
      <c r="AP78" s="220">
        <v>-2</v>
      </c>
      <c r="AQ78" s="220">
        <v>-18</v>
      </c>
      <c r="AR78" s="220">
        <v>-17</v>
      </c>
      <c r="AS78" s="222">
        <v>37</v>
      </c>
      <c r="AT78" s="220">
        <v>-11</v>
      </c>
      <c r="AU78" s="220">
        <v>-6</v>
      </c>
      <c r="AV78" s="220">
        <v>1</v>
      </c>
      <c r="AW78" s="222">
        <v>-4</v>
      </c>
      <c r="AX78" s="220">
        <v>-22</v>
      </c>
      <c r="AY78" s="220">
        <v>-33</v>
      </c>
    </row>
    <row r="79" spans="1:52" ht="13">
      <c r="A79" s="126" t="s">
        <v>317</v>
      </c>
      <c r="B79" s="177" t="s">
        <v>192</v>
      </c>
      <c r="C79" s="177" t="s">
        <v>192</v>
      </c>
      <c r="D79" s="177" t="s">
        <v>192</v>
      </c>
      <c r="E79" s="177">
        <v>-328</v>
      </c>
      <c r="F79" s="224">
        <v>-62</v>
      </c>
      <c r="G79" s="224">
        <v>-18</v>
      </c>
      <c r="H79" s="177" t="s">
        <v>192</v>
      </c>
      <c r="I79" s="177" t="s">
        <v>192</v>
      </c>
      <c r="J79" s="177" t="s">
        <v>192</v>
      </c>
      <c r="K79" s="177" t="s">
        <v>192</v>
      </c>
      <c r="L79" s="177" t="s">
        <v>192</v>
      </c>
      <c r="M79" s="89"/>
      <c r="N79" s="177" t="s">
        <v>192</v>
      </c>
      <c r="O79" s="177" t="s">
        <v>192</v>
      </c>
      <c r="P79" s="177" t="s">
        <v>192</v>
      </c>
      <c r="Q79" s="179" t="s">
        <v>192</v>
      </c>
      <c r="R79" s="177">
        <v>-95</v>
      </c>
      <c r="S79" s="177">
        <v>-104</v>
      </c>
      <c r="T79" s="177">
        <v>-70</v>
      </c>
      <c r="U79" s="179">
        <v>-59</v>
      </c>
      <c r="V79" s="177">
        <v>-17</v>
      </c>
      <c r="W79" s="177">
        <v>-23</v>
      </c>
      <c r="X79" s="177">
        <v>-11</v>
      </c>
      <c r="Y79" s="179">
        <v>-11</v>
      </c>
      <c r="Z79" s="177">
        <v>-6</v>
      </c>
      <c r="AA79" s="177">
        <v>-11</v>
      </c>
      <c r="AB79" s="177">
        <v>-1</v>
      </c>
      <c r="AC79" s="179" t="s">
        <v>192</v>
      </c>
      <c r="AD79" s="177" t="s">
        <v>192</v>
      </c>
      <c r="AE79" s="177" t="s">
        <v>192</v>
      </c>
      <c r="AF79" s="177" t="s">
        <v>192</v>
      </c>
      <c r="AG79" s="179" t="s">
        <v>192</v>
      </c>
      <c r="AH79" s="177" t="s">
        <v>192</v>
      </c>
      <c r="AI79" s="177" t="s">
        <v>192</v>
      </c>
      <c r="AJ79" s="177" t="s">
        <v>192</v>
      </c>
      <c r="AK79" s="179" t="s">
        <v>192</v>
      </c>
      <c r="AL79" s="177" t="s">
        <v>192</v>
      </c>
      <c r="AM79" s="177" t="s">
        <v>192</v>
      </c>
      <c r="AN79" s="177" t="s">
        <v>192</v>
      </c>
      <c r="AO79" s="179" t="s">
        <v>192</v>
      </c>
      <c r="AP79" s="177" t="s">
        <v>192</v>
      </c>
      <c r="AQ79" s="177" t="s">
        <v>192</v>
      </c>
      <c r="AR79" s="177" t="s">
        <v>192</v>
      </c>
      <c r="AS79" s="179" t="s">
        <v>192</v>
      </c>
      <c r="AT79" s="177" t="s">
        <v>192</v>
      </c>
      <c r="AU79" s="177" t="s">
        <v>192</v>
      </c>
      <c r="AV79" s="177" t="s">
        <v>192</v>
      </c>
      <c r="AW79" s="179" t="s">
        <v>192</v>
      </c>
      <c r="AX79" s="177" t="s">
        <v>192</v>
      </c>
      <c r="AY79" s="177" t="s">
        <v>192</v>
      </c>
    </row>
    <row r="80" spans="1:52" ht="13">
      <c r="A80" s="147" t="s">
        <v>298</v>
      </c>
      <c r="B80" s="211" t="s">
        <v>192</v>
      </c>
      <c r="C80" s="211" t="s">
        <v>192</v>
      </c>
      <c r="D80" s="148">
        <v>-163</v>
      </c>
      <c r="E80" s="148">
        <v>-394</v>
      </c>
      <c r="F80" s="148">
        <f>SUM(V80:Y80)</f>
        <v>-256.16971000000001</v>
      </c>
      <c r="G80" s="148">
        <f>SUM(Z80:AC80)</f>
        <v>-117</v>
      </c>
      <c r="H80" s="148">
        <v>-270</v>
      </c>
      <c r="I80" s="148">
        <v>37</v>
      </c>
      <c r="J80" s="148">
        <v>-63</v>
      </c>
      <c r="K80" s="211">
        <v>0</v>
      </c>
      <c r="L80" s="211">
        <v>-20</v>
      </c>
      <c r="M80" s="89"/>
      <c r="N80" s="148">
        <v>-45</v>
      </c>
      <c r="O80" s="148">
        <v>-53</v>
      </c>
      <c r="P80" s="148">
        <v>-15</v>
      </c>
      <c r="Q80" s="150">
        <v>-50</v>
      </c>
      <c r="R80" s="148">
        <v>-95</v>
      </c>
      <c r="S80" s="148">
        <v>-181</v>
      </c>
      <c r="T80" s="148">
        <v>-126</v>
      </c>
      <c r="U80" s="150">
        <v>8</v>
      </c>
      <c r="V80" s="148">
        <v>-76</v>
      </c>
      <c r="W80" s="148">
        <v>-62</v>
      </c>
      <c r="X80" s="148">
        <v>-65.169709999999995</v>
      </c>
      <c r="Y80" s="150">
        <v>-53</v>
      </c>
      <c r="Z80" s="148">
        <f t="shared" ref="Z80:AE80" si="7">SUM(Z78:Z79)</f>
        <v>59</v>
      </c>
      <c r="AA80" s="148">
        <f t="shared" si="7"/>
        <v>-102</v>
      </c>
      <c r="AB80" s="148">
        <f t="shared" si="7"/>
        <v>-22</v>
      </c>
      <c r="AC80" s="150">
        <f t="shared" si="7"/>
        <v>-52</v>
      </c>
      <c r="AD80" s="148">
        <f t="shared" si="7"/>
        <v>-149</v>
      </c>
      <c r="AE80" s="148">
        <f t="shared" si="7"/>
        <v>-15</v>
      </c>
      <c r="AF80" s="148">
        <v>21</v>
      </c>
      <c r="AG80" s="150">
        <v>-127</v>
      </c>
      <c r="AH80" s="148">
        <v>43</v>
      </c>
      <c r="AI80" s="148">
        <v>75</v>
      </c>
      <c r="AJ80" s="148">
        <v>-14</v>
      </c>
      <c r="AK80" s="150">
        <v>-67</v>
      </c>
      <c r="AL80" s="148">
        <v>-26</v>
      </c>
      <c r="AM80" s="148">
        <v>-16</v>
      </c>
      <c r="AN80" s="148">
        <v>-19</v>
      </c>
      <c r="AO80" s="150">
        <v>-2</v>
      </c>
      <c r="AP80" s="148">
        <v>-2</v>
      </c>
      <c r="AQ80" s="148">
        <v>-18</v>
      </c>
      <c r="AR80" s="148">
        <v>-17</v>
      </c>
      <c r="AS80" s="150">
        <v>37</v>
      </c>
      <c r="AT80" s="148">
        <v>-11</v>
      </c>
      <c r="AU80" s="148">
        <v>-6</v>
      </c>
      <c r="AV80" s="148">
        <v>1</v>
      </c>
      <c r="AW80" s="150">
        <v>-4</v>
      </c>
      <c r="AX80" s="148">
        <v>-22</v>
      </c>
      <c r="AY80" s="148">
        <v>-33</v>
      </c>
    </row>
    <row r="81" spans="1:51" ht="13">
      <c r="A81" s="123"/>
      <c r="B81" s="153"/>
      <c r="C81" s="153"/>
      <c r="D81" s="153"/>
      <c r="E81" s="153"/>
      <c r="F81" s="153"/>
      <c r="G81" s="124"/>
      <c r="H81" s="124"/>
      <c r="I81" s="124"/>
      <c r="J81" s="124"/>
      <c r="K81" s="153"/>
      <c r="L81" s="153"/>
      <c r="M81" s="89"/>
      <c r="N81" s="153"/>
      <c r="O81" s="153"/>
      <c r="P81" s="153"/>
      <c r="Q81" s="154"/>
      <c r="R81" s="153"/>
      <c r="S81" s="153"/>
      <c r="T81" s="153"/>
      <c r="U81" s="154"/>
      <c r="V81" s="153"/>
      <c r="W81" s="153"/>
      <c r="X81" s="153"/>
      <c r="Y81" s="154"/>
      <c r="Z81" s="153"/>
      <c r="AA81" s="153"/>
      <c r="AB81" s="153"/>
      <c r="AC81" s="154"/>
      <c r="AD81" s="153"/>
      <c r="AE81" s="153"/>
      <c r="AF81" s="153"/>
      <c r="AG81" s="154"/>
      <c r="AH81" s="153"/>
      <c r="AI81" s="153"/>
      <c r="AJ81" s="153"/>
      <c r="AK81" s="154"/>
      <c r="AL81" s="153"/>
      <c r="AM81" s="153"/>
      <c r="AN81" s="153"/>
      <c r="AO81" s="154"/>
      <c r="AP81" s="153"/>
      <c r="AQ81" s="153"/>
      <c r="AR81" s="153"/>
      <c r="AS81" s="154"/>
      <c r="AT81" s="153"/>
      <c r="AU81" s="153"/>
      <c r="AV81" s="153"/>
      <c r="AW81" s="154"/>
      <c r="AX81" s="153"/>
      <c r="AY81" s="153"/>
    </row>
    <row r="82" spans="1:51" ht="13">
      <c r="A82" s="123"/>
      <c r="B82" s="153"/>
      <c r="C82" s="153"/>
      <c r="D82" s="153"/>
      <c r="E82" s="153"/>
      <c r="F82" s="153"/>
      <c r="G82" s="153"/>
      <c r="H82" s="153"/>
      <c r="I82" s="153"/>
      <c r="J82" s="153"/>
      <c r="K82" s="153"/>
      <c r="L82" s="153"/>
      <c r="M82" s="89"/>
      <c r="N82" s="153"/>
      <c r="O82" s="153"/>
      <c r="P82" s="153"/>
      <c r="Q82" s="154"/>
      <c r="R82" s="153"/>
      <c r="S82" s="153"/>
      <c r="T82" s="153"/>
      <c r="U82" s="154"/>
      <c r="V82" s="153"/>
      <c r="W82" s="153"/>
      <c r="X82" s="153"/>
      <c r="Y82" s="154"/>
      <c r="Z82" s="153"/>
      <c r="AA82" s="153"/>
      <c r="AB82" s="153"/>
      <c r="AC82" s="154"/>
      <c r="AD82" s="153"/>
      <c r="AE82" s="153"/>
      <c r="AF82" s="153"/>
      <c r="AG82" s="154"/>
      <c r="AH82" s="153"/>
      <c r="AI82" s="153"/>
      <c r="AJ82" s="153"/>
      <c r="AK82" s="154"/>
      <c r="AL82" s="153"/>
      <c r="AM82" s="153"/>
      <c r="AN82" s="153"/>
      <c r="AO82" s="154"/>
      <c r="AP82" s="153"/>
      <c r="AQ82" s="153"/>
      <c r="AR82" s="153"/>
      <c r="AS82" s="154"/>
      <c r="AT82" s="153"/>
      <c r="AU82" s="153"/>
      <c r="AV82" s="153"/>
      <c r="AW82" s="154"/>
      <c r="AX82" s="153"/>
      <c r="AY82" s="153"/>
    </row>
    <row r="83" spans="1:51" ht="13">
      <c r="A83" s="157" t="s">
        <v>327</v>
      </c>
      <c r="B83" s="158">
        <v>2015</v>
      </c>
      <c r="C83" s="158">
        <v>2016</v>
      </c>
      <c r="D83" s="158">
        <v>2017</v>
      </c>
      <c r="E83" s="158">
        <v>2018</v>
      </c>
      <c r="F83" s="158">
        <v>2019</v>
      </c>
      <c r="G83" s="158">
        <v>2020</v>
      </c>
      <c r="H83" s="158">
        <v>2021</v>
      </c>
      <c r="I83" s="158">
        <v>2022</v>
      </c>
      <c r="J83" s="158">
        <v>2023</v>
      </c>
      <c r="K83" s="158">
        <v>2024</v>
      </c>
      <c r="L83" s="158">
        <v>2025</v>
      </c>
      <c r="M83" s="89"/>
      <c r="N83" s="158" t="s">
        <v>264</v>
      </c>
      <c r="O83" s="158" t="s">
        <v>265</v>
      </c>
      <c r="P83" s="158" t="s">
        <v>266</v>
      </c>
      <c r="Q83" s="159" t="s">
        <v>267</v>
      </c>
      <c r="R83" s="158" t="s">
        <v>128</v>
      </c>
      <c r="S83" s="158" t="s">
        <v>129</v>
      </c>
      <c r="T83" s="158" t="s">
        <v>130</v>
      </c>
      <c r="U83" s="159" t="s">
        <v>131</v>
      </c>
      <c r="V83" s="158" t="s">
        <v>132</v>
      </c>
      <c r="W83" s="158" t="s">
        <v>133</v>
      </c>
      <c r="X83" s="158" t="s">
        <v>134</v>
      </c>
      <c r="Y83" s="159" t="s">
        <v>135</v>
      </c>
      <c r="Z83" s="158" t="s">
        <v>136</v>
      </c>
      <c r="AA83" s="158" t="s">
        <v>137</v>
      </c>
      <c r="AB83" s="158" t="s">
        <v>138</v>
      </c>
      <c r="AC83" s="159" t="s">
        <v>139</v>
      </c>
      <c r="AD83" s="158" t="s">
        <v>140</v>
      </c>
      <c r="AE83" s="158" t="s">
        <v>141</v>
      </c>
      <c r="AF83" s="158" t="s">
        <v>142</v>
      </c>
      <c r="AG83" s="159" t="s">
        <v>143</v>
      </c>
      <c r="AH83" s="158" t="s">
        <v>144</v>
      </c>
      <c r="AI83" s="158" t="s">
        <v>145</v>
      </c>
      <c r="AJ83" s="158" t="s">
        <v>146</v>
      </c>
      <c r="AK83" s="159" t="s">
        <v>147</v>
      </c>
      <c r="AL83" s="158" t="s">
        <v>148</v>
      </c>
      <c r="AM83" s="158" t="s">
        <v>149</v>
      </c>
      <c r="AN83" s="158" t="s">
        <v>150</v>
      </c>
      <c r="AO83" s="159" t="s">
        <v>151</v>
      </c>
      <c r="AP83" s="158" t="s">
        <v>152</v>
      </c>
      <c r="AQ83" s="158" t="s">
        <v>153</v>
      </c>
      <c r="AR83" s="158" t="s">
        <v>154</v>
      </c>
      <c r="AS83" s="159" t="s">
        <v>155</v>
      </c>
      <c r="AT83" s="158" t="s">
        <v>156</v>
      </c>
      <c r="AU83" s="158" t="s">
        <v>157</v>
      </c>
      <c r="AV83" s="158" t="s">
        <v>158</v>
      </c>
      <c r="AW83" s="159" t="s">
        <v>820</v>
      </c>
      <c r="AX83" s="158" t="s">
        <v>1275</v>
      </c>
      <c r="AY83" s="158" t="s">
        <v>1344</v>
      </c>
    </row>
    <row r="84" spans="1:51" ht="13">
      <c r="A84" s="126" t="s">
        <v>293</v>
      </c>
      <c r="B84" s="225">
        <v>0.71526139764126029</v>
      </c>
      <c r="C84" s="225">
        <v>0.70454460724005519</v>
      </c>
      <c r="D84" s="226">
        <v>0.71922496063751162</v>
      </c>
      <c r="E84" s="226">
        <v>0.74988833127512544</v>
      </c>
      <c r="F84" s="226">
        <v>0.73460309658392731</v>
      </c>
      <c r="G84" s="226">
        <v>0.75</v>
      </c>
      <c r="H84" s="226">
        <f>H18/SUM(H18+H21)</f>
        <v>0.74180898165717901</v>
      </c>
      <c r="I84" s="227">
        <f>I18/(I18+I21)</f>
        <v>0.78261919130959567</v>
      </c>
      <c r="J84" s="226">
        <f>J18/SUM(J18+J21)</f>
        <v>0.78884038969013992</v>
      </c>
      <c r="K84" s="226">
        <f>K18/SUM(K18+K21)</f>
        <v>0.76964471158384995</v>
      </c>
      <c r="L84" s="226">
        <f>L18/SUM(L18+L21)</f>
        <v>0.76113327626031757</v>
      </c>
      <c r="M84" s="89"/>
      <c r="N84" s="226">
        <v>0.70722124373391138</v>
      </c>
      <c r="O84" s="226">
        <v>0.70521047227926081</v>
      </c>
      <c r="P84" s="226">
        <v>0.7163111170001325</v>
      </c>
      <c r="Q84" s="228">
        <v>0.74538745387453875</v>
      </c>
      <c r="R84" s="226">
        <v>0.72581827063996096</v>
      </c>
      <c r="S84" s="226">
        <v>0.74920732330980877</v>
      </c>
      <c r="T84" s="226">
        <v>0.75083682008368202</v>
      </c>
      <c r="U84" s="228">
        <v>0.76836909056388836</v>
      </c>
      <c r="V84" s="226">
        <v>0.73199588477366251</v>
      </c>
      <c r="W84" s="226">
        <v>0.72468949943545347</v>
      </c>
      <c r="X84" s="226">
        <v>0.72621051589266261</v>
      </c>
      <c r="Y84" s="228">
        <v>0.75563799668066001</v>
      </c>
      <c r="Z84" s="226">
        <v>0.72424042272126821</v>
      </c>
      <c r="AA84" s="226">
        <v>0.75937093531985334</v>
      </c>
      <c r="AB84" s="226">
        <v>0.75</v>
      </c>
      <c r="AC84" s="228">
        <v>0.77</v>
      </c>
      <c r="AD84" s="226">
        <v>0.75</v>
      </c>
      <c r="AE84" s="226">
        <v>0.74</v>
      </c>
      <c r="AF84" s="226">
        <v>0.73</v>
      </c>
      <c r="AG84" s="228">
        <v>0.76076255258211756</v>
      </c>
      <c r="AH84" s="227">
        <f t="shared" ref="AH84:AP84" si="8">AH18/(AH18+AH21)</f>
        <v>0.76627833468797979</v>
      </c>
      <c r="AI84" s="227">
        <f t="shared" si="8"/>
        <v>0.76429897081154041</v>
      </c>
      <c r="AJ84" s="227">
        <f t="shared" si="8"/>
        <v>0.78788827165323527</v>
      </c>
      <c r="AK84" s="229">
        <f t="shared" si="8"/>
        <v>0.80624196543350946</v>
      </c>
      <c r="AL84" s="226">
        <f t="shared" si="8"/>
        <v>0.77449848462981674</v>
      </c>
      <c r="AM84" s="226">
        <f t="shared" si="8"/>
        <v>0.78540934203917634</v>
      </c>
      <c r="AN84" s="226">
        <f t="shared" si="8"/>
        <v>0.78591530420798716</v>
      </c>
      <c r="AO84" s="230">
        <f t="shared" si="8"/>
        <v>0.80795213279289713</v>
      </c>
      <c r="AP84" s="226">
        <f t="shared" si="8"/>
        <v>0.79175199491561332</v>
      </c>
      <c r="AQ84" s="226">
        <v>0.76</v>
      </c>
      <c r="AR84" s="226">
        <v>0.75641760621695653</v>
      </c>
      <c r="AS84" s="230">
        <v>0.77</v>
      </c>
      <c r="AT84" s="226">
        <v>0.75</v>
      </c>
      <c r="AU84" s="226">
        <v>0.76</v>
      </c>
      <c r="AV84" s="226">
        <v>0.75534706731400081</v>
      </c>
      <c r="AW84" s="230">
        <v>0.77495338719701679</v>
      </c>
      <c r="AX84" s="226">
        <v>0.75088843982997699</v>
      </c>
      <c r="AY84" s="226">
        <v>0.76871033409172551</v>
      </c>
    </row>
    <row r="85" spans="1:51" ht="13">
      <c r="A85" s="126" t="s">
        <v>296</v>
      </c>
      <c r="B85" s="225">
        <v>0.28473860235873966</v>
      </c>
      <c r="C85" s="225">
        <v>0.29545539275994481</v>
      </c>
      <c r="D85" s="226">
        <v>0.28077503936248838</v>
      </c>
      <c r="E85" s="226">
        <v>0.25011166872487456</v>
      </c>
      <c r="F85" s="226">
        <v>0.26539690341607275</v>
      </c>
      <c r="G85" s="226">
        <v>0.25</v>
      </c>
      <c r="H85" s="226">
        <f>100%-H84</f>
        <v>0.25819101834282099</v>
      </c>
      <c r="I85" s="227">
        <f>I21/(I21+I18)</f>
        <v>0.21738080869040435</v>
      </c>
      <c r="J85" s="226">
        <f>100%-J84</f>
        <v>0.21115961030986008</v>
      </c>
      <c r="K85" s="226">
        <f>100%-K84</f>
        <v>0.23035528841615005</v>
      </c>
      <c r="L85" s="226">
        <f>100%-L84</f>
        <v>0.23886672373968243</v>
      </c>
      <c r="M85" s="89"/>
      <c r="N85" s="226">
        <v>0.29277875626608862</v>
      </c>
      <c r="O85" s="226">
        <v>0.29478952772073924</v>
      </c>
      <c r="P85" s="226">
        <v>0.2836888829998675</v>
      </c>
      <c r="Q85" s="228">
        <v>0.25461254612546125</v>
      </c>
      <c r="R85" s="226">
        <v>0.27418172936003909</v>
      </c>
      <c r="S85" s="226">
        <v>0.25079267669019129</v>
      </c>
      <c r="T85" s="226">
        <v>0.24916317991631798</v>
      </c>
      <c r="U85" s="228">
        <v>0.23163090943611164</v>
      </c>
      <c r="V85" s="226">
        <v>0.26800411522633744</v>
      </c>
      <c r="W85" s="226">
        <v>0.27531050056454648</v>
      </c>
      <c r="X85" s="226">
        <v>0.27378948410733733</v>
      </c>
      <c r="Y85" s="228">
        <v>0.24436200331934005</v>
      </c>
      <c r="Z85" s="226">
        <v>0.27575957727873185</v>
      </c>
      <c r="AA85" s="226">
        <v>0.24062906468014664</v>
      </c>
      <c r="AB85" s="226">
        <v>0.25</v>
      </c>
      <c r="AC85" s="228">
        <v>0.23</v>
      </c>
      <c r="AD85" s="226">
        <v>0.25</v>
      </c>
      <c r="AE85" s="226">
        <v>0.26</v>
      </c>
      <c r="AF85" s="226">
        <v>0.27</v>
      </c>
      <c r="AG85" s="228">
        <v>0.23664190459142576</v>
      </c>
      <c r="AH85" s="227">
        <f>AH21/(AH21+AH18)</f>
        <v>0.23372166531202024</v>
      </c>
      <c r="AI85" s="227">
        <f>AI21/(AI21+AI18)</f>
        <v>0.23570102918845959</v>
      </c>
      <c r="AJ85" s="227">
        <f>AJ21/(AJ21+AJ18)</f>
        <v>0.21211172834676473</v>
      </c>
      <c r="AK85" s="231">
        <f>AK21/(AK21+AK18)</f>
        <v>0.19375803456649049</v>
      </c>
      <c r="AL85" s="226">
        <f>100%-AL84</f>
        <v>0.22550151537018326</v>
      </c>
      <c r="AM85" s="226">
        <f>100%-AM84</f>
        <v>0.21459065796082366</v>
      </c>
      <c r="AN85" s="226">
        <f>100%-AN84</f>
        <v>0.21408469579201284</v>
      </c>
      <c r="AO85" s="232">
        <f>100%-AO84</f>
        <v>0.19204786720710287</v>
      </c>
      <c r="AP85" s="226">
        <f>100%-AP84</f>
        <v>0.20824800508438668</v>
      </c>
      <c r="AQ85" s="226">
        <v>0.24</v>
      </c>
      <c r="AR85" s="226">
        <v>0.24262691891203261</v>
      </c>
      <c r="AS85" s="232">
        <v>0.23</v>
      </c>
      <c r="AT85" s="226">
        <v>0.25</v>
      </c>
      <c r="AU85" s="226">
        <v>0.24</v>
      </c>
      <c r="AV85" s="226">
        <v>0.24301272798845297</v>
      </c>
      <c r="AW85" s="232">
        <v>0.22423865755127409</v>
      </c>
      <c r="AX85" s="226">
        <v>0.24834506306180754</v>
      </c>
      <c r="AY85" s="226">
        <v>0.23075080828643277</v>
      </c>
    </row>
    <row r="86" spans="1:51" ht="13">
      <c r="A86" s="89"/>
      <c r="B86" s="89"/>
      <c r="C86" s="89"/>
      <c r="D86" s="89"/>
      <c r="E86" s="89"/>
      <c r="F86" s="89"/>
      <c r="G86" s="89"/>
      <c r="H86" s="89"/>
      <c r="I86" s="89"/>
      <c r="J86" s="89"/>
      <c r="K86" s="89"/>
      <c r="L86" s="89"/>
      <c r="M86" s="89"/>
      <c r="N86" s="89"/>
      <c r="O86" s="89"/>
      <c r="P86" s="89"/>
      <c r="Q86" s="92"/>
      <c r="R86" s="89"/>
      <c r="S86" s="89"/>
      <c r="T86" s="89"/>
      <c r="U86" s="92"/>
      <c r="V86" s="89"/>
      <c r="W86" s="89"/>
      <c r="X86" s="89"/>
      <c r="Y86" s="92"/>
      <c r="Z86" s="89"/>
      <c r="AA86" s="89"/>
      <c r="AB86" s="89"/>
      <c r="AC86" s="92"/>
      <c r="AD86" s="89"/>
      <c r="AE86" s="89"/>
      <c r="AF86" s="89"/>
      <c r="AG86" s="92"/>
      <c r="AH86" s="89"/>
      <c r="AI86" s="89"/>
      <c r="AJ86" s="89"/>
      <c r="AK86" s="92"/>
      <c r="AL86" s="89"/>
      <c r="AM86" s="89"/>
      <c r="AN86" s="89"/>
      <c r="AO86" s="92"/>
      <c r="AP86" s="89"/>
      <c r="AQ86" s="89"/>
      <c r="AR86" s="89"/>
      <c r="AS86" s="92"/>
      <c r="AT86" s="89"/>
      <c r="AU86" s="89"/>
      <c r="AV86" s="89"/>
      <c r="AW86" s="92"/>
      <c r="AX86" s="89"/>
      <c r="AY86" s="89"/>
    </row>
    <row r="87" spans="1:51" ht="13">
      <c r="A87" s="157" t="s">
        <v>328</v>
      </c>
      <c r="B87" s="158">
        <v>2015</v>
      </c>
      <c r="C87" s="158">
        <v>2016</v>
      </c>
      <c r="D87" s="158">
        <v>2017</v>
      </c>
      <c r="E87" s="158">
        <v>2018</v>
      </c>
      <c r="F87" s="158">
        <v>2019</v>
      </c>
      <c r="G87" s="158">
        <v>2020</v>
      </c>
      <c r="H87" s="158">
        <v>2021</v>
      </c>
      <c r="I87" s="158">
        <v>2022</v>
      </c>
      <c r="J87" s="158">
        <v>2023</v>
      </c>
      <c r="K87" s="158">
        <v>2024</v>
      </c>
      <c r="L87" s="158">
        <v>2025</v>
      </c>
      <c r="M87" s="89"/>
      <c r="N87" s="158" t="s">
        <v>264</v>
      </c>
      <c r="O87" s="158" t="s">
        <v>265</v>
      </c>
      <c r="P87" s="158" t="s">
        <v>266</v>
      </c>
      <c r="Q87" s="159" t="s">
        <v>267</v>
      </c>
      <c r="R87" s="158" t="s">
        <v>128</v>
      </c>
      <c r="S87" s="158" t="s">
        <v>129</v>
      </c>
      <c r="T87" s="158" t="s">
        <v>130</v>
      </c>
      <c r="U87" s="159" t="s">
        <v>131</v>
      </c>
      <c r="V87" s="158" t="s">
        <v>132</v>
      </c>
      <c r="W87" s="158" t="s">
        <v>133</v>
      </c>
      <c r="X87" s="158" t="s">
        <v>134</v>
      </c>
      <c r="Y87" s="159" t="s">
        <v>135</v>
      </c>
      <c r="Z87" s="158" t="s">
        <v>136</v>
      </c>
      <c r="AA87" s="158" t="s">
        <v>137</v>
      </c>
      <c r="AB87" s="158" t="s">
        <v>138</v>
      </c>
      <c r="AC87" s="159" t="s">
        <v>139</v>
      </c>
      <c r="AD87" s="158" t="s">
        <v>140</v>
      </c>
      <c r="AE87" s="158" t="s">
        <v>141</v>
      </c>
      <c r="AF87" s="158" t="s">
        <v>142</v>
      </c>
      <c r="AG87" s="159" t="s">
        <v>143</v>
      </c>
      <c r="AH87" s="158" t="s">
        <v>144</v>
      </c>
      <c r="AI87" s="158" t="s">
        <v>145</v>
      </c>
      <c r="AJ87" s="158" t="s">
        <v>146</v>
      </c>
      <c r="AK87" s="159" t="s">
        <v>147</v>
      </c>
      <c r="AL87" s="158" t="s">
        <v>148</v>
      </c>
      <c r="AM87" s="158" t="s">
        <v>149</v>
      </c>
      <c r="AN87" s="158" t="s">
        <v>150</v>
      </c>
      <c r="AO87" s="159" t="s">
        <v>151</v>
      </c>
      <c r="AP87" s="158" t="s">
        <v>152</v>
      </c>
      <c r="AQ87" s="158" t="s">
        <v>153</v>
      </c>
      <c r="AR87" s="158" t="s">
        <v>154</v>
      </c>
      <c r="AS87" s="159" t="s">
        <v>155</v>
      </c>
      <c r="AT87" s="158" t="s">
        <v>156</v>
      </c>
      <c r="AU87" s="158" t="s">
        <v>157</v>
      </c>
      <c r="AV87" s="158" t="s">
        <v>158</v>
      </c>
      <c r="AW87" s="159" t="s">
        <v>820</v>
      </c>
      <c r="AX87" s="158" t="s">
        <v>1275</v>
      </c>
      <c r="AY87" s="158" t="s">
        <v>1344</v>
      </c>
    </row>
    <row r="88" spans="1:51" ht="13">
      <c r="A88" s="126" t="s">
        <v>329</v>
      </c>
      <c r="B88" s="225">
        <v>0.3</v>
      </c>
      <c r="C88" s="225">
        <v>0.28999999999999998</v>
      </c>
      <c r="D88" s="225">
        <v>0.33</v>
      </c>
      <c r="E88" s="226">
        <v>0.37</v>
      </c>
      <c r="F88" s="226">
        <v>0.34</v>
      </c>
      <c r="G88" s="226">
        <v>0.32064963924172174</v>
      </c>
      <c r="H88" s="226">
        <f>H90/(H90+H91)</f>
        <v>0.30858950031625554</v>
      </c>
      <c r="I88" s="227">
        <f>I90/(I90+I91)</f>
        <v>0.33075839871253271</v>
      </c>
      <c r="J88" s="233">
        <f>J90/(J90+J91)</f>
        <v>0.33873832008364729</v>
      </c>
      <c r="K88" s="225">
        <f>K90/(K90+K91)</f>
        <v>0.34185102432577019</v>
      </c>
      <c r="L88" s="225">
        <f>L90/(L90+L91)</f>
        <v>0.34290652409181216</v>
      </c>
      <c r="M88" s="89"/>
      <c r="N88" s="226">
        <v>0.3</v>
      </c>
      <c r="O88" s="226">
        <v>0.32</v>
      </c>
      <c r="P88" s="226">
        <v>0.32</v>
      </c>
      <c r="Q88" s="228">
        <v>0.38</v>
      </c>
      <c r="R88" s="226">
        <v>0.33</v>
      </c>
      <c r="S88" s="226">
        <v>0.37</v>
      </c>
      <c r="T88" s="226">
        <v>0.37</v>
      </c>
      <c r="U88" s="228">
        <v>0.41</v>
      </c>
      <c r="V88" s="226">
        <v>0.34392486011191048</v>
      </c>
      <c r="W88" s="226">
        <v>0.34085499381129203</v>
      </c>
      <c r="X88" s="226">
        <v>0.32</v>
      </c>
      <c r="Y88" s="228">
        <v>0.36</v>
      </c>
      <c r="Z88" s="226">
        <v>0.28000000000000003</v>
      </c>
      <c r="AA88" s="226">
        <v>0.33</v>
      </c>
      <c r="AB88" s="226">
        <v>0.31</v>
      </c>
      <c r="AC88" s="228">
        <v>0.35</v>
      </c>
      <c r="AD88" s="226">
        <v>0.28999999999999998</v>
      </c>
      <c r="AE88" s="226">
        <v>0.31</v>
      </c>
      <c r="AF88" s="226">
        <v>0.28000000000000003</v>
      </c>
      <c r="AG88" s="228">
        <v>0.33930009845162445</v>
      </c>
      <c r="AH88" s="227">
        <f>AH90/(AH90+AH91)+0.01</f>
        <v>0.34405581143321595</v>
      </c>
      <c r="AI88" s="227">
        <f>AI90/(AI90+AI91)</f>
        <v>0.29947696979922389</v>
      </c>
      <c r="AJ88" s="227">
        <f>AJ90/(AJ90+AJ91)</f>
        <v>0.32509193333854941</v>
      </c>
      <c r="AK88" s="229">
        <f>AK90/(AK90+AK91)</f>
        <v>0.35973432366804742</v>
      </c>
      <c r="AL88" s="233">
        <f>+AL19/AL23</f>
        <v>0.29708681857513702</v>
      </c>
      <c r="AM88" s="233">
        <f>+AM19/AM23</f>
        <v>0.34500314267756127</v>
      </c>
      <c r="AN88" s="233">
        <f>+AN19/AN23</f>
        <v>0.32473161298926451</v>
      </c>
      <c r="AO88" s="234">
        <f>+AO19/AO23</f>
        <v>0.38095709146968137</v>
      </c>
      <c r="AP88" s="235">
        <v>0.33288552640882413</v>
      </c>
      <c r="AQ88" s="226">
        <v>0.33593764596842107</v>
      </c>
      <c r="AR88" s="226">
        <v>0.32991486893530797</v>
      </c>
      <c r="AS88" s="236">
        <v>0.37</v>
      </c>
      <c r="AT88" s="235">
        <v>0.33</v>
      </c>
      <c r="AU88" s="226">
        <v>0.33126239259748841</v>
      </c>
      <c r="AV88" s="226">
        <v>0.34280278178716705</v>
      </c>
      <c r="AW88" s="236">
        <v>0.3679925419515227</v>
      </c>
      <c r="AX88" s="235">
        <v>0.31440317747892133</v>
      </c>
      <c r="AY88" s="226">
        <v>0.36</v>
      </c>
    </row>
    <row r="89" spans="1:51" ht="13">
      <c r="A89" s="126" t="s">
        <v>330</v>
      </c>
      <c r="B89" s="225">
        <v>0.7</v>
      </c>
      <c r="C89" s="225">
        <v>0.71</v>
      </c>
      <c r="D89" s="225">
        <v>0.67</v>
      </c>
      <c r="E89" s="226">
        <v>0.63</v>
      </c>
      <c r="F89" s="226">
        <v>0.66</v>
      </c>
      <c r="G89" s="226">
        <v>0.67935036075827826</v>
      </c>
      <c r="H89" s="226">
        <f>H91/(H90+H91)</f>
        <v>0.69141049968374446</v>
      </c>
      <c r="I89" s="227">
        <f>I91/(I90+I91)</f>
        <v>0.66924160128746735</v>
      </c>
      <c r="J89" s="233">
        <f>J91/(J90+J91)</f>
        <v>0.66126167991635276</v>
      </c>
      <c r="K89" s="225">
        <f>K91/(K90+K91)</f>
        <v>0.65814897567422981</v>
      </c>
      <c r="L89" s="225">
        <f>L91/(L90+L91)</f>
        <v>0.65709347590818779</v>
      </c>
      <c r="M89" s="89"/>
      <c r="N89" s="226">
        <v>0.7</v>
      </c>
      <c r="O89" s="226">
        <v>0.68</v>
      </c>
      <c r="P89" s="226">
        <v>0.68</v>
      </c>
      <c r="Q89" s="228">
        <v>0.62</v>
      </c>
      <c r="R89" s="226">
        <v>0.67</v>
      </c>
      <c r="S89" s="226">
        <v>0.63</v>
      </c>
      <c r="T89" s="226">
        <v>0.63</v>
      </c>
      <c r="U89" s="228">
        <v>0.59</v>
      </c>
      <c r="V89" s="226">
        <v>0.65607513988808952</v>
      </c>
      <c r="W89" s="226">
        <v>0.65914500618870797</v>
      </c>
      <c r="X89" s="226">
        <v>0.68</v>
      </c>
      <c r="Y89" s="228">
        <v>0.64</v>
      </c>
      <c r="Z89" s="226">
        <v>0.72</v>
      </c>
      <c r="AA89" s="226">
        <v>0.67269717393874895</v>
      </c>
      <c r="AB89" s="226">
        <v>0.69</v>
      </c>
      <c r="AC89" s="228">
        <v>0.65</v>
      </c>
      <c r="AD89" s="226">
        <v>0.71</v>
      </c>
      <c r="AE89" s="226">
        <v>0.69</v>
      </c>
      <c r="AF89" s="226">
        <v>0.72</v>
      </c>
      <c r="AG89" s="228">
        <v>0.65810435872191886</v>
      </c>
      <c r="AH89" s="227">
        <v>0.66</v>
      </c>
      <c r="AI89" s="227">
        <f>AI91/(AI90+AI91)</f>
        <v>0.70052303020077611</v>
      </c>
      <c r="AJ89" s="227">
        <f>AJ91/(AJ90+AJ91)</f>
        <v>0.67490806666145065</v>
      </c>
      <c r="AK89" s="231">
        <f>AK91/(AK90+AK91)</f>
        <v>0.64026567633195253</v>
      </c>
      <c r="AL89" s="233">
        <f>AL91/AL23</f>
        <v>0.70219209691375828</v>
      </c>
      <c r="AM89" s="233">
        <v>0.65</v>
      </c>
      <c r="AN89" s="233">
        <v>0.68</v>
      </c>
      <c r="AO89" s="234">
        <f>AO91/AO23</f>
        <v>0.61743705035971219</v>
      </c>
      <c r="AP89" s="226">
        <v>0.66838718800820196</v>
      </c>
      <c r="AQ89" s="226">
        <v>0.66382009129764397</v>
      </c>
      <c r="AR89" s="226">
        <v>0.66919335451841522</v>
      </c>
      <c r="AS89" s="236">
        <f>AS91/AS23</f>
        <v>0.63236913802098427</v>
      </c>
      <c r="AT89" s="226">
        <v>0.67</v>
      </c>
      <c r="AU89" s="226">
        <v>0.66682088565763387</v>
      </c>
      <c r="AV89" s="226">
        <v>0.65555701351528672</v>
      </c>
      <c r="AW89" s="236">
        <v>0.63126165320074579</v>
      </c>
      <c r="AX89" s="226">
        <v>0.69483032541286327</v>
      </c>
      <c r="AY89" s="226">
        <v>0.64</v>
      </c>
    </row>
    <row r="90" spans="1:51" ht="13">
      <c r="A90" s="126" t="s">
        <v>331</v>
      </c>
      <c r="B90" s="162">
        <v>8510</v>
      </c>
      <c r="C90" s="162">
        <v>7710</v>
      </c>
      <c r="D90" s="127">
        <v>10276</v>
      </c>
      <c r="E90" s="127">
        <v>14238</v>
      </c>
      <c r="F90" s="127">
        <v>13862</v>
      </c>
      <c r="G90" s="127">
        <v>11382</v>
      </c>
      <c r="H90" s="127">
        <f>H19</f>
        <v>12197</v>
      </c>
      <c r="I90" s="128">
        <f>I19</f>
        <v>16442</v>
      </c>
      <c r="J90" s="237">
        <f>J19</f>
        <v>20410</v>
      </c>
      <c r="K90" s="162">
        <f>K19</f>
        <v>21726</v>
      </c>
      <c r="L90" s="162">
        <f>L19</f>
        <v>21229</v>
      </c>
      <c r="M90" s="89"/>
      <c r="N90" s="127">
        <v>2219</v>
      </c>
      <c r="O90" s="127">
        <v>2469</v>
      </c>
      <c r="P90" s="127">
        <v>2414</v>
      </c>
      <c r="Q90" s="129">
        <v>3174</v>
      </c>
      <c r="R90" s="127">
        <v>2678</v>
      </c>
      <c r="S90" s="127">
        <v>3640</v>
      </c>
      <c r="T90" s="127">
        <v>3570</v>
      </c>
      <c r="U90" s="129">
        <v>4350</v>
      </c>
      <c r="V90" s="127">
        <v>3313</v>
      </c>
      <c r="W90" s="127">
        <v>3638</v>
      </c>
      <c r="X90" s="127">
        <v>3198</v>
      </c>
      <c r="Y90" s="129">
        <v>3713</v>
      </c>
      <c r="Z90" s="127">
        <v>2519</v>
      </c>
      <c r="AA90" s="127">
        <v>2768</v>
      </c>
      <c r="AB90" s="127">
        <v>2688</v>
      </c>
      <c r="AC90" s="129">
        <v>3407</v>
      </c>
      <c r="AD90" s="127">
        <v>2562</v>
      </c>
      <c r="AE90" s="162">
        <v>3052</v>
      </c>
      <c r="AF90" s="162">
        <v>2792</v>
      </c>
      <c r="AG90" s="129">
        <v>3791</v>
      </c>
      <c r="AH90" s="128">
        <f>AH19</f>
        <v>3699</v>
      </c>
      <c r="AI90" s="128">
        <f>AI19</f>
        <v>3550</v>
      </c>
      <c r="AJ90" s="128">
        <f>AJ19</f>
        <v>4155</v>
      </c>
      <c r="AK90" s="130">
        <f>AK19</f>
        <v>5037</v>
      </c>
      <c r="AL90" s="237">
        <f>+AL19</f>
        <v>4120</v>
      </c>
      <c r="AM90" s="237">
        <f>+AM19</f>
        <v>5489</v>
      </c>
      <c r="AN90" s="237">
        <f>+AN19</f>
        <v>4870</v>
      </c>
      <c r="AO90" s="238">
        <f>+AO19</f>
        <v>5930.74</v>
      </c>
      <c r="AP90" s="127">
        <v>4708</v>
      </c>
      <c r="AQ90" s="162">
        <v>5546.6664725846003</v>
      </c>
      <c r="AR90" s="162">
        <v>5178</v>
      </c>
      <c r="AS90" s="170">
        <f>+AS19</f>
        <v>6293</v>
      </c>
      <c r="AT90" s="127">
        <v>5072</v>
      </c>
      <c r="AU90" s="162">
        <v>5012</v>
      </c>
      <c r="AV90" s="162">
        <v>5225</v>
      </c>
      <c r="AW90" s="170">
        <v>5920</v>
      </c>
      <c r="AX90" s="127">
        <v>4512</v>
      </c>
      <c r="AY90" s="162">
        <v>5938</v>
      </c>
    </row>
    <row r="91" spans="1:51" ht="13">
      <c r="A91" s="89" t="s">
        <v>332</v>
      </c>
      <c r="B91" s="239">
        <v>19895</v>
      </c>
      <c r="C91" s="239">
        <v>19113</v>
      </c>
      <c r="D91" s="116">
        <v>20844.760383407502</v>
      </c>
      <c r="E91" s="116">
        <v>23821</v>
      </c>
      <c r="F91" s="116">
        <v>26829</v>
      </c>
      <c r="G91" s="116">
        <v>24569</v>
      </c>
      <c r="H91" s="116">
        <f>H20+H21</f>
        <v>27328</v>
      </c>
      <c r="I91" s="240">
        <f>I21+I20</f>
        <v>33268</v>
      </c>
      <c r="J91" s="241">
        <f>J20+J21</f>
        <v>39843</v>
      </c>
      <c r="K91" s="239">
        <f>K20+K21</f>
        <v>41828</v>
      </c>
      <c r="L91" s="239">
        <f>L20+L21</f>
        <v>40680</v>
      </c>
      <c r="M91" s="89"/>
      <c r="N91" s="116">
        <v>5161.7719271698006</v>
      </c>
      <c r="O91" s="116">
        <v>5323</v>
      </c>
      <c r="P91" s="116">
        <v>5133</v>
      </c>
      <c r="Q91" s="242">
        <v>5227.1511000085002</v>
      </c>
      <c r="R91" s="116">
        <v>5510</v>
      </c>
      <c r="S91" s="116">
        <v>6137</v>
      </c>
      <c r="T91" s="116">
        <v>5990</v>
      </c>
      <c r="U91" s="242">
        <v>6184.3818536147</v>
      </c>
      <c r="V91" s="116">
        <v>6407</v>
      </c>
      <c r="W91" s="116">
        <v>6990</v>
      </c>
      <c r="X91" s="116">
        <v>6901</v>
      </c>
      <c r="Y91" s="242">
        <v>6531</v>
      </c>
      <c r="Z91" s="116">
        <v>6565</v>
      </c>
      <c r="AA91" s="116">
        <v>5689</v>
      </c>
      <c r="AB91" s="116">
        <v>5979</v>
      </c>
      <c r="AC91" s="242">
        <v>6336</v>
      </c>
      <c r="AD91" s="116">
        <v>6174</v>
      </c>
      <c r="AE91" s="116">
        <v>6652</v>
      </c>
      <c r="AF91" s="116">
        <v>7149</v>
      </c>
      <c r="AG91" s="242">
        <v>7353</v>
      </c>
      <c r="AH91" s="240">
        <f>AH21+AH20</f>
        <v>7374</v>
      </c>
      <c r="AI91" s="240">
        <f>AI21+AI20</f>
        <v>8304</v>
      </c>
      <c r="AJ91" s="240">
        <f>AJ21+AJ20</f>
        <v>8626</v>
      </c>
      <c r="AK91" s="243">
        <f>AK21+AK20</f>
        <v>8965</v>
      </c>
      <c r="AL91" s="241">
        <f t="shared" ref="AL91:AT91" si="9">+AL20+AL21</f>
        <v>9738</v>
      </c>
      <c r="AM91" s="241">
        <f t="shared" si="9"/>
        <v>10439</v>
      </c>
      <c r="AN91" s="241">
        <f t="shared" si="9"/>
        <v>10054</v>
      </c>
      <c r="AO91" s="244">
        <f t="shared" si="9"/>
        <v>9612.26</v>
      </c>
      <c r="AP91" s="239">
        <f t="shared" si="9"/>
        <v>9453</v>
      </c>
      <c r="AQ91" s="239">
        <f t="shared" si="9"/>
        <v>10960.3335274154</v>
      </c>
      <c r="AR91" s="239">
        <f t="shared" si="9"/>
        <v>10505.6664725846</v>
      </c>
      <c r="AS91" s="245">
        <f t="shared" si="9"/>
        <v>10909</v>
      </c>
      <c r="AT91" s="239">
        <f t="shared" si="9"/>
        <v>10443</v>
      </c>
      <c r="AU91" s="239">
        <v>10088</v>
      </c>
      <c r="AV91" s="239">
        <v>9992</v>
      </c>
      <c r="AW91" s="245">
        <v>10157</v>
      </c>
      <c r="AX91" s="239">
        <v>9828</v>
      </c>
      <c r="AY91" s="239">
        <v>10755</v>
      </c>
    </row>
    <row r="92" spans="1:51" ht="13">
      <c r="A92" s="89"/>
      <c r="B92" s="89"/>
      <c r="C92" s="89"/>
      <c r="D92" s="89"/>
      <c r="E92" s="89"/>
      <c r="F92" s="89"/>
      <c r="G92" s="89"/>
      <c r="H92" s="246"/>
      <c r="I92" s="246"/>
      <c r="J92" s="246"/>
      <c r="K92" s="89"/>
      <c r="L92" s="89"/>
      <c r="M92" s="89"/>
      <c r="N92" s="89"/>
      <c r="O92" s="89"/>
      <c r="P92" s="89"/>
      <c r="Q92" s="92"/>
      <c r="R92" s="89"/>
      <c r="S92" s="89"/>
      <c r="T92" s="89"/>
      <c r="U92" s="92"/>
      <c r="V92" s="89"/>
      <c r="W92" s="89"/>
      <c r="X92" s="89"/>
      <c r="Y92" s="92"/>
      <c r="Z92" s="89"/>
      <c r="AA92" s="89"/>
      <c r="AB92" s="89"/>
      <c r="AC92" s="92"/>
      <c r="AD92" s="89"/>
      <c r="AE92" s="89"/>
      <c r="AF92" s="89"/>
      <c r="AG92" s="92"/>
      <c r="AH92" s="89"/>
      <c r="AI92" s="89"/>
      <c r="AJ92" s="89"/>
      <c r="AK92" s="92"/>
      <c r="AL92" s="116"/>
      <c r="AM92" s="116"/>
      <c r="AN92" s="116"/>
      <c r="AO92" s="242"/>
      <c r="AP92" s="116"/>
      <c r="AQ92" s="89"/>
      <c r="AR92" s="89"/>
      <c r="AS92" s="242"/>
      <c r="AT92" s="116"/>
      <c r="AU92" s="89"/>
      <c r="AV92" s="89"/>
      <c r="AW92" s="242"/>
      <c r="AX92" s="116"/>
      <c r="AY92" s="89"/>
    </row>
    <row r="93" spans="1:51" ht="13">
      <c r="A93" s="157" t="s">
        <v>333</v>
      </c>
      <c r="B93" s="158">
        <f t="shared" ref="B93:I93" si="10">B87</f>
        <v>2015</v>
      </c>
      <c r="C93" s="158">
        <f t="shared" si="10"/>
        <v>2016</v>
      </c>
      <c r="D93" s="158">
        <f t="shared" si="10"/>
        <v>2017</v>
      </c>
      <c r="E93" s="158">
        <f t="shared" si="10"/>
        <v>2018</v>
      </c>
      <c r="F93" s="158">
        <f t="shared" si="10"/>
        <v>2019</v>
      </c>
      <c r="G93" s="158">
        <f t="shared" si="10"/>
        <v>2020</v>
      </c>
      <c r="H93" s="158">
        <f t="shared" si="10"/>
        <v>2021</v>
      </c>
      <c r="I93" s="158">
        <f t="shared" si="10"/>
        <v>2022</v>
      </c>
      <c r="J93" s="158">
        <v>2023</v>
      </c>
      <c r="K93" s="158">
        <v>2024</v>
      </c>
      <c r="L93" s="158">
        <v>2025</v>
      </c>
      <c r="M93" s="89"/>
      <c r="N93" s="158" t="str">
        <f t="shared" ref="N93:AN93" si="11">N87</f>
        <v>Q117</v>
      </c>
      <c r="O93" s="158" t="str">
        <f t="shared" si="11"/>
        <v>Q217</v>
      </c>
      <c r="P93" s="158" t="str">
        <f t="shared" si="11"/>
        <v>Q317</v>
      </c>
      <c r="Q93" s="159" t="str">
        <f t="shared" si="11"/>
        <v>Q417</v>
      </c>
      <c r="R93" s="158" t="str">
        <f t="shared" si="11"/>
        <v>Q118</v>
      </c>
      <c r="S93" s="158" t="str">
        <f t="shared" si="11"/>
        <v>Q218</v>
      </c>
      <c r="T93" s="158" t="str">
        <f t="shared" si="11"/>
        <v>Q318</v>
      </c>
      <c r="U93" s="159" t="str">
        <f t="shared" si="11"/>
        <v>Q418</v>
      </c>
      <c r="V93" s="158" t="str">
        <f t="shared" si="11"/>
        <v>Q119</v>
      </c>
      <c r="W93" s="158" t="str">
        <f t="shared" si="11"/>
        <v>Q219</v>
      </c>
      <c r="X93" s="158" t="str">
        <f t="shared" si="11"/>
        <v>Q319</v>
      </c>
      <c r="Y93" s="159" t="str">
        <f t="shared" si="11"/>
        <v>Q419</v>
      </c>
      <c r="Z93" s="158" t="str">
        <f t="shared" si="11"/>
        <v>Q120</v>
      </c>
      <c r="AA93" s="158" t="str">
        <f t="shared" si="11"/>
        <v>Q220</v>
      </c>
      <c r="AB93" s="158" t="str">
        <f t="shared" si="11"/>
        <v>Q320</v>
      </c>
      <c r="AC93" s="159" t="str">
        <f t="shared" si="11"/>
        <v>Q420</v>
      </c>
      <c r="AD93" s="158" t="str">
        <f t="shared" si="11"/>
        <v>Q121</v>
      </c>
      <c r="AE93" s="158" t="str">
        <f t="shared" si="11"/>
        <v>Q221</v>
      </c>
      <c r="AF93" s="158" t="str">
        <f t="shared" si="11"/>
        <v>Q321</v>
      </c>
      <c r="AG93" s="159" t="str">
        <f t="shared" si="11"/>
        <v>Q421</v>
      </c>
      <c r="AH93" s="158" t="str">
        <f t="shared" si="11"/>
        <v>Q122</v>
      </c>
      <c r="AI93" s="158" t="str">
        <f t="shared" si="11"/>
        <v>Q222</v>
      </c>
      <c r="AJ93" s="158" t="str">
        <f t="shared" si="11"/>
        <v>Q322</v>
      </c>
      <c r="AK93" s="159" t="str">
        <f t="shared" si="11"/>
        <v>Q422</v>
      </c>
      <c r="AL93" s="158" t="str">
        <f t="shared" si="11"/>
        <v>Q123</v>
      </c>
      <c r="AM93" s="158" t="str">
        <f t="shared" si="11"/>
        <v>Q223</v>
      </c>
      <c r="AN93" s="158" t="str">
        <f t="shared" si="11"/>
        <v>Q323</v>
      </c>
      <c r="AO93" s="159" t="s">
        <v>151</v>
      </c>
      <c r="AP93" s="158" t="s">
        <v>152</v>
      </c>
      <c r="AQ93" s="158" t="s">
        <v>153</v>
      </c>
      <c r="AR93" s="158" t="s">
        <v>154</v>
      </c>
      <c r="AS93" s="159" t="s">
        <v>155</v>
      </c>
      <c r="AT93" s="158" t="s">
        <v>156</v>
      </c>
      <c r="AU93" s="158" t="s">
        <v>157</v>
      </c>
      <c r="AV93" s="158" t="s">
        <v>158</v>
      </c>
      <c r="AW93" s="159" t="s">
        <v>820</v>
      </c>
      <c r="AX93" s="158" t="s">
        <v>1275</v>
      </c>
      <c r="AY93" s="158" t="s">
        <v>1344</v>
      </c>
    </row>
    <row r="94" spans="1:51" ht="13">
      <c r="A94" s="89" t="s">
        <v>334</v>
      </c>
      <c r="B94" s="149">
        <f t="shared" ref="B94:L94" si="12">B19/SUM(B19:B21)</f>
        <v>0.29959514170040485</v>
      </c>
      <c r="C94" s="149">
        <f t="shared" si="12"/>
        <v>0.28743988368191475</v>
      </c>
      <c r="D94" s="149">
        <f t="shared" si="12"/>
        <v>0.33019758750749556</v>
      </c>
      <c r="E94" s="149">
        <f t="shared" si="12"/>
        <v>0.3741033658267427</v>
      </c>
      <c r="F94" s="149">
        <f t="shared" si="12"/>
        <v>0.34066501191909759</v>
      </c>
      <c r="G94" s="149">
        <f t="shared" si="12"/>
        <v>0.31659759116575337</v>
      </c>
      <c r="H94" s="149">
        <f t="shared" si="12"/>
        <v>0.30858950031625554</v>
      </c>
      <c r="I94" s="149">
        <f t="shared" si="12"/>
        <v>0.33075839871253271</v>
      </c>
      <c r="J94" s="149">
        <f t="shared" si="12"/>
        <v>0.33873832008364729</v>
      </c>
      <c r="K94" s="149">
        <f t="shared" si="12"/>
        <v>0.34185102432577019</v>
      </c>
      <c r="L94" s="149">
        <f t="shared" si="12"/>
        <v>0.34290652409181216</v>
      </c>
      <c r="M94" s="247"/>
      <c r="N94" s="149">
        <f t="shared" ref="N94:AU94" si="13">N19/SUM(N19:N21)</f>
        <v>0.30064606004576655</v>
      </c>
      <c r="O94" s="149">
        <f t="shared" si="13"/>
        <v>0.31686344969199176</v>
      </c>
      <c r="P94" s="149">
        <f t="shared" si="13"/>
        <v>0.31986219689943024</v>
      </c>
      <c r="Q94" s="228">
        <f t="shared" si="13"/>
        <v>0.37780537002801773</v>
      </c>
      <c r="R94" s="149">
        <f t="shared" si="13"/>
        <v>0.32706399609184172</v>
      </c>
      <c r="S94" s="149">
        <f t="shared" si="13"/>
        <v>0.37230234223176845</v>
      </c>
      <c r="T94" s="149">
        <f t="shared" si="13"/>
        <v>0.37343096234309625</v>
      </c>
      <c r="U94" s="228">
        <f t="shared" si="13"/>
        <v>0.41293357887035098</v>
      </c>
      <c r="V94" s="149">
        <f t="shared" si="13"/>
        <v>0.34084362139917695</v>
      </c>
      <c r="W94" s="149">
        <f t="shared" si="13"/>
        <v>0.3423033496424539</v>
      </c>
      <c r="X94" s="149">
        <f t="shared" si="13"/>
        <v>0.31666501633825134</v>
      </c>
      <c r="Y94" s="228">
        <f t="shared" si="13"/>
        <v>0.36245607184693479</v>
      </c>
      <c r="Z94" s="149">
        <f t="shared" si="13"/>
        <v>0.27730074856891235</v>
      </c>
      <c r="AA94" s="149">
        <f t="shared" si="13"/>
        <v>0.32730282606125105</v>
      </c>
      <c r="AB94" s="149">
        <f t="shared" si="13"/>
        <v>0.31014191761855314</v>
      </c>
      <c r="AC94" s="228">
        <f t="shared" si="13"/>
        <v>0.34975369458128081</v>
      </c>
      <c r="AD94" s="149">
        <f t="shared" si="13"/>
        <v>0.29326923076923078</v>
      </c>
      <c r="AE94" s="149">
        <f t="shared" si="13"/>
        <v>0.31450948062654577</v>
      </c>
      <c r="AF94" s="149">
        <f t="shared" si="13"/>
        <v>0.28085705663414146</v>
      </c>
      <c r="AG94" s="228">
        <f t="shared" si="13"/>
        <v>0.34018305814788224</v>
      </c>
      <c r="AH94" s="149">
        <f t="shared" si="13"/>
        <v>0.33405581143321594</v>
      </c>
      <c r="AI94" s="149">
        <f t="shared" si="13"/>
        <v>0.29947696979922389</v>
      </c>
      <c r="AJ94" s="149">
        <f t="shared" si="13"/>
        <v>0.32509193333854941</v>
      </c>
      <c r="AK94" s="228">
        <f t="shared" si="13"/>
        <v>0.35973432366804742</v>
      </c>
      <c r="AL94" s="149">
        <f t="shared" si="13"/>
        <v>0.29730119786404963</v>
      </c>
      <c r="AM94" s="149">
        <f t="shared" si="13"/>
        <v>0.34461325966850831</v>
      </c>
      <c r="AN94" s="149">
        <f t="shared" si="13"/>
        <v>0.32632002144197264</v>
      </c>
      <c r="AO94" s="228">
        <f t="shared" si="13"/>
        <v>0.38156983851251364</v>
      </c>
      <c r="AP94" s="149">
        <f t="shared" si="13"/>
        <v>0.33246239672339523</v>
      </c>
      <c r="AQ94" s="149">
        <f t="shared" si="13"/>
        <v>0.33601905086233719</v>
      </c>
      <c r="AR94" s="149">
        <f t="shared" si="13"/>
        <v>0.33016663653502931</v>
      </c>
      <c r="AS94" s="228">
        <f t="shared" si="13"/>
        <v>0.36582955470294154</v>
      </c>
      <c r="AT94" s="149">
        <f t="shared" si="13"/>
        <v>0.32690944247502418</v>
      </c>
      <c r="AU94" s="149">
        <f t="shared" si="13"/>
        <v>0.33192052980132453</v>
      </c>
      <c r="AV94" s="149">
        <f t="shared" ref="AV94" si="14">AV19/SUM(AV19:AV21)</f>
        <v>0.34336597226785831</v>
      </c>
      <c r="AW94" s="228">
        <v>0.36822790321577409</v>
      </c>
      <c r="AX94" s="149">
        <v>0.31464435146443515</v>
      </c>
      <c r="AY94" s="149">
        <v>0.36</v>
      </c>
    </row>
    <row r="95" spans="1:51" ht="13">
      <c r="A95" s="89" t="s">
        <v>335</v>
      </c>
      <c r="B95" s="149">
        <f t="shared" ref="B95:L95" si="15">B20/SUM(B19:B21)</f>
        <v>0.41566625594085549</v>
      </c>
      <c r="C95" s="149">
        <f t="shared" si="15"/>
        <v>0.41710472355814038</v>
      </c>
      <c r="D95" s="149">
        <f t="shared" si="15"/>
        <v>0.38902521128186834</v>
      </c>
      <c r="E95" s="149">
        <f t="shared" si="15"/>
        <v>0.3757849654483828</v>
      </c>
      <c r="F95" s="149">
        <f t="shared" si="15"/>
        <v>0.39394460691553412</v>
      </c>
      <c r="G95" s="149">
        <f t="shared" si="15"/>
        <v>0.43239409195849909</v>
      </c>
      <c r="H95" s="149">
        <f t="shared" si="15"/>
        <v>0.43321948134092347</v>
      </c>
      <c r="I95" s="149">
        <f t="shared" si="15"/>
        <v>0.45186079259706297</v>
      </c>
      <c r="J95" s="149">
        <f t="shared" si="15"/>
        <v>0.45010206960649263</v>
      </c>
      <c r="K95" s="149">
        <f t="shared" si="15"/>
        <v>0.42779368725807976</v>
      </c>
      <c r="L95" s="149">
        <f t="shared" si="15"/>
        <v>0.41822675216850541</v>
      </c>
      <c r="M95" s="89"/>
      <c r="N95" s="149">
        <f t="shared" ref="N95:AU95" si="16">N20/SUM(N19:N21)</f>
        <v>0.40656613654778834</v>
      </c>
      <c r="O95" s="149">
        <f t="shared" si="16"/>
        <v>0.388347022587269</v>
      </c>
      <c r="P95" s="149">
        <f t="shared" si="16"/>
        <v>0.39644892010070226</v>
      </c>
      <c r="Q95" s="228">
        <f t="shared" si="16"/>
        <v>0.36758666321397021</v>
      </c>
      <c r="R95" s="149">
        <f t="shared" si="16"/>
        <v>0.39875427454811918</v>
      </c>
      <c r="S95" s="149">
        <f t="shared" si="16"/>
        <v>0.37690498107804032</v>
      </c>
      <c r="T95" s="149">
        <f t="shared" si="16"/>
        <v>0.37740585774058577</v>
      </c>
      <c r="U95" s="228">
        <f t="shared" si="16"/>
        <v>0.35544390792421071</v>
      </c>
      <c r="V95" s="149">
        <f t="shared" si="16"/>
        <v>0.39115226337448561</v>
      </c>
      <c r="W95" s="149">
        <f t="shared" si="16"/>
        <v>0.38238614979299962</v>
      </c>
      <c r="X95" s="149">
        <f t="shared" si="16"/>
        <v>0.40954549955441133</v>
      </c>
      <c r="Y95" s="228">
        <f t="shared" si="16"/>
        <v>0.39320577899258102</v>
      </c>
      <c r="Z95" s="149">
        <f t="shared" si="16"/>
        <v>0.4469396741523558</v>
      </c>
      <c r="AA95" s="149">
        <f t="shared" si="16"/>
        <v>0.43206810925860234</v>
      </c>
      <c r="AB95" s="149">
        <f t="shared" si="16"/>
        <v>0.43648321218414676</v>
      </c>
      <c r="AC95" s="228">
        <f t="shared" si="16"/>
        <v>0.4154351395730706</v>
      </c>
      <c r="AD95" s="149">
        <f t="shared" si="16"/>
        <v>0.43830128205128205</v>
      </c>
      <c r="AE95" s="149">
        <f t="shared" si="16"/>
        <v>0.42611294311624071</v>
      </c>
      <c r="AF95" s="149">
        <f t="shared" si="16"/>
        <v>0.44764108238607786</v>
      </c>
      <c r="AG95" s="228">
        <f t="shared" si="16"/>
        <v>0.42255922469490309</v>
      </c>
      <c r="AH95" s="149">
        <f t="shared" si="16"/>
        <v>0.43222252325476385</v>
      </c>
      <c r="AI95" s="149">
        <f t="shared" si="16"/>
        <v>0.46482200101231652</v>
      </c>
      <c r="AJ95" s="149">
        <f t="shared" si="16"/>
        <v>0.46279633831468586</v>
      </c>
      <c r="AK95" s="228">
        <f t="shared" si="16"/>
        <v>0.44650764176546209</v>
      </c>
      <c r="AL95" s="149">
        <f t="shared" si="16"/>
        <v>0.47719728676576706</v>
      </c>
      <c r="AM95" s="149">
        <f t="shared" si="16"/>
        <v>0.44079608237066803</v>
      </c>
      <c r="AN95" s="149">
        <f t="shared" si="16"/>
        <v>0.45959528276601447</v>
      </c>
      <c r="AO95" s="228">
        <f t="shared" si="16"/>
        <v>0.42638229428038349</v>
      </c>
      <c r="AP95" s="149">
        <f t="shared" si="16"/>
        <v>0.45928959819221804</v>
      </c>
      <c r="AQ95" s="149">
        <f t="shared" si="16"/>
        <v>0.42220473298693884</v>
      </c>
      <c r="AR95" s="149">
        <f t="shared" si="16"/>
        <v>0.42697439891511096</v>
      </c>
      <c r="AS95" s="228">
        <f t="shared" si="16"/>
        <v>0.40797581676549238</v>
      </c>
      <c r="AT95" s="149">
        <f t="shared" si="16"/>
        <v>0.42745729938768934</v>
      </c>
      <c r="AU95" s="149">
        <f t="shared" si="16"/>
        <v>0.42536423841059601</v>
      </c>
      <c r="AV95" s="149">
        <f>AV20/SUM(AV19:AV21)</f>
        <v>0.4132220542813958</v>
      </c>
      <c r="AW95" s="228">
        <v>0.40735211793245008</v>
      </c>
      <c r="AX95" s="149">
        <v>0.43682008368200836</v>
      </c>
      <c r="AY95" s="149">
        <v>0.41</v>
      </c>
    </row>
    <row r="96" spans="1:51" ht="13">
      <c r="A96" s="89" t="s">
        <v>336</v>
      </c>
      <c r="B96" s="149">
        <f t="shared" ref="B96:L96" si="17">B21/SUM(B19:B21)</f>
        <v>0.28473860235873966</v>
      </c>
      <c r="C96" s="149">
        <f t="shared" si="17"/>
        <v>0.29545539275994481</v>
      </c>
      <c r="D96" s="149">
        <f t="shared" si="17"/>
        <v>0.2807772012106361</v>
      </c>
      <c r="E96" s="149">
        <f t="shared" si="17"/>
        <v>0.25011166872487456</v>
      </c>
      <c r="F96" s="149">
        <f t="shared" si="17"/>
        <v>0.26539038116536828</v>
      </c>
      <c r="G96" s="149">
        <f t="shared" si="17"/>
        <v>0.25100831687574754</v>
      </c>
      <c r="H96" s="149">
        <f t="shared" si="17"/>
        <v>0.25819101834282099</v>
      </c>
      <c r="I96" s="149">
        <f t="shared" si="17"/>
        <v>0.21738080869040435</v>
      </c>
      <c r="J96" s="149">
        <f t="shared" si="17"/>
        <v>0.21115961030986008</v>
      </c>
      <c r="K96" s="149">
        <f t="shared" si="17"/>
        <v>0.23035528841615005</v>
      </c>
      <c r="L96" s="149">
        <f t="shared" si="17"/>
        <v>0.23886672373968243</v>
      </c>
      <c r="M96" s="89"/>
      <c r="N96" s="149">
        <f t="shared" ref="N96:AU96" si="18">N21/SUM(N19:N21)</f>
        <v>0.29278780340644506</v>
      </c>
      <c r="O96" s="149">
        <f t="shared" si="18"/>
        <v>0.29478952772073924</v>
      </c>
      <c r="P96" s="149">
        <f t="shared" si="18"/>
        <v>0.2836888829998675</v>
      </c>
      <c r="Q96" s="248">
        <f t="shared" si="18"/>
        <v>0.25460796675801195</v>
      </c>
      <c r="R96" s="149">
        <f t="shared" si="18"/>
        <v>0.27418172936003909</v>
      </c>
      <c r="S96" s="149">
        <f t="shared" si="18"/>
        <v>0.25079267669019129</v>
      </c>
      <c r="T96" s="149">
        <f t="shared" si="18"/>
        <v>0.24916317991631798</v>
      </c>
      <c r="U96" s="248">
        <f t="shared" si="18"/>
        <v>0.23162251320543822</v>
      </c>
      <c r="V96" s="149">
        <f t="shared" si="18"/>
        <v>0.26800411522633744</v>
      </c>
      <c r="W96" s="149">
        <f t="shared" si="18"/>
        <v>0.27531050056454648</v>
      </c>
      <c r="X96" s="149">
        <f t="shared" si="18"/>
        <v>0.27378948410733733</v>
      </c>
      <c r="Y96" s="248">
        <f t="shared" si="18"/>
        <v>0.24433814916048419</v>
      </c>
      <c r="Z96" s="149">
        <f t="shared" si="18"/>
        <v>0.27575957727873185</v>
      </c>
      <c r="AA96" s="149">
        <f t="shared" si="18"/>
        <v>0.24062906468014664</v>
      </c>
      <c r="AB96" s="149">
        <f t="shared" si="18"/>
        <v>0.25337487019730009</v>
      </c>
      <c r="AC96" s="248">
        <f t="shared" si="18"/>
        <v>0.2348111658456486</v>
      </c>
      <c r="AD96" s="149">
        <f t="shared" si="18"/>
        <v>0.26842948717948717</v>
      </c>
      <c r="AE96" s="149">
        <f t="shared" si="18"/>
        <v>0.25937757625721353</v>
      </c>
      <c r="AF96" s="149">
        <f t="shared" si="18"/>
        <v>0.27150186097978068</v>
      </c>
      <c r="AG96" s="248">
        <f t="shared" si="18"/>
        <v>0.23725771715721464</v>
      </c>
      <c r="AH96" s="149">
        <f t="shared" si="18"/>
        <v>0.23372166531202024</v>
      </c>
      <c r="AI96" s="149">
        <f t="shared" si="18"/>
        <v>0.23570102918845959</v>
      </c>
      <c r="AJ96" s="149">
        <f t="shared" si="18"/>
        <v>0.21211172834676473</v>
      </c>
      <c r="AK96" s="248">
        <f t="shared" si="18"/>
        <v>0.19375803456649049</v>
      </c>
      <c r="AL96" s="149">
        <f t="shared" si="18"/>
        <v>0.22550151537018329</v>
      </c>
      <c r="AM96" s="149">
        <f t="shared" si="18"/>
        <v>0.21459065796082372</v>
      </c>
      <c r="AN96" s="149">
        <f t="shared" si="18"/>
        <v>0.21408469579201286</v>
      </c>
      <c r="AO96" s="248">
        <f t="shared" si="18"/>
        <v>0.19204786720710287</v>
      </c>
      <c r="AP96" s="149">
        <f t="shared" si="18"/>
        <v>0.20824800508438671</v>
      </c>
      <c r="AQ96" s="149">
        <f t="shared" si="18"/>
        <v>0.24177621615072392</v>
      </c>
      <c r="AR96" s="149">
        <f t="shared" si="18"/>
        <v>0.24285896454985972</v>
      </c>
      <c r="AS96" s="248">
        <f t="shared" si="18"/>
        <v>0.22619462853156611</v>
      </c>
      <c r="AT96" s="149">
        <v>0.24</v>
      </c>
      <c r="AU96" s="149">
        <f t="shared" si="18"/>
        <v>0.24271523178807947</v>
      </c>
      <c r="AV96" s="149">
        <v>0.25</v>
      </c>
      <c r="AW96" s="248">
        <v>0.22441997885177584</v>
      </c>
      <c r="AX96" s="149">
        <v>0.24853556485355649</v>
      </c>
      <c r="AY96" s="149">
        <v>0.23</v>
      </c>
    </row>
    <row r="97" spans="1:51" ht="13">
      <c r="A97" s="89"/>
      <c r="B97" s="89"/>
      <c r="C97" s="89"/>
      <c r="D97" s="89"/>
      <c r="E97" s="89"/>
      <c r="F97" s="89"/>
      <c r="G97" s="89"/>
      <c r="H97" s="246"/>
      <c r="I97" s="246"/>
      <c r="J97" s="246"/>
      <c r="K97" s="89"/>
      <c r="L97" s="89"/>
      <c r="M97" s="89"/>
      <c r="N97" s="89"/>
      <c r="O97" s="89"/>
      <c r="P97" s="89"/>
      <c r="Q97" s="92"/>
      <c r="R97" s="89"/>
      <c r="S97" s="89"/>
      <c r="T97" s="89"/>
      <c r="U97" s="92"/>
      <c r="V97" s="89"/>
      <c r="W97" s="89"/>
      <c r="X97" s="89"/>
      <c r="Y97" s="92"/>
      <c r="Z97" s="89"/>
      <c r="AA97" s="89"/>
      <c r="AB97" s="89"/>
      <c r="AC97" s="92"/>
      <c r="AD97" s="89"/>
      <c r="AE97" s="89"/>
      <c r="AF97" s="89"/>
      <c r="AG97" s="92"/>
      <c r="AH97" s="89"/>
      <c r="AI97" s="89"/>
      <c r="AJ97" s="89"/>
      <c r="AK97" s="92"/>
      <c r="AL97" s="89"/>
      <c r="AM97" s="149"/>
      <c r="AN97" s="149"/>
      <c r="AO97" s="92"/>
      <c r="AP97" s="89"/>
      <c r="AQ97" s="89"/>
      <c r="AR97" s="89"/>
      <c r="AS97" s="92"/>
      <c r="AT97" s="89"/>
      <c r="AU97" s="89"/>
      <c r="AV97" s="89"/>
      <c r="AW97" s="92"/>
      <c r="AX97" s="89"/>
      <c r="AY97" s="89"/>
    </row>
    <row r="98" spans="1:51" ht="13">
      <c r="A98" s="157" t="s">
        <v>337</v>
      </c>
      <c r="B98" s="158">
        <v>2015</v>
      </c>
      <c r="C98" s="158">
        <v>2016</v>
      </c>
      <c r="D98" s="158">
        <v>2017</v>
      </c>
      <c r="E98" s="158">
        <v>2018</v>
      </c>
      <c r="F98" s="158">
        <v>2019</v>
      </c>
      <c r="G98" s="158">
        <v>2020</v>
      </c>
      <c r="H98" s="158">
        <v>2021</v>
      </c>
      <c r="I98" s="158">
        <v>2022</v>
      </c>
      <c r="J98" s="158">
        <v>2023</v>
      </c>
      <c r="K98" s="158">
        <v>2024</v>
      </c>
      <c r="L98" s="158">
        <v>2025</v>
      </c>
      <c r="M98" s="89"/>
      <c r="N98" s="158" t="s">
        <v>264</v>
      </c>
      <c r="O98" s="158" t="s">
        <v>265</v>
      </c>
      <c r="P98" s="158" t="s">
        <v>266</v>
      </c>
      <c r="Q98" s="159" t="s">
        <v>267</v>
      </c>
      <c r="R98" s="158" t="s">
        <v>128</v>
      </c>
      <c r="S98" s="158" t="s">
        <v>129</v>
      </c>
      <c r="T98" s="158" t="s">
        <v>130</v>
      </c>
      <c r="U98" s="159" t="s">
        <v>131</v>
      </c>
      <c r="V98" s="158" t="s">
        <v>132</v>
      </c>
      <c r="W98" s="158" t="s">
        <v>133</v>
      </c>
      <c r="X98" s="158" t="s">
        <v>134</v>
      </c>
      <c r="Y98" s="159" t="s">
        <v>135</v>
      </c>
      <c r="Z98" s="158" t="s">
        <v>136</v>
      </c>
      <c r="AA98" s="158" t="s">
        <v>137</v>
      </c>
      <c r="AB98" s="158" t="s">
        <v>138</v>
      </c>
      <c r="AC98" s="159" t="s">
        <v>139</v>
      </c>
      <c r="AD98" s="158" t="s">
        <v>140</v>
      </c>
      <c r="AE98" s="158" t="s">
        <v>141</v>
      </c>
      <c r="AF98" s="158" t="s">
        <v>142</v>
      </c>
      <c r="AG98" s="159" t="s">
        <v>143</v>
      </c>
      <c r="AH98" s="158" t="s">
        <v>144</v>
      </c>
      <c r="AI98" s="158" t="s">
        <v>145</v>
      </c>
      <c r="AJ98" s="158" t="s">
        <v>146</v>
      </c>
      <c r="AK98" s="159" t="s">
        <v>147</v>
      </c>
      <c r="AL98" s="158" t="s">
        <v>148</v>
      </c>
      <c r="AM98" s="158" t="s">
        <v>149</v>
      </c>
      <c r="AN98" s="158" t="s">
        <v>150</v>
      </c>
      <c r="AO98" s="159" t="s">
        <v>151</v>
      </c>
      <c r="AP98" s="158" t="s">
        <v>152</v>
      </c>
      <c r="AQ98" s="158" t="s">
        <v>153</v>
      </c>
      <c r="AR98" s="158" t="s">
        <v>154</v>
      </c>
      <c r="AS98" s="159" t="s">
        <v>155</v>
      </c>
      <c r="AT98" s="158" t="s">
        <v>156</v>
      </c>
      <c r="AU98" s="158" t="s">
        <v>157</v>
      </c>
      <c r="AV98" s="158" t="s">
        <v>158</v>
      </c>
      <c r="AW98" s="159" t="s">
        <v>820</v>
      </c>
      <c r="AX98" s="158" t="s">
        <v>1275</v>
      </c>
      <c r="AY98" s="158" t="s">
        <v>1344</v>
      </c>
    </row>
    <row r="99" spans="1:51" ht="13">
      <c r="A99" s="89" t="s">
        <v>334</v>
      </c>
      <c r="B99" s="149">
        <f t="shared" ref="B99:L99" si="19">B19/(B19+B20)</f>
        <v>0.41886105232071663</v>
      </c>
      <c r="C99" s="149">
        <f t="shared" si="19"/>
        <v>0.4079796803894592</v>
      </c>
      <c r="D99" s="149">
        <f t="shared" si="19"/>
        <v>0.45910333774638767</v>
      </c>
      <c r="E99" s="149">
        <f t="shared" si="19"/>
        <v>0.49887876664330766</v>
      </c>
      <c r="F99" s="149">
        <f t="shared" si="19"/>
        <v>0.46373611668673892</v>
      </c>
      <c r="G99" s="149">
        <f t="shared" si="19"/>
        <v>0.42269840680358006</v>
      </c>
      <c r="H99" s="149">
        <f t="shared" si="19"/>
        <v>0.41599590723055935</v>
      </c>
      <c r="I99" s="149">
        <f t="shared" si="19"/>
        <v>0.42263006374665846</v>
      </c>
      <c r="J99" s="149">
        <f t="shared" si="19"/>
        <v>0.42941300231432777</v>
      </c>
      <c r="K99" s="149">
        <f t="shared" si="19"/>
        <v>0.44416731406141391</v>
      </c>
      <c r="L99" s="149">
        <f t="shared" si="19"/>
        <v>0.45052099912989962</v>
      </c>
      <c r="M99" s="89"/>
      <c r="N99" s="149">
        <f t="shared" ref="N99:AU99" si="20">N19/(N19+N20)</f>
        <v>0.4251143595852776</v>
      </c>
      <c r="O99" s="149">
        <f t="shared" si="20"/>
        <v>0.44931756141947227</v>
      </c>
      <c r="P99" s="149">
        <f t="shared" si="20"/>
        <v>0.44654088050314467</v>
      </c>
      <c r="Q99" s="228">
        <f t="shared" si="20"/>
        <v>0.50685458547873297</v>
      </c>
      <c r="R99" s="149">
        <f t="shared" si="20"/>
        <v>0.45061416792865555</v>
      </c>
      <c r="S99" s="149">
        <f t="shared" si="20"/>
        <v>0.49692832764505118</v>
      </c>
      <c r="T99" s="149">
        <f t="shared" si="20"/>
        <v>0.49735302312621898</v>
      </c>
      <c r="U99" s="228">
        <f t="shared" si="20"/>
        <v>0.53740978355962099</v>
      </c>
      <c r="V99" s="149">
        <f t="shared" si="20"/>
        <v>0.4656359803232607</v>
      </c>
      <c r="W99" s="149">
        <f t="shared" si="20"/>
        <v>0.4723448454946767</v>
      </c>
      <c r="X99" s="149">
        <f t="shared" si="20"/>
        <v>0.43605126806653943</v>
      </c>
      <c r="Y99" s="228">
        <f t="shared" si="20"/>
        <v>0.47965379149980625</v>
      </c>
      <c r="Z99" s="149">
        <f t="shared" si="20"/>
        <v>0.38288493692050463</v>
      </c>
      <c r="AA99" s="149">
        <f t="shared" si="20"/>
        <v>0.43101837433821238</v>
      </c>
      <c r="AB99" s="149">
        <f t="shared" si="20"/>
        <v>0.41539174779786742</v>
      </c>
      <c r="AC99" s="228">
        <f t="shared" si="20"/>
        <v>0.4570815450643777</v>
      </c>
      <c r="AD99" s="149">
        <f t="shared" si="20"/>
        <v>0.4008762322015334</v>
      </c>
      <c r="AE99" s="149">
        <f t="shared" si="20"/>
        <v>0.42465562821761516</v>
      </c>
      <c r="AF99" s="149">
        <f t="shared" si="20"/>
        <v>0.38552885943109638</v>
      </c>
      <c r="AG99" s="228">
        <f t="shared" si="20"/>
        <v>0.44600000000000001</v>
      </c>
      <c r="AH99" s="149">
        <f t="shared" si="20"/>
        <v>0.43594578668238065</v>
      </c>
      <c r="AI99" s="149">
        <f t="shared" si="20"/>
        <v>0.39183222958057395</v>
      </c>
      <c r="AJ99" s="149">
        <f t="shared" si="20"/>
        <v>0.41261171797418073</v>
      </c>
      <c r="AK99" s="228">
        <f t="shared" si="20"/>
        <v>0.44618655328195589</v>
      </c>
      <c r="AL99" s="249">
        <f t="shared" si="20"/>
        <v>0.38386285288362992</v>
      </c>
      <c r="AM99" s="249">
        <f t="shared" si="20"/>
        <v>0.43876898481215026</v>
      </c>
      <c r="AN99" s="249">
        <f t="shared" si="20"/>
        <v>0.41521016284423223</v>
      </c>
      <c r="AO99" s="234">
        <f t="shared" si="20"/>
        <v>0.47226787705048573</v>
      </c>
      <c r="AP99" s="149">
        <f t="shared" si="20"/>
        <v>0.41990724224045667</v>
      </c>
      <c r="AQ99" s="149">
        <f t="shared" si="20"/>
        <v>0.44316606524325663</v>
      </c>
      <c r="AR99" s="149">
        <f t="shared" si="20"/>
        <v>0.43607019178234946</v>
      </c>
      <c r="AS99" s="250">
        <f t="shared" si="20"/>
        <v>0.47276688453159044</v>
      </c>
      <c r="AT99" s="149">
        <f t="shared" si="20"/>
        <v>0.43335611756664388</v>
      </c>
      <c r="AU99" s="149">
        <f t="shared" si="20"/>
        <v>0.43830345430695233</v>
      </c>
      <c r="AV99" s="149">
        <v>0.45383479544862332</v>
      </c>
      <c r="AW99" s="250">
        <v>0.47477744807121663</v>
      </c>
      <c r="AX99" s="149">
        <v>0.42</v>
      </c>
      <c r="AY99" s="149">
        <v>0.46</v>
      </c>
    </row>
    <row r="100" spans="1:51" ht="13">
      <c r="A100" s="89" t="s">
        <v>335</v>
      </c>
      <c r="B100" s="149">
        <f t="shared" ref="B100:L100" si="21">100%-B99</f>
        <v>0.58113894767928342</v>
      </c>
      <c r="C100" s="149">
        <f t="shared" si="21"/>
        <v>0.5920203196105408</v>
      </c>
      <c r="D100" s="149">
        <f t="shared" si="21"/>
        <v>0.54089666225361233</v>
      </c>
      <c r="E100" s="149">
        <f t="shared" si="21"/>
        <v>0.50112123335669234</v>
      </c>
      <c r="F100" s="149">
        <f t="shared" si="21"/>
        <v>0.53626388331326114</v>
      </c>
      <c r="G100" s="149">
        <f t="shared" si="21"/>
        <v>0.57730159319641994</v>
      </c>
      <c r="H100" s="149">
        <f t="shared" si="21"/>
        <v>0.58400409276944065</v>
      </c>
      <c r="I100" s="149">
        <f t="shared" si="21"/>
        <v>0.57736993625334154</v>
      </c>
      <c r="J100" s="149">
        <f t="shared" si="21"/>
        <v>0.57058699768567223</v>
      </c>
      <c r="K100" s="149">
        <f t="shared" si="21"/>
        <v>0.55583268593858604</v>
      </c>
      <c r="L100" s="149">
        <f t="shared" si="21"/>
        <v>0.54947900087010038</v>
      </c>
      <c r="M100" s="89"/>
      <c r="N100" s="149">
        <f t="shared" ref="N100:AU100" si="22">100%-N99</f>
        <v>0.57488564041472245</v>
      </c>
      <c r="O100" s="149">
        <f t="shared" si="22"/>
        <v>0.55068243858052779</v>
      </c>
      <c r="P100" s="149">
        <f t="shared" si="22"/>
        <v>0.55345911949685533</v>
      </c>
      <c r="Q100" s="228">
        <f t="shared" si="22"/>
        <v>0.49314541452126703</v>
      </c>
      <c r="R100" s="149">
        <f t="shared" si="22"/>
        <v>0.5493858320713445</v>
      </c>
      <c r="S100" s="149">
        <f t="shared" si="22"/>
        <v>0.50307167235494887</v>
      </c>
      <c r="T100" s="149">
        <f t="shared" si="22"/>
        <v>0.50264697687378102</v>
      </c>
      <c r="U100" s="228">
        <f t="shared" si="22"/>
        <v>0.46259021644037901</v>
      </c>
      <c r="V100" s="149">
        <f t="shared" si="22"/>
        <v>0.5343640196767393</v>
      </c>
      <c r="W100" s="149">
        <f t="shared" si="22"/>
        <v>0.5276551545053233</v>
      </c>
      <c r="X100" s="149">
        <f t="shared" si="22"/>
        <v>0.56394873193346062</v>
      </c>
      <c r="Y100" s="228">
        <f t="shared" si="22"/>
        <v>0.52034620850019375</v>
      </c>
      <c r="Z100" s="149">
        <f t="shared" si="22"/>
        <v>0.61711506307949537</v>
      </c>
      <c r="AA100" s="149">
        <f t="shared" si="22"/>
        <v>0.56898162566178767</v>
      </c>
      <c r="AB100" s="149">
        <f t="shared" si="22"/>
        <v>0.58460825220213253</v>
      </c>
      <c r="AC100" s="228">
        <f t="shared" si="22"/>
        <v>0.5429184549356223</v>
      </c>
      <c r="AD100" s="149">
        <f t="shared" si="22"/>
        <v>0.59912376779846666</v>
      </c>
      <c r="AE100" s="149">
        <f t="shared" si="22"/>
        <v>0.57534437178238484</v>
      </c>
      <c r="AF100" s="149">
        <f t="shared" si="22"/>
        <v>0.61447114056890362</v>
      </c>
      <c r="AG100" s="228">
        <f t="shared" si="22"/>
        <v>0.55400000000000005</v>
      </c>
      <c r="AH100" s="149">
        <f t="shared" si="22"/>
        <v>0.5640542133176194</v>
      </c>
      <c r="AI100" s="149">
        <f t="shared" si="22"/>
        <v>0.60816777041942605</v>
      </c>
      <c r="AJ100" s="149">
        <f t="shared" si="22"/>
        <v>0.58738828202581927</v>
      </c>
      <c r="AK100" s="228">
        <f t="shared" si="22"/>
        <v>0.55381344671804411</v>
      </c>
      <c r="AL100" s="249">
        <f t="shared" si="22"/>
        <v>0.61613714711637013</v>
      </c>
      <c r="AM100" s="249">
        <f t="shared" si="22"/>
        <v>0.56123101518784968</v>
      </c>
      <c r="AN100" s="249">
        <f t="shared" si="22"/>
        <v>0.58478983715576782</v>
      </c>
      <c r="AO100" s="234">
        <f t="shared" si="22"/>
        <v>0.52773212294951422</v>
      </c>
      <c r="AP100" s="149">
        <f t="shared" si="22"/>
        <v>0.58009275775954339</v>
      </c>
      <c r="AQ100" s="149">
        <f t="shared" si="22"/>
        <v>0.55683393475674337</v>
      </c>
      <c r="AR100" s="149">
        <f t="shared" si="22"/>
        <v>0.56392980821765049</v>
      </c>
      <c r="AS100" s="248">
        <f t="shared" si="22"/>
        <v>0.52723311546840956</v>
      </c>
      <c r="AT100" s="149">
        <f t="shared" si="22"/>
        <v>0.56664388243335617</v>
      </c>
      <c r="AU100" s="149">
        <f t="shared" si="22"/>
        <v>0.56169654569304761</v>
      </c>
      <c r="AV100" s="149">
        <v>0.54616520455137674</v>
      </c>
      <c r="AW100" s="248">
        <v>0.52522255192878342</v>
      </c>
      <c r="AX100" s="149">
        <v>0.57999999999999996</v>
      </c>
      <c r="AY100" s="149">
        <v>0.54</v>
      </c>
    </row>
    <row r="101" spans="1:51" ht="13">
      <c r="A101" s="89"/>
      <c r="B101" s="149"/>
      <c r="C101" s="149"/>
      <c r="D101" s="149"/>
      <c r="E101" s="149"/>
      <c r="F101" s="149"/>
      <c r="G101" s="149"/>
      <c r="H101" s="149"/>
      <c r="I101" s="149"/>
      <c r="J101" s="149"/>
      <c r="K101" s="149"/>
      <c r="L101" s="149"/>
      <c r="M101" s="89"/>
      <c r="N101" s="149"/>
      <c r="O101" s="149"/>
      <c r="P101" s="149"/>
      <c r="Q101" s="228"/>
      <c r="R101" s="149"/>
      <c r="S101" s="149"/>
      <c r="T101" s="149"/>
      <c r="U101" s="228"/>
      <c r="V101" s="149"/>
      <c r="W101" s="149"/>
      <c r="X101" s="149"/>
      <c r="Y101" s="228"/>
      <c r="Z101" s="149"/>
      <c r="AA101" s="149"/>
      <c r="AB101" s="149"/>
      <c r="AC101" s="228"/>
      <c r="AD101" s="149"/>
      <c r="AE101" s="149"/>
      <c r="AF101" s="149"/>
      <c r="AG101" s="228"/>
      <c r="AH101" s="149"/>
      <c r="AI101" s="149"/>
      <c r="AJ101" s="149"/>
      <c r="AK101" s="228"/>
      <c r="AL101" s="149"/>
      <c r="AM101" s="149"/>
      <c r="AN101" s="149"/>
      <c r="AO101" s="228"/>
      <c r="AP101" s="149"/>
      <c r="AQ101" s="149"/>
      <c r="AR101" s="149"/>
      <c r="AS101" s="228"/>
      <c r="AT101" s="149"/>
      <c r="AU101" s="149"/>
      <c r="AV101" s="149"/>
      <c r="AW101" s="228"/>
      <c r="AX101" s="149"/>
      <c r="AY101" s="149"/>
    </row>
    <row r="102" spans="1:51" ht="13">
      <c r="A102" s="157" t="s">
        <v>161</v>
      </c>
      <c r="B102" s="158">
        <v>2015</v>
      </c>
      <c r="C102" s="158">
        <v>2016</v>
      </c>
      <c r="D102" s="158">
        <v>2017</v>
      </c>
      <c r="E102" s="158">
        <v>2018</v>
      </c>
      <c r="F102" s="158">
        <v>2019</v>
      </c>
      <c r="G102" s="158">
        <v>2020</v>
      </c>
      <c r="H102" s="158">
        <v>2021</v>
      </c>
      <c r="I102" s="158">
        <v>2022</v>
      </c>
      <c r="J102" s="158">
        <v>2023</v>
      </c>
      <c r="K102" s="158">
        <v>2024</v>
      </c>
      <c r="L102" s="158">
        <v>2025</v>
      </c>
      <c r="M102" s="89"/>
      <c r="N102" s="158" t="s">
        <v>264</v>
      </c>
      <c r="O102" s="158" t="s">
        <v>265</v>
      </c>
      <c r="P102" s="158" t="s">
        <v>266</v>
      </c>
      <c r="Q102" s="159" t="s">
        <v>267</v>
      </c>
      <c r="R102" s="158" t="s">
        <v>128</v>
      </c>
      <c r="S102" s="158" t="s">
        <v>129</v>
      </c>
      <c r="T102" s="158" t="s">
        <v>130</v>
      </c>
      <c r="U102" s="159" t="s">
        <v>131</v>
      </c>
      <c r="V102" s="158" t="s">
        <v>132</v>
      </c>
      <c r="W102" s="158" t="s">
        <v>133</v>
      </c>
      <c r="X102" s="158" t="s">
        <v>134</v>
      </c>
      <c r="Y102" s="159" t="s">
        <v>135</v>
      </c>
      <c r="Z102" s="158" t="s">
        <v>136</v>
      </c>
      <c r="AA102" s="158" t="s">
        <v>137</v>
      </c>
      <c r="AB102" s="158" t="s">
        <v>138</v>
      </c>
      <c r="AC102" s="159" t="s">
        <v>139</v>
      </c>
      <c r="AD102" s="158" t="s">
        <v>140</v>
      </c>
      <c r="AE102" s="158" t="s">
        <v>141</v>
      </c>
      <c r="AF102" s="158" t="s">
        <v>142</v>
      </c>
      <c r="AG102" s="159" t="s">
        <v>143</v>
      </c>
      <c r="AH102" s="158" t="s">
        <v>144</v>
      </c>
      <c r="AI102" s="158" t="s">
        <v>145</v>
      </c>
      <c r="AJ102" s="158" t="s">
        <v>146</v>
      </c>
      <c r="AK102" s="159" t="s">
        <v>147</v>
      </c>
      <c r="AL102" s="158" t="s">
        <v>148</v>
      </c>
      <c r="AM102" s="158" t="s">
        <v>149</v>
      </c>
      <c r="AN102" s="158" t="s">
        <v>150</v>
      </c>
      <c r="AO102" s="159" t="s">
        <v>151</v>
      </c>
      <c r="AP102" s="158" t="s">
        <v>152</v>
      </c>
      <c r="AQ102" s="158" t="s">
        <v>153</v>
      </c>
      <c r="AR102" s="158" t="s">
        <v>154</v>
      </c>
      <c r="AS102" s="159" t="s">
        <v>155</v>
      </c>
      <c r="AT102" s="158" t="s">
        <v>156</v>
      </c>
      <c r="AU102" s="158" t="s">
        <v>157</v>
      </c>
      <c r="AV102" s="158" t="s">
        <v>158</v>
      </c>
      <c r="AW102" s="159" t="s">
        <v>820</v>
      </c>
      <c r="AX102" s="158" t="s">
        <v>1275</v>
      </c>
      <c r="AY102" s="158" t="s">
        <v>1344</v>
      </c>
    </row>
    <row r="103" spans="1:51" ht="13">
      <c r="A103" s="89" t="s">
        <v>338</v>
      </c>
      <c r="B103" s="127">
        <v>94.566126888812335</v>
      </c>
      <c r="C103" s="127">
        <v>102.72515610117472</v>
      </c>
      <c r="D103" s="127">
        <v>109.78986775176296</v>
      </c>
      <c r="E103" s="127">
        <v>104.04695164681151</v>
      </c>
      <c r="F103" s="127">
        <v>95.376534742899196</v>
      </c>
      <c r="G103" s="127">
        <f t="shared" ref="G103:L103" si="23">G4/G18*100</f>
        <v>101.20696698481078</v>
      </c>
      <c r="H103" s="127">
        <f t="shared" si="23"/>
        <v>117.71145975443382</v>
      </c>
      <c r="I103" s="128">
        <f t="shared" si="23"/>
        <v>109.73421756117622</v>
      </c>
      <c r="J103" s="127">
        <f t="shared" si="23"/>
        <v>98.205343993267419</v>
      </c>
      <c r="K103" s="127">
        <f t="shared" si="23"/>
        <v>96.951792942715784</v>
      </c>
      <c r="L103" s="127">
        <f t="shared" si="23"/>
        <v>101.09080876891407</v>
      </c>
      <c r="M103" s="89"/>
      <c r="N103" s="127">
        <v>118.77832019793486</v>
      </c>
      <c r="O103" s="127">
        <v>115.06893147488444</v>
      </c>
      <c r="P103" s="127">
        <v>115.85275619681835</v>
      </c>
      <c r="Q103" s="129">
        <v>92.43053337591823</v>
      </c>
      <c r="R103" s="127">
        <v>125.22295137136126</v>
      </c>
      <c r="S103" s="127">
        <v>108.49146757679181</v>
      </c>
      <c r="T103" s="127">
        <v>100.16717748676511</v>
      </c>
      <c r="U103" s="129">
        <v>87.916975537435135</v>
      </c>
      <c r="V103" s="127">
        <v>101.86929023190443</v>
      </c>
      <c r="W103" s="127">
        <v>99.675408984679308</v>
      </c>
      <c r="X103" s="127">
        <v>93.727842923370602</v>
      </c>
      <c r="Y103" s="129">
        <v>86.692506459948319</v>
      </c>
      <c r="Z103" s="127">
        <v>107.9343365253078</v>
      </c>
      <c r="AA103" s="127">
        <v>95.437558393023977</v>
      </c>
      <c r="AB103" s="127">
        <v>109</v>
      </c>
      <c r="AC103" s="129">
        <v>93</v>
      </c>
      <c r="AD103" s="127">
        <v>125</v>
      </c>
      <c r="AE103" s="127">
        <v>117</v>
      </c>
      <c r="AF103" s="127">
        <v>129</v>
      </c>
      <c r="AG103" s="129">
        <v>104</v>
      </c>
      <c r="AH103" s="128">
        <f>AH4/AH18*100</f>
        <v>127.75486152033</v>
      </c>
      <c r="AI103" s="128">
        <f>AI4/AI18*100</f>
        <v>120.27593818984548</v>
      </c>
      <c r="AJ103" s="128">
        <f>AJ4/AJ18*100</f>
        <v>97.229394240317774</v>
      </c>
      <c r="AK103" s="251">
        <f>AK4/AK18*100</f>
        <v>98.883869253255384</v>
      </c>
      <c r="AL103" s="127">
        <f>AL4/AL18*100</f>
        <v>107.5095499860244</v>
      </c>
      <c r="AM103" s="127">
        <v>98</v>
      </c>
      <c r="AN103" s="127">
        <v>96.436183817887283</v>
      </c>
      <c r="AO103" s="129">
        <v>91.981207198598497</v>
      </c>
      <c r="AP103" s="127">
        <v>98.332144131287905</v>
      </c>
      <c r="AQ103" s="127">
        <v>98.977309044423137</v>
      </c>
      <c r="AR103" s="127">
        <v>100</v>
      </c>
      <c r="AS103" s="129">
        <v>91.503267973856211</v>
      </c>
      <c r="AT103" s="127">
        <v>106</v>
      </c>
      <c r="AU103" s="127">
        <v>100.62090074333187</v>
      </c>
      <c r="AV103" s="127">
        <v>99.357248327977061</v>
      </c>
      <c r="AW103" s="129">
        <v>98.748897265217735</v>
      </c>
      <c r="AX103" s="127">
        <v>132.05270972531551</v>
      </c>
      <c r="AY103" s="127">
        <v>104.61873977724122</v>
      </c>
    </row>
    <row r="104" spans="1:51" ht="13">
      <c r="A104" s="89" t="s">
        <v>336</v>
      </c>
      <c r="B104" s="127">
        <v>100.25964391691396</v>
      </c>
      <c r="C104" s="127">
        <v>100.27760252365931</v>
      </c>
      <c r="D104" s="127">
        <v>103.53659387401122</v>
      </c>
      <c r="E104" s="127">
        <v>100.96648807647861</v>
      </c>
      <c r="F104" s="127">
        <v>99.712936382998436</v>
      </c>
      <c r="G104" s="127">
        <f t="shared" ref="G104:L104" si="24">G7/G21*100</f>
        <v>101.78413120567376</v>
      </c>
      <c r="H104" s="127">
        <f t="shared" si="24"/>
        <v>108.03527682508573</v>
      </c>
      <c r="I104" s="128">
        <f t="shared" si="24"/>
        <v>98.741439940773645</v>
      </c>
      <c r="J104" s="127">
        <f t="shared" si="24"/>
        <v>94.820403992769002</v>
      </c>
      <c r="K104" s="127">
        <f t="shared" si="24"/>
        <v>100.1571038251366</v>
      </c>
      <c r="L104" s="127">
        <f t="shared" si="24"/>
        <v>103.13767919935081</v>
      </c>
      <c r="M104" s="89"/>
      <c r="N104" s="127">
        <v>108.3412565233827</v>
      </c>
      <c r="O104" s="127">
        <v>98.807825565245977</v>
      </c>
      <c r="P104" s="127">
        <v>104.5846457733349</v>
      </c>
      <c r="Q104" s="129">
        <v>102.71154745208042</v>
      </c>
      <c r="R104" s="127">
        <v>113.58574610244989</v>
      </c>
      <c r="S104" s="127">
        <v>100.73409461663947</v>
      </c>
      <c r="T104" s="127">
        <v>95.927791771620491</v>
      </c>
      <c r="U104" s="129">
        <v>94.508196721311478</v>
      </c>
      <c r="V104" s="127">
        <v>105.95009596928983</v>
      </c>
      <c r="W104" s="127">
        <v>96.582365003417635</v>
      </c>
      <c r="X104" s="127">
        <v>96.383363471971066</v>
      </c>
      <c r="Y104" s="129">
        <v>100.55932880543348</v>
      </c>
      <c r="Z104" s="127">
        <v>104.55089820359282</v>
      </c>
      <c r="AA104" s="127">
        <v>97.297297297297305</v>
      </c>
      <c r="AB104" s="127">
        <v>102</v>
      </c>
      <c r="AC104" s="129">
        <v>102</v>
      </c>
      <c r="AD104" s="127">
        <v>114</v>
      </c>
      <c r="AE104" s="127">
        <v>106</v>
      </c>
      <c r="AF104" s="127">
        <v>106</v>
      </c>
      <c r="AG104" s="129">
        <v>106</v>
      </c>
      <c r="AH104" s="128">
        <f>AH7/AH21*100</f>
        <v>114.76043276661514</v>
      </c>
      <c r="AI104" s="128">
        <f>AI7/AI21*100</f>
        <v>89.298496778811739</v>
      </c>
      <c r="AJ104" s="128">
        <f>AJ7/AJ21*100</f>
        <v>92.290667650313537</v>
      </c>
      <c r="AK104" s="130">
        <f>AK7/AK21*100</f>
        <v>99.631404349428678</v>
      </c>
      <c r="AL104" s="127">
        <f>AL7/AL21*100</f>
        <v>100.25599999999999</v>
      </c>
      <c r="AM104" s="127">
        <v>93</v>
      </c>
      <c r="AN104" s="127">
        <v>91.517996870109542</v>
      </c>
      <c r="AO104" s="129">
        <v>94.706867671691796</v>
      </c>
      <c r="AP104" s="127">
        <v>105.86639538826721</v>
      </c>
      <c r="AQ104" s="127">
        <v>98.897519418692056</v>
      </c>
      <c r="AR104" s="127">
        <v>96</v>
      </c>
      <c r="AS104" s="129">
        <v>101.20791570290413</v>
      </c>
      <c r="AT104" s="127">
        <v>110</v>
      </c>
      <c r="AU104" s="127">
        <v>102.12824010914052</v>
      </c>
      <c r="AV104" s="127">
        <v>99.27105831533477</v>
      </c>
      <c r="AW104" s="129">
        <v>101.02549889135256</v>
      </c>
      <c r="AX104" s="127">
        <v>115.01122334455667</v>
      </c>
      <c r="AY104" s="127">
        <v>100.25947067981318</v>
      </c>
    </row>
    <row r="105" spans="1:51" ht="13">
      <c r="A105" s="147" t="s">
        <v>300</v>
      </c>
      <c r="B105" s="252">
        <v>96.120434009001158</v>
      </c>
      <c r="C105" s="252">
        <v>101.9629547634861</v>
      </c>
      <c r="D105" s="252">
        <v>107.86485465678139</v>
      </c>
      <c r="E105" s="252">
        <v>102.91236776805536</v>
      </c>
      <c r="F105" s="252">
        <v>96.678009253592506</v>
      </c>
      <c r="G105" s="252">
        <f t="shared" ref="G105:L105" si="25">G9/G23*100</f>
        <v>101.26515696805272</v>
      </c>
      <c r="H105" s="252">
        <f t="shared" si="25"/>
        <v>115.14188422247446</v>
      </c>
      <c r="I105" s="252">
        <f t="shared" si="25"/>
        <v>107.09944862558859</v>
      </c>
      <c r="J105" s="252">
        <f t="shared" si="25"/>
        <v>97.607013240972435</v>
      </c>
      <c r="K105" s="252">
        <f t="shared" si="25"/>
        <v>97.813030627004593</v>
      </c>
      <c r="L105" s="252">
        <f t="shared" si="25"/>
        <v>101.57424433046228</v>
      </c>
      <c r="M105" s="89"/>
      <c r="N105" s="252">
        <v>114.96040280340173</v>
      </c>
      <c r="O105" s="252">
        <v>109.93166026423151</v>
      </c>
      <c r="P105" s="252">
        <v>112.89299955331273</v>
      </c>
      <c r="Q105" s="253">
        <v>95.203213610586019</v>
      </c>
      <c r="R105" s="252">
        <v>121.89967205150005</v>
      </c>
      <c r="S105" s="252">
        <v>106.50208269836432</v>
      </c>
      <c r="T105" s="252">
        <v>97.533934307325666</v>
      </c>
      <c r="U105" s="253">
        <v>89.676075014207228</v>
      </c>
      <c r="V105" s="252">
        <v>102.84108329075114</v>
      </c>
      <c r="W105" s="252">
        <v>99.313005834744956</v>
      </c>
      <c r="X105" s="252">
        <v>94.506792675723574</v>
      </c>
      <c r="Y105" s="253">
        <v>90.233463035019454</v>
      </c>
      <c r="Z105" s="252">
        <v>106.98489161375082</v>
      </c>
      <c r="AA105" s="252">
        <v>95.826436509813192</v>
      </c>
      <c r="AB105" s="252">
        <v>107</v>
      </c>
      <c r="AC105" s="253">
        <v>95</v>
      </c>
      <c r="AD105" s="252">
        <v>122</v>
      </c>
      <c r="AE105" s="252">
        <v>114</v>
      </c>
      <c r="AF105" s="252">
        <v>123</v>
      </c>
      <c r="AG105" s="253">
        <v>104</v>
      </c>
      <c r="AH105" s="252">
        <v>125</v>
      </c>
      <c r="AI105" s="252">
        <v>112.71486349848333</v>
      </c>
      <c r="AJ105" s="252">
        <v>96</v>
      </c>
      <c r="AK105" s="253">
        <v>98</v>
      </c>
      <c r="AL105" s="252">
        <f>AL9/AL23*100</f>
        <v>106.10758580905681</v>
      </c>
      <c r="AM105" s="252">
        <v>97</v>
      </c>
      <c r="AN105" s="252">
        <v>95.752483830099351</v>
      </c>
      <c r="AO105" s="253">
        <v>92.420349434737929</v>
      </c>
      <c r="AP105" s="252">
        <v>100.13434207735274</v>
      </c>
      <c r="AQ105" s="252">
        <v>99.018835927563444</v>
      </c>
      <c r="AR105" s="252">
        <v>99</v>
      </c>
      <c r="AS105" s="253">
        <v>93.803257782157559</v>
      </c>
      <c r="AT105" s="252">
        <v>107</v>
      </c>
      <c r="AU105" s="252">
        <v>100.96497025776603</v>
      </c>
      <c r="AV105" s="252">
        <v>99.343918120981499</v>
      </c>
      <c r="AW105" s="253">
        <v>99.254195152268494</v>
      </c>
      <c r="AX105" s="252">
        <v>127.7959724061041</v>
      </c>
      <c r="AY105" s="252">
        <v>103.61034606633936</v>
      </c>
    </row>
    <row r="106" spans="1:51" ht="13">
      <c r="A106" s="89"/>
      <c r="B106" s="254"/>
      <c r="C106" s="254"/>
      <c r="D106" s="254"/>
      <c r="E106" s="254"/>
      <c r="F106" s="254"/>
      <c r="G106" s="254"/>
      <c r="H106" s="254"/>
      <c r="I106" s="254"/>
      <c r="J106" s="254"/>
      <c r="K106" s="254"/>
      <c r="L106" s="254"/>
      <c r="M106" s="89"/>
      <c r="N106" s="254"/>
      <c r="O106" s="254"/>
      <c r="P106" s="254"/>
      <c r="Q106" s="255"/>
      <c r="R106" s="254"/>
      <c r="S106" s="254"/>
      <c r="T106" s="254"/>
      <c r="U106" s="255"/>
      <c r="V106" s="254"/>
      <c r="W106" s="254"/>
      <c r="X106" s="254"/>
      <c r="Y106" s="255"/>
      <c r="Z106" s="254"/>
      <c r="AA106" s="254"/>
      <c r="AB106" s="254"/>
      <c r="AC106" s="255"/>
      <c r="AD106" s="254"/>
      <c r="AE106" s="254"/>
      <c r="AF106" s="254"/>
      <c r="AG106" s="255"/>
      <c r="AH106" s="254"/>
      <c r="AI106" s="254"/>
      <c r="AJ106" s="254"/>
      <c r="AK106" s="255"/>
      <c r="AL106" s="254"/>
      <c r="AM106" s="254"/>
      <c r="AN106" s="254"/>
      <c r="AO106" s="255"/>
      <c r="AP106" s="254"/>
      <c r="AQ106" s="254"/>
      <c r="AR106" s="254"/>
      <c r="AS106" s="255"/>
      <c r="AT106" s="254"/>
      <c r="AU106" s="254"/>
      <c r="AV106" s="254"/>
      <c r="AW106" s="255"/>
      <c r="AX106" s="254"/>
      <c r="AY106" s="254"/>
    </row>
    <row r="107" spans="1:51" ht="13">
      <c r="A107" s="157" t="s">
        <v>339</v>
      </c>
      <c r="B107" s="158">
        <v>2015</v>
      </c>
      <c r="C107" s="158">
        <v>2016</v>
      </c>
      <c r="D107" s="158">
        <v>2017</v>
      </c>
      <c r="E107" s="158">
        <v>2018</v>
      </c>
      <c r="F107" s="158">
        <v>2019</v>
      </c>
      <c r="G107" s="158">
        <v>2020</v>
      </c>
      <c r="H107" s="158">
        <v>2021</v>
      </c>
      <c r="I107" s="158">
        <v>2022</v>
      </c>
      <c r="J107" s="158">
        <v>2023</v>
      </c>
      <c r="K107" s="158">
        <v>2024</v>
      </c>
      <c r="L107" s="158">
        <v>2025</v>
      </c>
      <c r="M107" s="89"/>
      <c r="N107" s="158" t="s">
        <v>264</v>
      </c>
      <c r="O107" s="158" t="s">
        <v>265</v>
      </c>
      <c r="P107" s="158" t="s">
        <v>266</v>
      </c>
      <c r="Q107" s="159" t="s">
        <v>267</v>
      </c>
      <c r="R107" s="158" t="s">
        <v>128</v>
      </c>
      <c r="S107" s="158" t="s">
        <v>129</v>
      </c>
      <c r="T107" s="158" t="s">
        <v>130</v>
      </c>
      <c r="U107" s="159" t="s">
        <v>131</v>
      </c>
      <c r="V107" s="158" t="s">
        <v>132</v>
      </c>
      <c r="W107" s="158" t="s">
        <v>133</v>
      </c>
      <c r="X107" s="158" t="s">
        <v>134</v>
      </c>
      <c r="Y107" s="159" t="s">
        <v>135</v>
      </c>
      <c r="Z107" s="158" t="s">
        <v>136</v>
      </c>
      <c r="AA107" s="158" t="s">
        <v>137</v>
      </c>
      <c r="AB107" s="158" t="s">
        <v>138</v>
      </c>
      <c r="AC107" s="159" t="s">
        <v>139</v>
      </c>
      <c r="AD107" s="158" t="s">
        <v>140</v>
      </c>
      <c r="AE107" s="158" t="s">
        <v>141</v>
      </c>
      <c r="AF107" s="158" t="s">
        <v>142</v>
      </c>
      <c r="AG107" s="159" t="s">
        <v>143</v>
      </c>
      <c r="AH107" s="158" t="s">
        <v>144</v>
      </c>
      <c r="AI107" s="158" t="s">
        <v>145</v>
      </c>
      <c r="AJ107" s="158" t="s">
        <v>146</v>
      </c>
      <c r="AK107" s="159" t="s">
        <v>147</v>
      </c>
      <c r="AL107" s="158" t="s">
        <v>148</v>
      </c>
      <c r="AM107" s="158" t="s">
        <v>149</v>
      </c>
      <c r="AN107" s="158" t="s">
        <v>150</v>
      </c>
      <c r="AO107" s="159" t="s">
        <v>151</v>
      </c>
      <c r="AP107" s="158" t="s">
        <v>152</v>
      </c>
      <c r="AQ107" s="158" t="s">
        <v>340</v>
      </c>
      <c r="AR107" s="158" t="s">
        <v>154</v>
      </c>
      <c r="AS107" s="159" t="s">
        <v>155</v>
      </c>
      <c r="AT107" s="158" t="s">
        <v>156</v>
      </c>
      <c r="AU107" s="158" t="s">
        <v>157</v>
      </c>
      <c r="AV107" s="158" t="s">
        <v>158</v>
      </c>
      <c r="AW107" s="159" t="s">
        <v>820</v>
      </c>
      <c r="AX107" s="158" t="s">
        <v>1275</v>
      </c>
      <c r="AY107" s="158" t="s">
        <v>1344</v>
      </c>
    </row>
    <row r="108" spans="1:51" ht="13">
      <c r="A108" s="256" t="s">
        <v>338</v>
      </c>
      <c r="B108" s="162"/>
      <c r="C108" s="162"/>
      <c r="D108" s="162"/>
      <c r="E108" s="162"/>
      <c r="F108" s="162"/>
      <c r="G108" s="162"/>
      <c r="H108" s="162"/>
      <c r="I108" s="169"/>
      <c r="J108" s="257">
        <v>-1</v>
      </c>
      <c r="K108" s="257">
        <v>0</v>
      </c>
      <c r="L108" s="257">
        <v>0</v>
      </c>
      <c r="M108" s="256"/>
      <c r="N108" s="162"/>
      <c r="O108" s="162"/>
      <c r="P108" s="162"/>
      <c r="Q108" s="170"/>
      <c r="R108" s="162"/>
      <c r="S108" s="162"/>
      <c r="T108" s="162"/>
      <c r="U108" s="170"/>
      <c r="V108" s="162"/>
      <c r="W108" s="162"/>
      <c r="X108" s="162"/>
      <c r="Y108" s="170"/>
      <c r="Z108" s="162"/>
      <c r="AA108" s="162"/>
      <c r="AB108" s="162"/>
      <c r="AC108" s="170"/>
      <c r="AD108" s="162"/>
      <c r="AE108" s="162"/>
      <c r="AF108" s="162"/>
      <c r="AG108" s="170"/>
      <c r="AH108" s="169"/>
      <c r="AI108" s="169"/>
      <c r="AJ108" s="169"/>
      <c r="AK108" s="171"/>
      <c r="AL108" s="257">
        <v>-1.3</v>
      </c>
      <c r="AM108" s="257">
        <v>-1.1000000000000001</v>
      </c>
      <c r="AN108" s="257">
        <v>-1.1000000000000001</v>
      </c>
      <c r="AO108" s="258">
        <v>-0.5</v>
      </c>
      <c r="AP108" s="259">
        <v>-0.1</v>
      </c>
      <c r="AQ108" s="257">
        <v>-0.1</v>
      </c>
      <c r="AR108" s="257">
        <v>0</v>
      </c>
      <c r="AS108" s="258">
        <v>0</v>
      </c>
      <c r="AT108" s="259">
        <v>0</v>
      </c>
      <c r="AU108" s="257">
        <v>-0.1</v>
      </c>
      <c r="AV108" s="257">
        <v>0</v>
      </c>
      <c r="AW108" s="258">
        <v>0</v>
      </c>
      <c r="AX108" s="259">
        <v>0</v>
      </c>
      <c r="AY108" s="257">
        <v>0</v>
      </c>
    </row>
    <row r="109" spans="1:51" ht="13">
      <c r="A109" s="256" t="s">
        <v>336</v>
      </c>
      <c r="B109" s="162"/>
      <c r="C109" s="162"/>
      <c r="D109" s="162"/>
      <c r="E109" s="162"/>
      <c r="F109" s="162"/>
      <c r="G109" s="162"/>
      <c r="H109" s="162"/>
      <c r="I109" s="169"/>
      <c r="J109" s="257">
        <v>-0.4</v>
      </c>
      <c r="K109" s="257">
        <v>-2.8</v>
      </c>
      <c r="L109" s="257">
        <v>-0.7</v>
      </c>
      <c r="M109" s="256"/>
      <c r="N109" s="162"/>
      <c r="O109" s="162"/>
      <c r="P109" s="162"/>
      <c r="Q109" s="170"/>
      <c r="R109" s="162"/>
      <c r="S109" s="162"/>
      <c r="T109" s="162"/>
      <c r="U109" s="170"/>
      <c r="V109" s="162"/>
      <c r="W109" s="162"/>
      <c r="X109" s="162"/>
      <c r="Y109" s="170"/>
      <c r="Z109" s="162"/>
      <c r="AA109" s="162"/>
      <c r="AB109" s="162"/>
      <c r="AC109" s="170"/>
      <c r="AD109" s="162"/>
      <c r="AE109" s="162"/>
      <c r="AF109" s="162"/>
      <c r="AG109" s="170"/>
      <c r="AH109" s="169"/>
      <c r="AI109" s="169"/>
      <c r="AJ109" s="169"/>
      <c r="AK109" s="172"/>
      <c r="AL109" s="257">
        <v>-1.2</v>
      </c>
      <c r="AM109" s="257">
        <v>0.4</v>
      </c>
      <c r="AN109" s="257">
        <v>0.4</v>
      </c>
      <c r="AO109" s="258">
        <v>-0.7</v>
      </c>
      <c r="AP109" s="257">
        <v>-0.2</v>
      </c>
      <c r="AQ109" s="257">
        <v>-2.2000000000000002</v>
      </c>
      <c r="AR109" s="257">
        <v>-3.9</v>
      </c>
      <c r="AS109" s="258">
        <v>-4</v>
      </c>
      <c r="AT109" s="257">
        <v>-2.7</v>
      </c>
      <c r="AU109" s="257">
        <v>-0.3</v>
      </c>
      <c r="AV109" s="257">
        <v>-0.2</v>
      </c>
      <c r="AW109" s="258">
        <v>0</v>
      </c>
      <c r="AX109" s="257">
        <v>0</v>
      </c>
      <c r="AY109" s="257">
        <v>0</v>
      </c>
    </row>
    <row r="110" spans="1:51" ht="13">
      <c r="A110" s="147" t="s">
        <v>300</v>
      </c>
      <c r="B110" s="252"/>
      <c r="C110" s="252"/>
      <c r="D110" s="252"/>
      <c r="E110" s="252"/>
      <c r="F110" s="252"/>
      <c r="G110" s="252"/>
      <c r="H110" s="252"/>
      <c r="I110" s="252"/>
      <c r="J110" s="260">
        <v>-0.9</v>
      </c>
      <c r="K110" s="260">
        <v>-1</v>
      </c>
      <c r="L110" s="260">
        <v>-0.3</v>
      </c>
      <c r="M110" s="89"/>
      <c r="N110" s="252"/>
      <c r="O110" s="252"/>
      <c r="P110" s="252"/>
      <c r="Q110" s="253"/>
      <c r="R110" s="252"/>
      <c r="S110" s="252"/>
      <c r="T110" s="252"/>
      <c r="U110" s="253"/>
      <c r="V110" s="252"/>
      <c r="W110" s="252"/>
      <c r="X110" s="252"/>
      <c r="Y110" s="253"/>
      <c r="Z110" s="252"/>
      <c r="AA110" s="252"/>
      <c r="AB110" s="252"/>
      <c r="AC110" s="253"/>
      <c r="AD110" s="252"/>
      <c r="AE110" s="252"/>
      <c r="AF110" s="252"/>
      <c r="AG110" s="253"/>
      <c r="AH110" s="252"/>
      <c r="AI110" s="252"/>
      <c r="AJ110" s="252"/>
      <c r="AK110" s="253"/>
      <c r="AL110" s="260">
        <v>-1.3</v>
      </c>
      <c r="AM110" s="260">
        <v>-0.9</v>
      </c>
      <c r="AN110" s="260">
        <v>-1</v>
      </c>
      <c r="AO110" s="261">
        <v>-0.7</v>
      </c>
      <c r="AP110" s="260">
        <v>-0.2</v>
      </c>
      <c r="AQ110" s="260">
        <v>-0.9</v>
      </c>
      <c r="AR110" s="260">
        <v>-1.3</v>
      </c>
      <c r="AS110" s="261">
        <v>-1.4</v>
      </c>
      <c r="AT110" s="260">
        <v>-1</v>
      </c>
      <c r="AU110" s="260">
        <v>-0.2</v>
      </c>
      <c r="AV110" s="260">
        <v>-0.1</v>
      </c>
      <c r="AW110" s="261">
        <v>0</v>
      </c>
      <c r="AX110" s="260">
        <v>0</v>
      </c>
      <c r="AY110" s="260">
        <v>0</v>
      </c>
    </row>
    <row r="111" spans="1:51" ht="13">
      <c r="A111" s="102"/>
      <c r="B111" s="89"/>
      <c r="C111" s="89"/>
      <c r="D111" s="89"/>
      <c r="E111" s="89"/>
      <c r="F111" s="89"/>
      <c r="G111" s="89"/>
      <c r="H111" s="89"/>
      <c r="I111" s="89"/>
      <c r="J111" s="89"/>
      <c r="K111" s="89"/>
      <c r="L111" s="89"/>
      <c r="M111" s="89"/>
      <c r="N111" s="89"/>
      <c r="O111" s="89"/>
      <c r="P111" s="89"/>
      <c r="Q111" s="92"/>
      <c r="R111" s="89"/>
      <c r="S111" s="89"/>
      <c r="T111" s="89"/>
      <c r="U111" s="92"/>
      <c r="V111" s="89"/>
      <c r="W111" s="89"/>
      <c r="X111" s="89"/>
      <c r="Y111" s="92"/>
      <c r="Z111" s="89"/>
      <c r="AA111" s="89"/>
      <c r="AB111" s="89"/>
      <c r="AC111" s="92"/>
      <c r="AD111" s="89"/>
      <c r="AE111" s="89"/>
      <c r="AF111" s="89"/>
      <c r="AG111" s="92"/>
      <c r="AH111" s="89"/>
      <c r="AI111" s="89"/>
      <c r="AJ111" s="89"/>
      <c r="AK111" s="92"/>
      <c r="AL111" s="89"/>
      <c r="AM111" s="149"/>
      <c r="AN111" s="149"/>
      <c r="AO111" s="92"/>
      <c r="AP111" s="89"/>
      <c r="AQ111" s="89"/>
      <c r="AR111" s="89"/>
      <c r="AS111" s="92"/>
      <c r="AT111" s="89"/>
      <c r="AU111" s="89"/>
      <c r="AV111" s="89"/>
      <c r="AW111" s="92"/>
      <c r="AX111" s="89"/>
      <c r="AY111" s="89"/>
    </row>
    <row r="112" spans="1:51" ht="13">
      <c r="A112" s="157" t="s">
        <v>341</v>
      </c>
      <c r="B112" s="158">
        <v>2015</v>
      </c>
      <c r="C112" s="158">
        <v>2016</v>
      </c>
      <c r="D112" s="158">
        <v>2017</v>
      </c>
      <c r="E112" s="158">
        <v>2018</v>
      </c>
      <c r="F112" s="158">
        <v>2019</v>
      </c>
      <c r="G112" s="158">
        <v>2020</v>
      </c>
      <c r="H112" s="158">
        <v>2021</v>
      </c>
      <c r="I112" s="158">
        <v>2022</v>
      </c>
      <c r="J112" s="158">
        <v>2023</v>
      </c>
      <c r="K112" s="158">
        <v>2024</v>
      </c>
      <c r="L112" s="158">
        <v>2025</v>
      </c>
      <c r="M112" s="89"/>
      <c r="N112" s="158" t="s">
        <v>264</v>
      </c>
      <c r="O112" s="158" t="s">
        <v>265</v>
      </c>
      <c r="P112" s="158" t="s">
        <v>266</v>
      </c>
      <c r="Q112" s="159" t="s">
        <v>267</v>
      </c>
      <c r="R112" s="158" t="s">
        <v>128</v>
      </c>
      <c r="S112" s="158" t="s">
        <v>129</v>
      </c>
      <c r="T112" s="158" t="s">
        <v>130</v>
      </c>
      <c r="U112" s="159" t="s">
        <v>131</v>
      </c>
      <c r="V112" s="158" t="s">
        <v>132</v>
      </c>
      <c r="W112" s="158" t="s">
        <v>133</v>
      </c>
      <c r="X112" s="158" t="s">
        <v>134</v>
      </c>
      <c r="Y112" s="159" t="s">
        <v>135</v>
      </c>
      <c r="Z112" s="158" t="s">
        <v>136</v>
      </c>
      <c r="AA112" s="158" t="s">
        <v>137</v>
      </c>
      <c r="AB112" s="158" t="s">
        <v>138</v>
      </c>
      <c r="AC112" s="159" t="s">
        <v>139</v>
      </c>
      <c r="AD112" s="158" t="s">
        <v>140</v>
      </c>
      <c r="AE112" s="158" t="s">
        <v>141</v>
      </c>
      <c r="AF112" s="158" t="s">
        <v>142</v>
      </c>
      <c r="AG112" s="159" t="s">
        <v>143</v>
      </c>
      <c r="AH112" s="158" t="s">
        <v>144</v>
      </c>
      <c r="AI112" s="158" t="s">
        <v>145</v>
      </c>
      <c r="AJ112" s="158" t="s">
        <v>146</v>
      </c>
      <c r="AK112" s="159" t="s">
        <v>147</v>
      </c>
      <c r="AL112" s="158" t="s">
        <v>148</v>
      </c>
      <c r="AM112" s="158" t="s">
        <v>149</v>
      </c>
      <c r="AN112" s="158" t="s">
        <v>150</v>
      </c>
      <c r="AO112" s="159" t="s">
        <v>151</v>
      </c>
      <c r="AP112" s="158" t="s">
        <v>152</v>
      </c>
      <c r="AQ112" s="158" t="s">
        <v>153</v>
      </c>
      <c r="AR112" s="158" t="s">
        <v>154</v>
      </c>
      <c r="AS112" s="159" t="s">
        <v>155</v>
      </c>
      <c r="AT112" s="158" t="s">
        <v>156</v>
      </c>
      <c r="AU112" s="158" t="s">
        <v>157</v>
      </c>
      <c r="AV112" s="158" t="s">
        <v>158</v>
      </c>
      <c r="AW112" s="159" t="s">
        <v>820</v>
      </c>
      <c r="AX112" s="158" t="s">
        <v>1275</v>
      </c>
      <c r="AY112" s="158" t="s">
        <v>1344</v>
      </c>
    </row>
    <row r="113" spans="1:51" ht="13">
      <c r="A113" s="89" t="s">
        <v>342</v>
      </c>
      <c r="B113" s="149"/>
      <c r="C113" s="149"/>
      <c r="D113" s="149"/>
      <c r="E113" s="149">
        <v>0.73</v>
      </c>
      <c r="F113" s="149">
        <v>0.76</v>
      </c>
      <c r="G113" s="149">
        <v>0.76</v>
      </c>
      <c r="H113" s="149">
        <v>0.77</v>
      </c>
      <c r="I113" s="149">
        <v>0.77</v>
      </c>
      <c r="J113" s="149">
        <v>0.83</v>
      </c>
      <c r="K113" s="149">
        <v>0.78</v>
      </c>
      <c r="L113" s="149">
        <v>0.79</v>
      </c>
      <c r="M113" s="89"/>
      <c r="N113" s="149"/>
      <c r="O113" s="149"/>
      <c r="P113" s="149"/>
      <c r="Q113" s="228"/>
      <c r="R113" s="149"/>
      <c r="S113" s="149">
        <v>0.7</v>
      </c>
      <c r="T113" s="149">
        <v>0.7</v>
      </c>
      <c r="U113" s="228">
        <v>0.73</v>
      </c>
      <c r="V113" s="149">
        <v>0.74</v>
      </c>
      <c r="W113" s="149">
        <v>0.75</v>
      </c>
      <c r="X113" s="149">
        <v>0.79</v>
      </c>
      <c r="Y113" s="228">
        <v>0.76</v>
      </c>
      <c r="Z113" s="149">
        <v>0.76</v>
      </c>
      <c r="AA113" s="149">
        <v>0.77</v>
      </c>
      <c r="AB113" s="149">
        <v>0.77</v>
      </c>
      <c r="AC113" s="228">
        <v>0.75</v>
      </c>
      <c r="AD113" s="149">
        <v>0.72</v>
      </c>
      <c r="AE113" s="149">
        <v>0.82</v>
      </c>
      <c r="AF113" s="149">
        <v>0.78</v>
      </c>
      <c r="AG113" s="228">
        <v>0.76</v>
      </c>
      <c r="AH113" s="149">
        <v>0.77</v>
      </c>
      <c r="AI113" s="149">
        <v>0.73</v>
      </c>
      <c r="AJ113" s="149">
        <v>0.81</v>
      </c>
      <c r="AK113" s="228">
        <v>0.79</v>
      </c>
      <c r="AL113" s="149">
        <v>0.82</v>
      </c>
      <c r="AM113" s="149">
        <v>0.81</v>
      </c>
      <c r="AN113" s="149">
        <v>0.86</v>
      </c>
      <c r="AO113" s="228">
        <v>0.84</v>
      </c>
      <c r="AP113" s="149">
        <v>0.79</v>
      </c>
      <c r="AQ113" s="149">
        <v>0.77</v>
      </c>
      <c r="AR113" s="149">
        <v>0.78</v>
      </c>
      <c r="AS113" s="228">
        <v>0.78</v>
      </c>
      <c r="AT113" s="149">
        <v>0.78</v>
      </c>
      <c r="AU113" s="149">
        <v>0.79</v>
      </c>
      <c r="AV113" s="149">
        <v>0.78</v>
      </c>
      <c r="AW113" s="228">
        <v>0.81</v>
      </c>
      <c r="AX113" s="149">
        <v>0.79</v>
      </c>
      <c r="AY113" s="149">
        <v>0.82</v>
      </c>
    </row>
    <row r="114" spans="1:51" ht="13">
      <c r="A114" s="89" t="s">
        <v>343</v>
      </c>
      <c r="B114" s="149"/>
      <c r="C114" s="149"/>
      <c r="D114" s="149"/>
      <c r="E114" s="149">
        <f t="shared" ref="E114:J114" si="26">100%-E113</f>
        <v>0.27</v>
      </c>
      <c r="F114" s="149">
        <f t="shared" si="26"/>
        <v>0.24</v>
      </c>
      <c r="G114" s="149">
        <f t="shared" si="26"/>
        <v>0.24</v>
      </c>
      <c r="H114" s="149">
        <f t="shared" si="26"/>
        <v>0.22999999999999998</v>
      </c>
      <c r="I114" s="149">
        <f t="shared" si="26"/>
        <v>0.22999999999999998</v>
      </c>
      <c r="J114" s="149">
        <f t="shared" si="26"/>
        <v>0.17000000000000004</v>
      </c>
      <c r="K114" s="149">
        <v>0.22</v>
      </c>
      <c r="L114" s="149">
        <v>0.21</v>
      </c>
      <c r="M114" s="89"/>
      <c r="N114" s="149"/>
      <c r="O114" s="149"/>
      <c r="P114" s="149"/>
      <c r="Q114" s="228"/>
      <c r="R114" s="149"/>
      <c r="S114" s="149">
        <f t="shared" ref="S114:AR114" si="27">100%-S113</f>
        <v>0.30000000000000004</v>
      </c>
      <c r="T114" s="149">
        <f t="shared" si="27"/>
        <v>0.30000000000000004</v>
      </c>
      <c r="U114" s="228">
        <f t="shared" si="27"/>
        <v>0.27</v>
      </c>
      <c r="V114" s="149">
        <f t="shared" si="27"/>
        <v>0.26</v>
      </c>
      <c r="W114" s="149">
        <f t="shared" si="27"/>
        <v>0.25</v>
      </c>
      <c r="X114" s="149">
        <f t="shared" si="27"/>
        <v>0.20999999999999996</v>
      </c>
      <c r="Y114" s="228">
        <f t="shared" si="27"/>
        <v>0.24</v>
      </c>
      <c r="Z114" s="149">
        <f t="shared" si="27"/>
        <v>0.24</v>
      </c>
      <c r="AA114" s="149">
        <f t="shared" si="27"/>
        <v>0.22999999999999998</v>
      </c>
      <c r="AB114" s="149">
        <f t="shared" si="27"/>
        <v>0.22999999999999998</v>
      </c>
      <c r="AC114" s="228">
        <f t="shared" si="27"/>
        <v>0.25</v>
      </c>
      <c r="AD114" s="149">
        <f t="shared" si="27"/>
        <v>0.28000000000000003</v>
      </c>
      <c r="AE114" s="149">
        <f t="shared" si="27"/>
        <v>0.18000000000000005</v>
      </c>
      <c r="AF114" s="149">
        <f t="shared" si="27"/>
        <v>0.21999999999999997</v>
      </c>
      <c r="AG114" s="228">
        <f t="shared" si="27"/>
        <v>0.24</v>
      </c>
      <c r="AH114" s="149">
        <f t="shared" si="27"/>
        <v>0.22999999999999998</v>
      </c>
      <c r="AI114" s="149">
        <f t="shared" si="27"/>
        <v>0.27</v>
      </c>
      <c r="AJ114" s="149">
        <f t="shared" si="27"/>
        <v>0.18999999999999995</v>
      </c>
      <c r="AK114" s="228">
        <f t="shared" si="27"/>
        <v>0.20999999999999996</v>
      </c>
      <c r="AL114" s="149">
        <f t="shared" si="27"/>
        <v>0.18000000000000005</v>
      </c>
      <c r="AM114" s="149">
        <f t="shared" si="27"/>
        <v>0.18999999999999995</v>
      </c>
      <c r="AN114" s="149">
        <f t="shared" si="27"/>
        <v>0.14000000000000001</v>
      </c>
      <c r="AO114" s="228">
        <f t="shared" si="27"/>
        <v>0.16000000000000003</v>
      </c>
      <c r="AP114" s="149">
        <f t="shared" si="27"/>
        <v>0.20999999999999996</v>
      </c>
      <c r="AQ114" s="149">
        <f t="shared" si="27"/>
        <v>0.22999999999999998</v>
      </c>
      <c r="AR114" s="149">
        <f t="shared" si="27"/>
        <v>0.21999999999999997</v>
      </c>
      <c r="AS114" s="228">
        <v>0.22</v>
      </c>
      <c r="AT114" s="149">
        <v>0.22</v>
      </c>
      <c r="AU114" s="149">
        <v>0.21</v>
      </c>
      <c r="AV114" s="149">
        <v>0.22</v>
      </c>
      <c r="AW114" s="228">
        <v>0.19</v>
      </c>
      <c r="AX114" s="149">
        <v>0.21</v>
      </c>
      <c r="AY114" s="149">
        <v>0.18</v>
      </c>
    </row>
    <row r="115" spans="1:51" ht="13">
      <c r="A115" s="102"/>
      <c r="B115" s="89"/>
      <c r="C115" s="89"/>
      <c r="D115" s="89"/>
      <c r="E115" s="89"/>
      <c r="F115" s="89"/>
      <c r="G115" s="89"/>
      <c r="H115" s="89"/>
      <c r="I115" s="89"/>
      <c r="J115" s="89"/>
      <c r="K115" s="89"/>
      <c r="L115" s="89"/>
      <c r="M115" s="89"/>
      <c r="N115" s="89"/>
      <c r="O115" s="89"/>
      <c r="P115" s="89"/>
      <c r="Q115" s="92"/>
      <c r="R115" s="89"/>
      <c r="S115" s="89"/>
      <c r="T115" s="89"/>
      <c r="U115" s="92"/>
      <c r="V115" s="89"/>
      <c r="W115" s="89"/>
      <c r="X115" s="89"/>
      <c r="Y115" s="92"/>
      <c r="Z115" s="89"/>
      <c r="AA115" s="89"/>
      <c r="AB115" s="89"/>
      <c r="AC115" s="92"/>
      <c r="AD115" s="89"/>
      <c r="AE115" s="89"/>
      <c r="AF115" s="89"/>
      <c r="AG115" s="92"/>
      <c r="AH115" s="89"/>
      <c r="AI115" s="89"/>
      <c r="AJ115" s="89"/>
      <c r="AK115" s="92"/>
      <c r="AL115" s="89"/>
      <c r="AM115" s="149"/>
      <c r="AN115" s="149"/>
      <c r="AO115" s="92"/>
      <c r="AP115" s="89"/>
      <c r="AQ115" s="89"/>
      <c r="AR115" s="89"/>
      <c r="AS115" s="92"/>
      <c r="AT115" s="89"/>
      <c r="AU115" s="89"/>
      <c r="AV115" s="89"/>
      <c r="AW115" s="92"/>
      <c r="AX115" s="89"/>
      <c r="AY115" s="89"/>
    </row>
    <row r="116" spans="1:51" ht="13">
      <c r="A116" s="89" t="s">
        <v>344</v>
      </c>
      <c r="B116" s="89"/>
      <c r="C116" s="89"/>
      <c r="D116" s="89"/>
      <c r="E116" s="89"/>
      <c r="F116" s="89"/>
      <c r="G116" s="89"/>
      <c r="H116" s="89"/>
      <c r="I116" s="89"/>
      <c r="J116" s="89"/>
      <c r="K116" s="89"/>
      <c r="L116" s="89"/>
      <c r="M116" s="89"/>
      <c r="N116" s="89"/>
      <c r="O116" s="89"/>
      <c r="P116" s="89"/>
      <c r="Q116" s="92"/>
      <c r="R116" s="89"/>
      <c r="S116" s="89"/>
      <c r="T116" s="89"/>
      <c r="U116" s="92"/>
      <c r="V116" s="89"/>
      <c r="W116" s="89"/>
      <c r="X116" s="89"/>
      <c r="Y116" s="92"/>
      <c r="Z116" s="89"/>
      <c r="AA116" s="89"/>
      <c r="AB116" s="89"/>
      <c r="AC116" s="92"/>
      <c r="AD116" s="89"/>
      <c r="AE116" s="89"/>
      <c r="AF116" s="89"/>
      <c r="AG116" s="92"/>
      <c r="AH116" s="89"/>
      <c r="AI116" s="89"/>
      <c r="AJ116" s="89"/>
      <c r="AK116" s="92"/>
      <c r="AL116" s="89"/>
      <c r="AM116" s="149"/>
      <c r="AN116" s="149"/>
      <c r="AO116" s="92"/>
      <c r="AP116" s="89"/>
      <c r="AQ116" s="89"/>
      <c r="AR116" s="89"/>
      <c r="AS116" s="92"/>
      <c r="AT116" s="89"/>
      <c r="AU116" s="89"/>
      <c r="AV116" s="89"/>
      <c r="AW116" s="92"/>
      <c r="AX116" s="89"/>
      <c r="AY116" s="89"/>
    </row>
    <row r="117" spans="1:51" ht="13">
      <c r="A117" s="89" t="s">
        <v>345</v>
      </c>
      <c r="B117" s="188"/>
      <c r="C117" s="188"/>
      <c r="D117" s="188"/>
      <c r="E117" s="262"/>
      <c r="F117" s="89"/>
      <c r="G117" s="89"/>
      <c r="H117" s="89"/>
      <c r="I117" s="89"/>
      <c r="J117" s="89"/>
      <c r="K117" s="188"/>
      <c r="L117" s="188"/>
      <c r="M117" s="89"/>
      <c r="N117" s="188"/>
      <c r="O117" s="188"/>
      <c r="P117" s="188"/>
      <c r="Q117" s="92"/>
      <c r="R117" s="188"/>
      <c r="S117" s="188"/>
      <c r="T117" s="188"/>
      <c r="U117" s="92"/>
      <c r="V117" s="188"/>
      <c r="W117" s="188"/>
      <c r="X117" s="188"/>
      <c r="Y117" s="92"/>
      <c r="Z117" s="188"/>
      <c r="AA117" s="188"/>
      <c r="AB117" s="188"/>
      <c r="AC117" s="92"/>
      <c r="AD117" s="188"/>
      <c r="AE117" s="188"/>
      <c r="AF117" s="188"/>
      <c r="AG117" s="92"/>
      <c r="AH117" s="188"/>
      <c r="AI117" s="188"/>
      <c r="AJ117" s="263"/>
      <c r="AK117" s="264"/>
      <c r="AL117" s="263"/>
      <c r="AM117" s="263"/>
      <c r="AN117" s="263"/>
      <c r="AO117" s="92"/>
      <c r="AP117" s="263"/>
      <c r="AQ117" s="188"/>
      <c r="AR117" s="188"/>
      <c r="AS117" s="92"/>
      <c r="AT117" s="263"/>
      <c r="AU117" s="188"/>
      <c r="AV117" s="188"/>
      <c r="AW117" s="92"/>
      <c r="AX117" s="263"/>
      <c r="AY117" s="188"/>
    </row>
  </sheetData>
  <hyperlinks>
    <hyperlink ref="A2" location="'START PAGE'!A1" display="Back to start page" xr:uid="{68C6500E-8888-45D4-AAFA-46E9736D52C1}"/>
  </hyperlinks>
  <pageMargins left="0.7" right="0.7" top="0.75" bottom="0.75" header="0.3" footer="0.3"/>
  <pageSetup paperSize="9" scale="48"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F8243-B611-4F7C-8B9B-166F4DB14CAF}">
  <sheetPr>
    <tabColor rgb="FFFFCD00"/>
    <pageSetUpPr fitToPage="1"/>
  </sheetPr>
  <dimension ref="A1:AY169"/>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0" defaultRowHeight="13.5" customHeight="1"/>
  <cols>
    <col min="1" max="1" width="65.5" customWidth="1"/>
    <col min="2" max="5" width="8.5" bestFit="1" customWidth="1"/>
    <col min="6" max="7" width="10.6640625" bestFit="1" customWidth="1"/>
    <col min="8" max="8" width="11.33203125" bestFit="1" customWidth="1"/>
    <col min="9" max="9" width="11.5" customWidth="1"/>
    <col min="10" max="10" width="10.6640625" bestFit="1" customWidth="1"/>
    <col min="11" max="12" width="13.33203125" customWidth="1"/>
    <col min="13" max="13" width="11.33203125" bestFit="1" customWidth="1"/>
    <col min="14" max="14" width="5.6640625" customWidth="1"/>
    <col min="15" max="17" width="6.33203125" customWidth="1"/>
    <col min="18" max="19" width="6.6640625" customWidth="1"/>
    <col min="20" max="20" width="6.33203125" customWidth="1"/>
    <col min="21" max="25" width="6.6640625" customWidth="1"/>
    <col min="26" max="29" width="6.33203125" customWidth="1"/>
    <col min="30" max="32" width="6.6640625" customWidth="1"/>
    <col min="33" max="33" width="6.33203125" customWidth="1"/>
    <col min="34" max="36" width="6.6640625" customWidth="1"/>
    <col min="37" max="37" width="6.33203125" bestFit="1" customWidth="1"/>
    <col min="38" max="51" width="6.6640625" customWidth="1"/>
  </cols>
  <sheetData>
    <row r="1" spans="1:51" ht="17" thickBot="1">
      <c r="A1" s="1" t="s">
        <v>346</v>
      </c>
      <c r="B1" s="87" t="s">
        <v>124</v>
      </c>
      <c r="C1" s="88"/>
      <c r="D1" s="88"/>
      <c r="E1" s="88"/>
      <c r="F1" s="88"/>
      <c r="G1" s="88"/>
      <c r="H1" s="88"/>
      <c r="I1" s="88"/>
      <c r="J1" s="88"/>
      <c r="K1" s="88"/>
      <c r="L1" s="88"/>
      <c r="M1" s="89"/>
      <c r="N1" s="87" t="s">
        <v>125</v>
      </c>
      <c r="O1" s="88"/>
      <c r="P1" s="88"/>
      <c r="Q1" s="90"/>
      <c r="R1" s="88"/>
      <c r="S1" s="88"/>
      <c r="T1" s="88"/>
      <c r="U1" s="90"/>
      <c r="V1" s="88"/>
      <c r="W1" s="88"/>
      <c r="X1" s="88"/>
      <c r="Y1" s="90"/>
      <c r="Z1" s="88"/>
      <c r="AA1" s="88"/>
      <c r="AB1" s="88"/>
      <c r="AC1" s="90"/>
      <c r="AD1" s="88"/>
      <c r="AE1" s="88"/>
      <c r="AF1" s="88"/>
      <c r="AG1" s="90"/>
      <c r="AH1" s="88"/>
      <c r="AI1" s="88"/>
      <c r="AJ1" s="88"/>
      <c r="AK1" s="90"/>
      <c r="AL1" s="88"/>
      <c r="AM1" s="88"/>
      <c r="AN1" s="88"/>
      <c r="AO1" s="90"/>
      <c r="AP1" s="88"/>
      <c r="AQ1" s="88"/>
      <c r="AR1" s="88"/>
      <c r="AS1" s="90"/>
      <c r="AT1" s="88"/>
      <c r="AU1" s="88"/>
      <c r="AV1" s="88"/>
      <c r="AW1" s="90"/>
      <c r="AX1" s="88"/>
      <c r="AY1" s="88"/>
    </row>
    <row r="2" spans="1:51" ht="15" thickTop="1" thickBot="1">
      <c r="A2" s="18" t="s">
        <v>30</v>
      </c>
      <c r="B2" s="265"/>
      <c r="C2" s="265"/>
      <c r="D2" s="265"/>
      <c r="E2" s="265"/>
      <c r="F2" s="265"/>
      <c r="G2" s="265"/>
      <c r="H2" s="265"/>
      <c r="I2" s="266" t="s">
        <v>291</v>
      </c>
      <c r="J2" s="265"/>
      <c r="K2" s="265"/>
      <c r="L2" s="265"/>
      <c r="M2" s="265"/>
      <c r="N2" s="265"/>
      <c r="O2" s="265"/>
      <c r="P2" s="265"/>
      <c r="Q2" s="267"/>
      <c r="R2" s="265"/>
      <c r="S2" s="265"/>
      <c r="T2" s="265"/>
      <c r="U2" s="267"/>
      <c r="V2" s="265"/>
      <c r="W2" s="265"/>
      <c r="X2" s="265"/>
      <c r="Y2" s="267"/>
      <c r="Z2" s="265"/>
      <c r="AA2" s="265"/>
      <c r="AB2" s="265"/>
      <c r="AC2" s="267"/>
      <c r="AD2" s="265"/>
      <c r="AE2" s="265"/>
      <c r="AF2" s="265"/>
      <c r="AG2" s="267"/>
      <c r="AH2" s="266" t="s">
        <v>291</v>
      </c>
      <c r="AI2" s="265"/>
      <c r="AJ2" s="265"/>
      <c r="AK2" s="267"/>
      <c r="AL2" s="265"/>
      <c r="AM2" s="265"/>
      <c r="AN2" s="265"/>
      <c r="AO2" s="267"/>
      <c r="AP2" s="265"/>
      <c r="AQ2" s="265"/>
      <c r="AR2" s="265"/>
      <c r="AS2" s="267"/>
      <c r="AT2" s="265"/>
      <c r="AU2" s="265"/>
      <c r="AV2" s="265"/>
      <c r="AW2" s="267"/>
      <c r="AX2" s="265"/>
      <c r="AY2" s="265"/>
    </row>
    <row r="3" spans="1:51" ht="14" thickTop="1">
      <c r="A3" s="268" t="s">
        <v>347</v>
      </c>
      <c r="B3" s="269">
        <v>2015</v>
      </c>
      <c r="C3" s="269">
        <v>2016</v>
      </c>
      <c r="D3" s="270">
        <v>2017</v>
      </c>
      <c r="E3" s="270">
        <v>2018</v>
      </c>
      <c r="F3" s="270">
        <v>2019</v>
      </c>
      <c r="G3" s="270">
        <v>2020</v>
      </c>
      <c r="H3" s="270">
        <v>2021</v>
      </c>
      <c r="I3" s="270">
        <v>2022</v>
      </c>
      <c r="J3" s="270">
        <v>2023</v>
      </c>
      <c r="K3" s="270">
        <v>2024</v>
      </c>
      <c r="L3" s="270">
        <v>2025</v>
      </c>
      <c r="M3" s="265"/>
      <c r="N3" s="124" t="s">
        <v>264</v>
      </c>
      <c r="O3" s="124" t="s">
        <v>265</v>
      </c>
      <c r="P3" s="124" t="s">
        <v>266</v>
      </c>
      <c r="Q3" s="125" t="s">
        <v>267</v>
      </c>
      <c r="R3" s="124" t="s">
        <v>128</v>
      </c>
      <c r="S3" s="124" t="s">
        <v>129</v>
      </c>
      <c r="T3" s="124" t="s">
        <v>130</v>
      </c>
      <c r="U3" s="125" t="s">
        <v>131</v>
      </c>
      <c r="V3" s="124" t="s">
        <v>132</v>
      </c>
      <c r="W3" s="124" t="s">
        <v>133</v>
      </c>
      <c r="X3" s="124" t="s">
        <v>134</v>
      </c>
      <c r="Y3" s="125" t="s">
        <v>135</v>
      </c>
      <c r="Z3" s="124" t="s">
        <v>136</v>
      </c>
      <c r="AA3" s="124" t="s">
        <v>137</v>
      </c>
      <c r="AB3" s="124" t="s">
        <v>138</v>
      </c>
      <c r="AC3" s="125" t="s">
        <v>139</v>
      </c>
      <c r="AD3" s="124" t="s">
        <v>140</v>
      </c>
      <c r="AE3" s="124" t="s">
        <v>141</v>
      </c>
      <c r="AF3" s="124" t="s">
        <v>142</v>
      </c>
      <c r="AG3" s="125" t="s">
        <v>143</v>
      </c>
      <c r="AH3" s="124" t="s">
        <v>144</v>
      </c>
      <c r="AI3" s="124" t="s">
        <v>145</v>
      </c>
      <c r="AJ3" s="124" t="s">
        <v>146</v>
      </c>
      <c r="AK3" s="125" t="s">
        <v>147</v>
      </c>
      <c r="AL3" s="124" t="s">
        <v>148</v>
      </c>
      <c r="AM3" s="124" t="s">
        <v>149</v>
      </c>
      <c r="AN3" s="124" t="s">
        <v>150</v>
      </c>
      <c r="AO3" s="125" t="s">
        <v>151</v>
      </c>
      <c r="AP3" s="124" t="s">
        <v>152</v>
      </c>
      <c r="AQ3" s="124" t="s">
        <v>153</v>
      </c>
      <c r="AR3" s="124" t="s">
        <v>154</v>
      </c>
      <c r="AS3" s="125" t="s">
        <v>155</v>
      </c>
      <c r="AT3" s="124" t="s">
        <v>156</v>
      </c>
      <c r="AU3" s="124" t="s">
        <v>157</v>
      </c>
      <c r="AV3" s="124" t="s">
        <v>158</v>
      </c>
      <c r="AW3" s="125" t="s">
        <v>820</v>
      </c>
      <c r="AX3" s="124" t="s">
        <v>1275</v>
      </c>
      <c r="AY3" s="124" t="s">
        <v>1344</v>
      </c>
    </row>
    <row r="4" spans="1:51" ht="13">
      <c r="A4" s="265" t="s">
        <v>348</v>
      </c>
      <c r="B4" s="270"/>
      <c r="C4" s="270"/>
      <c r="D4" s="270"/>
      <c r="E4" s="270"/>
      <c r="F4" s="270"/>
      <c r="G4" s="270"/>
      <c r="H4" s="270"/>
      <c r="I4" s="270"/>
      <c r="J4" s="270"/>
      <c r="K4" s="270"/>
      <c r="L4" s="270"/>
      <c r="M4" s="265"/>
      <c r="N4" s="270"/>
      <c r="O4" s="270"/>
      <c r="P4" s="270"/>
      <c r="Q4" s="271"/>
      <c r="R4" s="270"/>
      <c r="S4" s="270"/>
      <c r="T4" s="270"/>
      <c r="U4" s="271"/>
      <c r="V4" s="270"/>
      <c r="W4" s="270"/>
      <c r="X4" s="270"/>
      <c r="Y4" s="271"/>
      <c r="Z4" s="270"/>
      <c r="AA4" s="270"/>
      <c r="AB4" s="270"/>
      <c r="AC4" s="271"/>
      <c r="AD4" s="270"/>
      <c r="AE4" s="270"/>
      <c r="AF4" s="270"/>
      <c r="AG4" s="271"/>
      <c r="AH4" s="270"/>
      <c r="AI4" s="270"/>
      <c r="AJ4" s="270"/>
      <c r="AK4" s="271"/>
      <c r="AL4" s="272" t="s">
        <v>349</v>
      </c>
      <c r="AM4" s="270"/>
      <c r="AN4" s="270"/>
      <c r="AO4" s="271"/>
      <c r="AP4" s="270"/>
      <c r="AQ4" s="270"/>
      <c r="AR4" s="270"/>
      <c r="AS4" s="271"/>
      <c r="AT4" s="270"/>
      <c r="AU4" s="270"/>
      <c r="AV4" s="270"/>
      <c r="AW4" s="271"/>
      <c r="AX4" s="270"/>
      <c r="AY4" s="270"/>
    </row>
    <row r="5" spans="1:51" ht="13">
      <c r="A5" s="273" t="s">
        <v>350</v>
      </c>
      <c r="B5" s="274">
        <v>27551</v>
      </c>
      <c r="C5" s="274">
        <v>27634</v>
      </c>
      <c r="D5" s="274">
        <v>33831</v>
      </c>
      <c r="E5" s="274">
        <v>39400</v>
      </c>
      <c r="F5" s="274">
        <v>39492</v>
      </c>
      <c r="G5" s="274">
        <v>36579</v>
      </c>
      <c r="H5" s="274">
        <v>45648</v>
      </c>
      <c r="I5" s="274">
        <v>53222</v>
      </c>
      <c r="J5" s="274">
        <v>59332</v>
      </c>
      <c r="K5" s="274">
        <v>62213</v>
      </c>
      <c r="L5" s="274">
        <v>62974</v>
      </c>
      <c r="M5" s="275"/>
      <c r="N5" s="274">
        <v>8520</v>
      </c>
      <c r="O5" s="274">
        <v>8662</v>
      </c>
      <c r="P5" s="274">
        <v>8591</v>
      </c>
      <c r="Q5" s="276">
        <v>8058</v>
      </c>
      <c r="R5" s="274">
        <v>10036</v>
      </c>
      <c r="S5" s="274">
        <v>10483</v>
      </c>
      <c r="T5" s="274">
        <v>9413</v>
      </c>
      <c r="U5" s="276">
        <v>9468</v>
      </c>
      <c r="V5" s="274">
        <v>10063</v>
      </c>
      <c r="W5" s="274">
        <v>10553</v>
      </c>
      <c r="X5" s="274">
        <v>9600</v>
      </c>
      <c r="Y5" s="276">
        <v>9276</v>
      </c>
      <c r="Z5" s="274">
        <v>9772</v>
      </c>
      <c r="AA5" s="274">
        <v>8105</v>
      </c>
      <c r="AB5" s="274">
        <v>9373</v>
      </c>
      <c r="AC5" s="276">
        <v>9329</v>
      </c>
      <c r="AD5" s="274">
        <v>10690</v>
      </c>
      <c r="AE5" s="274">
        <v>11070</v>
      </c>
      <c r="AF5" s="274">
        <v>12245</v>
      </c>
      <c r="AG5" s="276">
        <v>11643</v>
      </c>
      <c r="AH5" s="274">
        <v>13818</v>
      </c>
      <c r="AI5" s="274">
        <v>13377</v>
      </c>
      <c r="AJ5" s="274">
        <v>12322</v>
      </c>
      <c r="AK5" s="276">
        <v>13705</v>
      </c>
      <c r="AL5" s="274">
        <v>15148</v>
      </c>
      <c r="AM5" s="274">
        <v>15436</v>
      </c>
      <c r="AN5" s="274">
        <v>14360</v>
      </c>
      <c r="AO5" s="276">
        <v>14388</v>
      </c>
      <c r="AP5" s="274">
        <v>14162</v>
      </c>
      <c r="AQ5" s="274">
        <v>16349</v>
      </c>
      <c r="AR5" s="274">
        <v>15520</v>
      </c>
      <c r="AS5" s="276">
        <v>16182</v>
      </c>
      <c r="AT5" s="274">
        <v>16586</v>
      </c>
      <c r="AU5" s="274">
        <v>15276</v>
      </c>
      <c r="AV5" s="274">
        <v>15142</v>
      </c>
      <c r="AW5" s="276">
        <v>15970</v>
      </c>
      <c r="AX5" s="274">
        <v>18340</v>
      </c>
      <c r="AY5" s="274">
        <v>17305</v>
      </c>
    </row>
    <row r="6" spans="1:51" ht="13">
      <c r="A6" s="265" t="s">
        <v>351</v>
      </c>
      <c r="B6" s="277">
        <v>6501</v>
      </c>
      <c r="C6" s="277">
        <v>6375</v>
      </c>
      <c r="D6" s="277">
        <v>7613</v>
      </c>
      <c r="E6" s="277">
        <v>8812</v>
      </c>
      <c r="F6" s="277">
        <v>8744</v>
      </c>
      <c r="G6" s="277">
        <v>7693</v>
      </c>
      <c r="H6" s="277">
        <v>10585</v>
      </c>
      <c r="I6" s="277">
        <v>13696</v>
      </c>
      <c r="J6" s="277">
        <v>14760</v>
      </c>
      <c r="K6" s="277">
        <v>16970</v>
      </c>
      <c r="L6" s="277">
        <v>18549</v>
      </c>
      <c r="M6" s="277"/>
      <c r="N6" s="277">
        <v>1967</v>
      </c>
      <c r="O6" s="277">
        <v>2092</v>
      </c>
      <c r="P6" s="277">
        <v>1897</v>
      </c>
      <c r="Q6" s="278">
        <v>1657</v>
      </c>
      <c r="R6" s="277">
        <v>2176</v>
      </c>
      <c r="S6" s="277">
        <v>2076</v>
      </c>
      <c r="T6" s="277">
        <v>2180</v>
      </c>
      <c r="U6" s="278">
        <v>2379</v>
      </c>
      <c r="V6" s="277">
        <v>2160</v>
      </c>
      <c r="W6" s="277">
        <v>2262</v>
      </c>
      <c r="X6" s="277">
        <v>2360</v>
      </c>
      <c r="Y6" s="278">
        <v>1962</v>
      </c>
      <c r="Z6" s="277">
        <v>2168</v>
      </c>
      <c r="AA6" s="277">
        <v>1654</v>
      </c>
      <c r="AB6" s="277">
        <v>2002</v>
      </c>
      <c r="AC6" s="278">
        <v>1869</v>
      </c>
      <c r="AD6" s="277">
        <v>2226</v>
      </c>
      <c r="AE6" s="277">
        <v>2542</v>
      </c>
      <c r="AF6" s="277">
        <v>2974</v>
      </c>
      <c r="AG6" s="278">
        <v>2843</v>
      </c>
      <c r="AH6" s="277">
        <v>3358</v>
      </c>
      <c r="AI6" s="277">
        <v>3753</v>
      </c>
      <c r="AJ6" s="277">
        <v>3438</v>
      </c>
      <c r="AK6" s="278">
        <v>3147</v>
      </c>
      <c r="AL6" s="277">
        <v>3608</v>
      </c>
      <c r="AM6" s="277">
        <v>3651</v>
      </c>
      <c r="AN6" s="277">
        <v>3825</v>
      </c>
      <c r="AO6" s="278">
        <v>3676</v>
      </c>
      <c r="AP6" s="277">
        <v>3611</v>
      </c>
      <c r="AQ6" s="277">
        <v>4734</v>
      </c>
      <c r="AR6" s="277">
        <v>4087</v>
      </c>
      <c r="AS6" s="278">
        <v>4538</v>
      </c>
      <c r="AT6" s="277">
        <v>5180</v>
      </c>
      <c r="AU6" s="277">
        <v>4432</v>
      </c>
      <c r="AV6" s="277">
        <v>4122</v>
      </c>
      <c r="AW6" s="278">
        <v>4815</v>
      </c>
      <c r="AX6" s="277">
        <v>5830</v>
      </c>
      <c r="AY6" s="277">
        <v>4981</v>
      </c>
    </row>
    <row r="7" spans="1:51" ht="13">
      <c r="A7" s="265" t="s">
        <v>352</v>
      </c>
      <c r="B7" s="277">
        <v>3719</v>
      </c>
      <c r="C7" s="277">
        <v>3769</v>
      </c>
      <c r="D7" s="277">
        <v>4723</v>
      </c>
      <c r="E7" s="277">
        <v>6225</v>
      </c>
      <c r="F7" s="277">
        <v>5396</v>
      </c>
      <c r="G7" s="277">
        <v>4880</v>
      </c>
      <c r="H7" s="277">
        <v>5575</v>
      </c>
      <c r="I7" s="277">
        <v>7532</v>
      </c>
      <c r="J7" s="277">
        <v>8433</v>
      </c>
      <c r="K7" s="277">
        <v>7826</v>
      </c>
      <c r="L7" s="277">
        <v>8205</v>
      </c>
      <c r="M7" s="277"/>
      <c r="N7" s="277">
        <v>1167</v>
      </c>
      <c r="O7" s="277">
        <v>1189</v>
      </c>
      <c r="P7" s="277">
        <v>1105</v>
      </c>
      <c r="Q7" s="278">
        <v>1262</v>
      </c>
      <c r="R7" s="277">
        <v>1488</v>
      </c>
      <c r="S7" s="277">
        <v>1844</v>
      </c>
      <c r="T7" s="277">
        <v>1236</v>
      </c>
      <c r="U7" s="278">
        <v>1657</v>
      </c>
      <c r="V7" s="277">
        <v>1344</v>
      </c>
      <c r="W7" s="277">
        <v>1481</v>
      </c>
      <c r="X7" s="277">
        <v>1451</v>
      </c>
      <c r="Y7" s="278">
        <v>1120</v>
      </c>
      <c r="Z7" s="277">
        <v>1284</v>
      </c>
      <c r="AA7" s="277">
        <v>1175</v>
      </c>
      <c r="AB7" s="277">
        <v>1157</v>
      </c>
      <c r="AC7" s="278">
        <v>1264</v>
      </c>
      <c r="AD7" s="277">
        <v>1177</v>
      </c>
      <c r="AE7" s="277">
        <v>1420</v>
      </c>
      <c r="AF7" s="277">
        <v>1480</v>
      </c>
      <c r="AG7" s="278">
        <v>1498</v>
      </c>
      <c r="AH7" s="277">
        <v>1687</v>
      </c>
      <c r="AI7" s="277">
        <v>1892</v>
      </c>
      <c r="AJ7" s="277">
        <v>1851</v>
      </c>
      <c r="AK7" s="278">
        <v>2102</v>
      </c>
      <c r="AL7" s="277">
        <v>1803</v>
      </c>
      <c r="AM7" s="277">
        <v>2257</v>
      </c>
      <c r="AN7" s="277">
        <v>1937</v>
      </c>
      <c r="AO7" s="278">
        <v>2436</v>
      </c>
      <c r="AP7" s="277">
        <v>2023</v>
      </c>
      <c r="AQ7" s="277">
        <v>1690</v>
      </c>
      <c r="AR7" s="277">
        <v>2147</v>
      </c>
      <c r="AS7" s="278">
        <v>1966</v>
      </c>
      <c r="AT7" s="277">
        <v>2020</v>
      </c>
      <c r="AU7" s="277">
        <v>2042</v>
      </c>
      <c r="AV7" s="277">
        <v>2133</v>
      </c>
      <c r="AW7" s="278">
        <v>2010</v>
      </c>
      <c r="AX7" s="277">
        <v>2154</v>
      </c>
      <c r="AY7" s="277">
        <v>2130</v>
      </c>
    </row>
    <row r="8" spans="1:51" ht="13">
      <c r="A8" s="265" t="s">
        <v>353</v>
      </c>
      <c r="B8" s="277">
        <v>6743</v>
      </c>
      <c r="C8" s="277">
        <v>6850</v>
      </c>
      <c r="D8" s="277">
        <v>8404</v>
      </c>
      <c r="E8" s="277">
        <v>9349</v>
      </c>
      <c r="F8" s="277">
        <v>9057</v>
      </c>
      <c r="G8" s="277">
        <v>8574</v>
      </c>
      <c r="H8" s="277">
        <v>10573</v>
      </c>
      <c r="I8" s="277">
        <v>7459</v>
      </c>
      <c r="J8" s="277">
        <v>7774</v>
      </c>
      <c r="K8" s="277">
        <v>8268</v>
      </c>
      <c r="L8" s="277">
        <v>8583</v>
      </c>
      <c r="M8" s="277"/>
      <c r="N8" s="277">
        <v>2246</v>
      </c>
      <c r="O8" s="277">
        <v>2190</v>
      </c>
      <c r="P8" s="277">
        <v>1937</v>
      </c>
      <c r="Q8" s="278">
        <v>2031</v>
      </c>
      <c r="R8" s="277">
        <v>2488</v>
      </c>
      <c r="S8" s="277">
        <v>2503</v>
      </c>
      <c r="T8" s="277">
        <v>2388</v>
      </c>
      <c r="U8" s="278">
        <v>1969</v>
      </c>
      <c r="V8" s="277">
        <v>2430</v>
      </c>
      <c r="W8" s="277">
        <v>2399</v>
      </c>
      <c r="X8" s="277">
        <v>2063</v>
      </c>
      <c r="Y8" s="278">
        <v>2165</v>
      </c>
      <c r="Z8" s="277">
        <v>2381</v>
      </c>
      <c r="AA8" s="277">
        <v>1891</v>
      </c>
      <c r="AB8" s="277">
        <v>2092</v>
      </c>
      <c r="AC8" s="278">
        <v>2210</v>
      </c>
      <c r="AD8" s="277">
        <v>2623</v>
      </c>
      <c r="AE8" s="277">
        <v>2612</v>
      </c>
      <c r="AF8" s="277">
        <v>2577</v>
      </c>
      <c r="AG8" s="278">
        <v>2761</v>
      </c>
      <c r="AH8" s="277">
        <v>3100</v>
      </c>
      <c r="AI8" s="277">
        <v>1742</v>
      </c>
      <c r="AJ8" s="277">
        <v>601</v>
      </c>
      <c r="AK8" s="278">
        <v>2016</v>
      </c>
      <c r="AL8" s="277">
        <v>2304</v>
      </c>
      <c r="AM8" s="277">
        <v>2120</v>
      </c>
      <c r="AN8" s="277">
        <v>1589</v>
      </c>
      <c r="AO8" s="278">
        <v>1761</v>
      </c>
      <c r="AP8" s="277">
        <v>2191</v>
      </c>
      <c r="AQ8" s="277">
        <v>2327</v>
      </c>
      <c r="AR8" s="277">
        <v>1836</v>
      </c>
      <c r="AS8" s="278">
        <v>1914</v>
      </c>
      <c r="AT8" s="277">
        <v>2460</v>
      </c>
      <c r="AU8" s="277">
        <v>2108</v>
      </c>
      <c r="AV8" s="277">
        <v>2053</v>
      </c>
      <c r="AW8" s="278">
        <v>1962</v>
      </c>
      <c r="AX8" s="277">
        <v>2259</v>
      </c>
      <c r="AY8" s="277">
        <v>2430</v>
      </c>
    </row>
    <row r="9" spans="1:51" ht="13">
      <c r="A9" s="265" t="s">
        <v>354</v>
      </c>
      <c r="B9" s="277">
        <v>4374</v>
      </c>
      <c r="C9" s="277">
        <v>3857</v>
      </c>
      <c r="D9" s="277">
        <v>4582</v>
      </c>
      <c r="E9" s="277">
        <v>5446</v>
      </c>
      <c r="F9" s="277">
        <v>5468</v>
      </c>
      <c r="G9" s="277">
        <v>5058</v>
      </c>
      <c r="H9" s="277">
        <v>6470</v>
      </c>
      <c r="I9" s="277">
        <v>8299</v>
      </c>
      <c r="J9" s="277">
        <v>10385</v>
      </c>
      <c r="K9" s="277">
        <v>10262</v>
      </c>
      <c r="L9" s="277">
        <v>9859</v>
      </c>
      <c r="M9" s="277"/>
      <c r="N9" s="277">
        <v>1033</v>
      </c>
      <c r="O9" s="277">
        <v>990</v>
      </c>
      <c r="P9" s="277">
        <v>1339</v>
      </c>
      <c r="Q9" s="278">
        <v>1220</v>
      </c>
      <c r="R9" s="277">
        <v>1478</v>
      </c>
      <c r="S9" s="277">
        <v>1518</v>
      </c>
      <c r="T9" s="277">
        <v>1191</v>
      </c>
      <c r="U9" s="278">
        <v>1260</v>
      </c>
      <c r="V9" s="277">
        <v>1311</v>
      </c>
      <c r="W9" s="277">
        <v>1409</v>
      </c>
      <c r="X9" s="277">
        <v>1274</v>
      </c>
      <c r="Y9" s="278">
        <v>1474</v>
      </c>
      <c r="Z9" s="277">
        <v>1409</v>
      </c>
      <c r="AA9" s="277">
        <v>943</v>
      </c>
      <c r="AB9" s="277">
        <v>1411</v>
      </c>
      <c r="AC9" s="278">
        <v>1295</v>
      </c>
      <c r="AD9" s="277">
        <v>1629</v>
      </c>
      <c r="AE9" s="277">
        <v>1495</v>
      </c>
      <c r="AF9" s="277">
        <v>1793</v>
      </c>
      <c r="AG9" s="278">
        <v>1553</v>
      </c>
      <c r="AH9" s="277">
        <v>2125</v>
      </c>
      <c r="AI9" s="277">
        <v>1962</v>
      </c>
      <c r="AJ9" s="277">
        <v>2312</v>
      </c>
      <c r="AK9" s="278">
        <v>1900</v>
      </c>
      <c r="AL9" s="277">
        <v>2561</v>
      </c>
      <c r="AM9" s="277">
        <v>2885</v>
      </c>
      <c r="AN9" s="277">
        <v>2919</v>
      </c>
      <c r="AO9" s="278">
        <v>2020</v>
      </c>
      <c r="AP9" s="277">
        <v>2094</v>
      </c>
      <c r="AQ9" s="277">
        <v>2635</v>
      </c>
      <c r="AR9" s="277">
        <v>2597</v>
      </c>
      <c r="AS9" s="278">
        <v>2936</v>
      </c>
      <c r="AT9" s="277">
        <v>2345</v>
      </c>
      <c r="AU9" s="277">
        <v>2430</v>
      </c>
      <c r="AV9" s="277">
        <v>2858</v>
      </c>
      <c r="AW9" s="278">
        <v>2226</v>
      </c>
      <c r="AX9" s="277">
        <v>3436</v>
      </c>
      <c r="AY9" s="277">
        <v>2733</v>
      </c>
    </row>
    <row r="10" spans="1:51" ht="13">
      <c r="A10" s="265" t="s">
        <v>355</v>
      </c>
      <c r="B10" s="277">
        <v>6214</v>
      </c>
      <c r="C10" s="277">
        <v>6783</v>
      </c>
      <c r="D10" s="277">
        <v>8509</v>
      </c>
      <c r="E10" s="277">
        <v>9568</v>
      </c>
      <c r="F10" s="277">
        <v>10827</v>
      </c>
      <c r="G10" s="277">
        <v>10374</v>
      </c>
      <c r="H10" s="277">
        <v>12445</v>
      </c>
      <c r="I10" s="277">
        <v>16236</v>
      </c>
      <c r="J10" s="277">
        <v>17980</v>
      </c>
      <c r="K10" s="277">
        <v>18887</v>
      </c>
      <c r="L10" s="277">
        <v>17778</v>
      </c>
      <c r="M10" s="277"/>
      <c r="N10" s="277">
        <v>2107</v>
      </c>
      <c r="O10" s="277">
        <v>2201</v>
      </c>
      <c r="P10" s="277">
        <v>2313</v>
      </c>
      <c r="Q10" s="278">
        <v>1888</v>
      </c>
      <c r="R10" s="277">
        <v>2406</v>
      </c>
      <c r="S10" s="277">
        <v>2542</v>
      </c>
      <c r="T10" s="277">
        <v>2418</v>
      </c>
      <c r="U10" s="278">
        <v>2203</v>
      </c>
      <c r="V10" s="277">
        <v>2818</v>
      </c>
      <c r="W10" s="277">
        <v>3002</v>
      </c>
      <c r="X10" s="277">
        <v>2452</v>
      </c>
      <c r="Y10" s="278">
        <v>2555</v>
      </c>
      <c r="Z10" s="277">
        <v>2530</v>
      </c>
      <c r="AA10" s="277">
        <v>2442</v>
      </c>
      <c r="AB10" s="277">
        <v>2711</v>
      </c>
      <c r="AC10" s="278">
        <v>2691</v>
      </c>
      <c r="AD10" s="277">
        <v>3035</v>
      </c>
      <c r="AE10" s="277">
        <v>3001</v>
      </c>
      <c r="AF10" s="277">
        <v>3421</v>
      </c>
      <c r="AG10" s="278">
        <v>2988</v>
      </c>
      <c r="AH10" s="277">
        <v>3548</v>
      </c>
      <c r="AI10" s="277">
        <v>4028</v>
      </c>
      <c r="AJ10" s="277">
        <v>4120</v>
      </c>
      <c r="AK10" s="278">
        <v>4540</v>
      </c>
      <c r="AL10" s="277">
        <v>4872</v>
      </c>
      <c r="AM10" s="277">
        <v>4523</v>
      </c>
      <c r="AN10" s="277">
        <v>4090</v>
      </c>
      <c r="AO10" s="278">
        <v>4495</v>
      </c>
      <c r="AP10" s="277">
        <v>4243</v>
      </c>
      <c r="AQ10" s="277">
        <v>4963</v>
      </c>
      <c r="AR10" s="277">
        <v>4853</v>
      </c>
      <c r="AS10" s="278">
        <v>4828</v>
      </c>
      <c r="AT10" s="277">
        <v>4581</v>
      </c>
      <c r="AU10" s="277">
        <v>4264</v>
      </c>
      <c r="AV10" s="277">
        <v>3976</v>
      </c>
      <c r="AW10" s="278">
        <v>4957</v>
      </c>
      <c r="AX10" s="277">
        <v>4661</v>
      </c>
      <c r="AY10" s="277">
        <v>5031</v>
      </c>
    </row>
    <row r="11" spans="1:51" ht="13">
      <c r="A11" s="265"/>
      <c r="B11" s="265"/>
      <c r="C11" s="265"/>
      <c r="D11" s="277"/>
      <c r="E11" s="277"/>
      <c r="F11" s="277"/>
      <c r="G11" s="277"/>
      <c r="H11" s="277" t="s">
        <v>302</v>
      </c>
      <c r="I11" s="277"/>
      <c r="J11" s="277"/>
      <c r="K11" s="277"/>
      <c r="L11" s="277"/>
      <c r="M11" s="277"/>
      <c r="N11" s="265"/>
      <c r="O11" s="265"/>
      <c r="P11" s="265"/>
      <c r="Q11" s="278"/>
      <c r="R11" s="277"/>
      <c r="S11" s="277"/>
      <c r="T11" s="277"/>
      <c r="U11" s="278"/>
      <c r="V11" s="277"/>
      <c r="W11" s="277"/>
      <c r="X11" s="277"/>
      <c r="Y11" s="278"/>
      <c r="Z11" s="277"/>
      <c r="AA11" s="277"/>
      <c r="AB11" s="277"/>
      <c r="AC11" s="278"/>
      <c r="AD11" s="277"/>
      <c r="AE11" s="277" t="s">
        <v>302</v>
      </c>
      <c r="AF11" s="277" t="s">
        <v>302</v>
      </c>
      <c r="AG11" s="278"/>
      <c r="AH11" s="277"/>
      <c r="AI11" s="277"/>
      <c r="AJ11" s="277"/>
      <c r="AK11" s="278"/>
      <c r="AL11" s="277"/>
      <c r="AM11" s="277"/>
      <c r="AN11" s="277"/>
      <c r="AO11" s="278"/>
      <c r="AP11" s="277"/>
      <c r="AQ11" s="277"/>
      <c r="AR11" s="277"/>
      <c r="AS11" s="278" t="s">
        <v>302</v>
      </c>
      <c r="AT11" s="277"/>
      <c r="AU11" s="277"/>
      <c r="AV11" s="277"/>
      <c r="AW11" s="278"/>
      <c r="AX11" s="277"/>
      <c r="AY11" s="277"/>
    </row>
    <row r="12" spans="1:51" ht="13">
      <c r="A12" s="273" t="s">
        <v>293</v>
      </c>
      <c r="B12" s="274">
        <v>19213</v>
      </c>
      <c r="C12" s="274">
        <v>19412.654724004002</v>
      </c>
      <c r="D12" s="274">
        <v>24574</v>
      </c>
      <c r="E12" s="274">
        <v>29695</v>
      </c>
      <c r="F12" s="274">
        <v>28509</v>
      </c>
      <c r="G12" s="274">
        <v>27252</v>
      </c>
      <c r="H12" s="274">
        <v>34513</v>
      </c>
      <c r="I12" s="279">
        <v>42691</v>
      </c>
      <c r="J12" s="274">
        <v>46708</v>
      </c>
      <c r="K12" s="274">
        <v>47423</v>
      </c>
      <c r="L12" s="274">
        <v>47635</v>
      </c>
      <c r="M12" s="275"/>
      <c r="N12" s="274">
        <v>6200</v>
      </c>
      <c r="O12" s="274">
        <v>6323</v>
      </c>
      <c r="P12" s="274">
        <v>6263</v>
      </c>
      <c r="Q12" s="276">
        <v>5788</v>
      </c>
      <c r="R12" s="274">
        <v>7442</v>
      </c>
      <c r="S12" s="274">
        <v>7947</v>
      </c>
      <c r="T12" s="274">
        <v>7190</v>
      </c>
      <c r="U12" s="276">
        <v>7116</v>
      </c>
      <c r="V12" s="274">
        <v>7248</v>
      </c>
      <c r="W12" s="274">
        <v>7677</v>
      </c>
      <c r="X12" s="274">
        <v>6874</v>
      </c>
      <c r="Y12" s="276">
        <v>6710</v>
      </c>
      <c r="Z12" s="274">
        <v>7101</v>
      </c>
      <c r="AA12" s="274">
        <v>6129</v>
      </c>
      <c r="AB12" s="274">
        <v>7068</v>
      </c>
      <c r="AC12" s="276">
        <v>6954</v>
      </c>
      <c r="AD12" s="274">
        <v>7991</v>
      </c>
      <c r="AE12" s="274">
        <v>8387</v>
      </c>
      <c r="AF12" s="274">
        <v>9336</v>
      </c>
      <c r="AG12" s="276">
        <v>8799</v>
      </c>
      <c r="AH12" s="279">
        <v>10840</v>
      </c>
      <c r="AI12" s="279">
        <v>10897</v>
      </c>
      <c r="AJ12" s="279">
        <v>9791</v>
      </c>
      <c r="AK12" s="280">
        <v>11163</v>
      </c>
      <c r="AL12" s="274">
        <v>11570</v>
      </c>
      <c r="AM12" s="274">
        <v>12276</v>
      </c>
      <c r="AN12" s="274">
        <v>11311</v>
      </c>
      <c r="AO12" s="276">
        <v>11551</v>
      </c>
      <c r="AP12" s="274">
        <v>11025</v>
      </c>
      <c r="AQ12" s="274">
        <v>12388</v>
      </c>
      <c r="AR12" s="274">
        <v>11830</v>
      </c>
      <c r="AS12" s="276">
        <v>12180</v>
      </c>
      <c r="AT12" s="274">
        <v>12377</v>
      </c>
      <c r="AU12" s="274">
        <v>11506</v>
      </c>
      <c r="AV12" s="274">
        <v>11439</v>
      </c>
      <c r="AW12" s="276">
        <v>12313</v>
      </c>
      <c r="AX12" s="274">
        <v>14230</v>
      </c>
      <c r="AY12" s="274">
        <v>13432</v>
      </c>
    </row>
    <row r="13" spans="1:51" ht="13">
      <c r="A13" s="265" t="s">
        <v>351</v>
      </c>
      <c r="B13" s="277">
        <v>4119</v>
      </c>
      <c r="C13" s="277">
        <v>3921.3438913069999</v>
      </c>
      <c r="D13" s="277">
        <v>4907</v>
      </c>
      <c r="E13" s="277">
        <v>6093</v>
      </c>
      <c r="F13" s="277">
        <v>5516</v>
      </c>
      <c r="G13" s="277">
        <v>5180</v>
      </c>
      <c r="H13" s="277">
        <v>7594</v>
      </c>
      <c r="I13" s="281">
        <v>10523</v>
      </c>
      <c r="J13" s="277">
        <v>10782</v>
      </c>
      <c r="K13" s="277">
        <v>10862</v>
      </c>
      <c r="L13" s="277">
        <v>11806</v>
      </c>
      <c r="M13" s="277"/>
      <c r="N13" s="277">
        <v>1371</v>
      </c>
      <c r="O13" s="277">
        <v>1349</v>
      </c>
      <c r="P13" s="277">
        <v>1179</v>
      </c>
      <c r="Q13" s="278">
        <v>1008</v>
      </c>
      <c r="R13" s="277">
        <v>1426</v>
      </c>
      <c r="S13" s="277">
        <v>1385</v>
      </c>
      <c r="T13" s="277">
        <v>1572</v>
      </c>
      <c r="U13" s="278">
        <v>1709</v>
      </c>
      <c r="V13" s="277">
        <v>1265</v>
      </c>
      <c r="W13" s="277">
        <v>1444</v>
      </c>
      <c r="X13" s="277">
        <v>1529</v>
      </c>
      <c r="Y13" s="278">
        <v>1278</v>
      </c>
      <c r="Z13" s="277">
        <v>1427</v>
      </c>
      <c r="AA13" s="277">
        <v>1108</v>
      </c>
      <c r="AB13" s="277">
        <v>1355</v>
      </c>
      <c r="AC13" s="278">
        <v>1290</v>
      </c>
      <c r="AD13" s="277">
        <v>1489</v>
      </c>
      <c r="AE13" s="277">
        <v>1805</v>
      </c>
      <c r="AF13" s="277">
        <v>2199</v>
      </c>
      <c r="AG13" s="278">
        <v>2101</v>
      </c>
      <c r="AH13" s="281">
        <v>2530</v>
      </c>
      <c r="AI13" s="281">
        <v>3014</v>
      </c>
      <c r="AJ13" s="281">
        <v>2493</v>
      </c>
      <c r="AK13" s="282">
        <v>2486</v>
      </c>
      <c r="AL13" s="277">
        <v>2511</v>
      </c>
      <c r="AM13" s="277">
        <v>2735</v>
      </c>
      <c r="AN13" s="277">
        <v>2769</v>
      </c>
      <c r="AO13" s="278">
        <v>2767</v>
      </c>
      <c r="AP13" s="277">
        <v>2608</v>
      </c>
      <c r="AQ13" s="277">
        <v>2943</v>
      </c>
      <c r="AR13" s="277">
        <v>2506</v>
      </c>
      <c r="AS13" s="278">
        <v>2805</v>
      </c>
      <c r="AT13" s="277">
        <v>3317</v>
      </c>
      <c r="AU13" s="277">
        <v>2758</v>
      </c>
      <c r="AV13" s="277">
        <v>2483</v>
      </c>
      <c r="AW13" s="278">
        <v>3248</v>
      </c>
      <c r="AX13" s="277">
        <v>3931</v>
      </c>
      <c r="AY13" s="277">
        <v>3266</v>
      </c>
    </row>
    <row r="14" spans="1:51" ht="13">
      <c r="A14" s="265" t="s">
        <v>352</v>
      </c>
      <c r="B14" s="277">
        <v>2931</v>
      </c>
      <c r="C14" s="277">
        <v>3051.0403095070001</v>
      </c>
      <c r="D14" s="277">
        <v>3901</v>
      </c>
      <c r="E14" s="277">
        <v>5360</v>
      </c>
      <c r="F14" s="277">
        <v>4321</v>
      </c>
      <c r="G14" s="277">
        <v>4005</v>
      </c>
      <c r="H14" s="277">
        <v>4539</v>
      </c>
      <c r="I14" s="281">
        <v>6540</v>
      </c>
      <c r="J14" s="277">
        <v>7195</v>
      </c>
      <c r="K14" s="277">
        <v>6929</v>
      </c>
      <c r="L14" s="277">
        <v>7292</v>
      </c>
      <c r="M14" s="277"/>
      <c r="N14" s="277">
        <v>928</v>
      </c>
      <c r="O14" s="277">
        <v>1015</v>
      </c>
      <c r="P14" s="277">
        <v>896</v>
      </c>
      <c r="Q14" s="278">
        <v>1062</v>
      </c>
      <c r="R14" s="277">
        <v>1255</v>
      </c>
      <c r="S14" s="277">
        <v>1633</v>
      </c>
      <c r="T14" s="277">
        <v>1023</v>
      </c>
      <c r="U14" s="278">
        <v>1449</v>
      </c>
      <c r="V14" s="277">
        <v>1041</v>
      </c>
      <c r="W14" s="277">
        <v>1207</v>
      </c>
      <c r="X14" s="277">
        <v>1189</v>
      </c>
      <c r="Y14" s="278">
        <v>884</v>
      </c>
      <c r="Z14" s="277">
        <v>1011</v>
      </c>
      <c r="AA14" s="277">
        <v>982</v>
      </c>
      <c r="AB14" s="277">
        <v>960</v>
      </c>
      <c r="AC14" s="278">
        <v>1052</v>
      </c>
      <c r="AD14" s="277">
        <v>911</v>
      </c>
      <c r="AE14" s="277">
        <v>1165</v>
      </c>
      <c r="AF14" s="277">
        <v>1220</v>
      </c>
      <c r="AG14" s="278">
        <v>1243</v>
      </c>
      <c r="AH14" s="281">
        <v>1418</v>
      </c>
      <c r="AI14" s="281">
        <v>1670</v>
      </c>
      <c r="AJ14" s="281">
        <v>1600</v>
      </c>
      <c r="AK14" s="282">
        <v>1852</v>
      </c>
      <c r="AL14" s="277">
        <v>1427</v>
      </c>
      <c r="AM14" s="277">
        <v>1862</v>
      </c>
      <c r="AN14" s="277">
        <v>1664</v>
      </c>
      <c r="AO14" s="278">
        <v>2242</v>
      </c>
      <c r="AP14" s="277">
        <v>1747</v>
      </c>
      <c r="AQ14" s="277">
        <v>1494</v>
      </c>
      <c r="AR14" s="277">
        <v>1914</v>
      </c>
      <c r="AS14" s="278">
        <v>1774</v>
      </c>
      <c r="AT14" s="277">
        <v>1726</v>
      </c>
      <c r="AU14" s="277">
        <v>1821</v>
      </c>
      <c r="AV14" s="277">
        <v>1944</v>
      </c>
      <c r="AW14" s="278">
        <v>1801</v>
      </c>
      <c r="AX14" s="277">
        <v>1913</v>
      </c>
      <c r="AY14" s="277">
        <v>1918</v>
      </c>
    </row>
    <row r="15" spans="1:51" ht="13">
      <c r="A15" s="265" t="s">
        <v>353</v>
      </c>
      <c r="B15" s="277">
        <v>4430</v>
      </c>
      <c r="C15" s="277">
        <v>4451.2640814900005</v>
      </c>
      <c r="D15" s="277">
        <v>5664</v>
      </c>
      <c r="E15" s="277">
        <v>6491</v>
      </c>
      <c r="F15" s="277">
        <v>6255</v>
      </c>
      <c r="G15" s="277">
        <v>5871</v>
      </c>
      <c r="H15" s="277">
        <v>7455</v>
      </c>
      <c r="I15" s="281">
        <v>5020</v>
      </c>
      <c r="J15" s="277">
        <v>5519</v>
      </c>
      <c r="K15" s="277">
        <v>5567</v>
      </c>
      <c r="L15" s="277">
        <v>5580</v>
      </c>
      <c r="M15" s="277"/>
      <c r="N15" s="277">
        <v>1518</v>
      </c>
      <c r="O15" s="277">
        <v>1498</v>
      </c>
      <c r="P15" s="277">
        <v>1280</v>
      </c>
      <c r="Q15" s="278">
        <v>1368</v>
      </c>
      <c r="R15" s="277">
        <v>1662</v>
      </c>
      <c r="S15" s="277">
        <v>1765</v>
      </c>
      <c r="T15" s="277">
        <v>1790</v>
      </c>
      <c r="U15" s="278">
        <v>1275</v>
      </c>
      <c r="V15" s="277">
        <v>1690</v>
      </c>
      <c r="W15" s="277">
        <v>1655</v>
      </c>
      <c r="X15" s="277">
        <v>1436</v>
      </c>
      <c r="Y15" s="278">
        <v>1474</v>
      </c>
      <c r="Z15" s="277">
        <v>1623</v>
      </c>
      <c r="AA15" s="277">
        <v>1320</v>
      </c>
      <c r="AB15" s="277">
        <v>1461</v>
      </c>
      <c r="AC15" s="278">
        <v>1467</v>
      </c>
      <c r="AD15" s="277">
        <v>1824</v>
      </c>
      <c r="AE15" s="277">
        <v>1819</v>
      </c>
      <c r="AF15" s="277">
        <v>1882</v>
      </c>
      <c r="AG15" s="278">
        <v>1930</v>
      </c>
      <c r="AH15" s="281">
        <v>2217</v>
      </c>
      <c r="AI15" s="281">
        <v>1207</v>
      </c>
      <c r="AJ15" s="281">
        <v>216</v>
      </c>
      <c r="AK15" s="282">
        <v>1380</v>
      </c>
      <c r="AL15" s="277">
        <v>1613</v>
      </c>
      <c r="AM15" s="277">
        <v>1599</v>
      </c>
      <c r="AN15" s="277">
        <v>1108</v>
      </c>
      <c r="AO15" s="278">
        <v>1199</v>
      </c>
      <c r="AP15" s="277">
        <v>1525</v>
      </c>
      <c r="AQ15" s="277">
        <v>1619</v>
      </c>
      <c r="AR15" s="277">
        <v>1249</v>
      </c>
      <c r="AS15" s="278">
        <v>1174</v>
      </c>
      <c r="AT15" s="277">
        <v>1620</v>
      </c>
      <c r="AU15" s="277">
        <v>1377</v>
      </c>
      <c r="AV15" s="277">
        <v>1355</v>
      </c>
      <c r="AW15" s="278">
        <v>1228</v>
      </c>
      <c r="AX15" s="277">
        <v>1512</v>
      </c>
      <c r="AY15" s="277">
        <v>1688</v>
      </c>
    </row>
    <row r="16" spans="1:51" ht="13">
      <c r="A16" s="265" t="s">
        <v>354</v>
      </c>
      <c r="B16" s="277">
        <v>2964</v>
      </c>
      <c r="C16" s="277">
        <v>2625.7163770490001</v>
      </c>
      <c r="D16" s="277">
        <v>3229</v>
      </c>
      <c r="E16" s="277">
        <v>3899</v>
      </c>
      <c r="F16" s="277">
        <v>3431</v>
      </c>
      <c r="G16" s="277">
        <v>3410</v>
      </c>
      <c r="H16" s="277">
        <v>4602</v>
      </c>
      <c r="I16" s="281">
        <v>6431</v>
      </c>
      <c r="J16" s="277">
        <v>8214</v>
      </c>
      <c r="K16" s="277">
        <v>7974</v>
      </c>
      <c r="L16" s="277">
        <v>7726</v>
      </c>
      <c r="M16" s="277"/>
      <c r="N16" s="277">
        <v>690</v>
      </c>
      <c r="O16" s="277">
        <v>675</v>
      </c>
      <c r="P16" s="277">
        <v>983</v>
      </c>
      <c r="Q16" s="278">
        <v>881</v>
      </c>
      <c r="R16" s="277">
        <v>1127</v>
      </c>
      <c r="S16" s="277">
        <v>1056</v>
      </c>
      <c r="T16" s="277">
        <v>811</v>
      </c>
      <c r="U16" s="278">
        <v>906</v>
      </c>
      <c r="V16" s="277">
        <v>893</v>
      </c>
      <c r="W16" s="277">
        <v>863</v>
      </c>
      <c r="X16" s="277">
        <v>716</v>
      </c>
      <c r="Y16" s="278">
        <v>959</v>
      </c>
      <c r="Z16" s="277">
        <v>934</v>
      </c>
      <c r="AA16" s="277">
        <v>641</v>
      </c>
      <c r="AB16" s="277">
        <v>955</v>
      </c>
      <c r="AC16" s="278">
        <v>880</v>
      </c>
      <c r="AD16" s="277">
        <v>1190</v>
      </c>
      <c r="AE16" s="277">
        <v>1050</v>
      </c>
      <c r="AF16" s="277">
        <v>1294</v>
      </c>
      <c r="AG16" s="278">
        <v>1068</v>
      </c>
      <c r="AH16" s="281">
        <v>1705</v>
      </c>
      <c r="AI16" s="281">
        <v>1497</v>
      </c>
      <c r="AJ16" s="281">
        <v>1833</v>
      </c>
      <c r="AK16" s="282">
        <v>1396</v>
      </c>
      <c r="AL16" s="277">
        <v>2015</v>
      </c>
      <c r="AM16" s="277">
        <v>2359</v>
      </c>
      <c r="AN16" s="277">
        <v>2342</v>
      </c>
      <c r="AO16" s="278">
        <v>1498</v>
      </c>
      <c r="AP16" s="277">
        <v>1532</v>
      </c>
      <c r="AQ16" s="277">
        <v>2100</v>
      </c>
      <c r="AR16" s="277">
        <v>2028</v>
      </c>
      <c r="AS16" s="278">
        <v>2314</v>
      </c>
      <c r="AT16" s="277">
        <v>1825</v>
      </c>
      <c r="AU16" s="277">
        <v>1898</v>
      </c>
      <c r="AV16" s="277">
        <v>2324</v>
      </c>
      <c r="AW16" s="278">
        <v>1679</v>
      </c>
      <c r="AX16" s="277">
        <v>2880</v>
      </c>
      <c r="AY16" s="277">
        <v>2151</v>
      </c>
    </row>
    <row r="17" spans="1:51" ht="13">
      <c r="A17" s="265" t="s">
        <v>355</v>
      </c>
      <c r="B17" s="277">
        <v>4769</v>
      </c>
      <c r="C17" s="277">
        <v>5364.2900646509997</v>
      </c>
      <c r="D17" s="277">
        <v>6873</v>
      </c>
      <c r="E17" s="277">
        <v>7852</v>
      </c>
      <c r="F17" s="277">
        <v>8986</v>
      </c>
      <c r="G17" s="277">
        <v>8786</v>
      </c>
      <c r="H17" s="277">
        <v>10323</v>
      </c>
      <c r="I17" s="281">
        <v>14177</v>
      </c>
      <c r="J17" s="277">
        <v>14998</v>
      </c>
      <c r="K17" s="277">
        <v>16091</v>
      </c>
      <c r="L17" s="277">
        <v>15231</v>
      </c>
      <c r="M17" s="277"/>
      <c r="N17" s="277">
        <v>1693</v>
      </c>
      <c r="O17" s="277">
        <v>1786</v>
      </c>
      <c r="P17" s="277">
        <v>1925</v>
      </c>
      <c r="Q17" s="278">
        <v>1469</v>
      </c>
      <c r="R17" s="277">
        <v>1972</v>
      </c>
      <c r="S17" s="277">
        <v>2108</v>
      </c>
      <c r="T17" s="277">
        <v>1994</v>
      </c>
      <c r="U17" s="278">
        <v>1777</v>
      </c>
      <c r="V17" s="277">
        <v>2359</v>
      </c>
      <c r="W17" s="277">
        <v>2508</v>
      </c>
      <c r="X17" s="277">
        <v>2004</v>
      </c>
      <c r="Y17" s="278">
        <v>2115</v>
      </c>
      <c r="Z17" s="277">
        <v>2106</v>
      </c>
      <c r="AA17" s="277">
        <v>2078</v>
      </c>
      <c r="AB17" s="277">
        <v>2337</v>
      </c>
      <c r="AC17" s="278">
        <v>2265</v>
      </c>
      <c r="AD17" s="277">
        <v>2577</v>
      </c>
      <c r="AE17" s="277">
        <v>2548</v>
      </c>
      <c r="AF17" s="277">
        <v>2741</v>
      </c>
      <c r="AG17" s="278">
        <v>2457</v>
      </c>
      <c r="AH17" s="281">
        <v>2970</v>
      </c>
      <c r="AI17" s="281">
        <v>3509</v>
      </c>
      <c r="AJ17" s="281">
        <v>3649</v>
      </c>
      <c r="AK17" s="282">
        <v>4049</v>
      </c>
      <c r="AL17" s="277">
        <v>4004</v>
      </c>
      <c r="AM17" s="277">
        <v>3721</v>
      </c>
      <c r="AN17" s="277">
        <v>3428</v>
      </c>
      <c r="AO17" s="278">
        <v>3845</v>
      </c>
      <c r="AP17" s="277">
        <v>3613</v>
      </c>
      <c r="AQ17" s="277">
        <v>4232</v>
      </c>
      <c r="AR17" s="277">
        <v>4133</v>
      </c>
      <c r="AS17" s="278">
        <v>4113</v>
      </c>
      <c r="AT17" s="277">
        <v>3889</v>
      </c>
      <c r="AU17" s="277">
        <v>3652</v>
      </c>
      <c r="AV17" s="277">
        <v>3333</v>
      </c>
      <c r="AW17" s="278">
        <v>4357</v>
      </c>
      <c r="AX17" s="277">
        <v>3994</v>
      </c>
      <c r="AY17" s="277">
        <v>4409</v>
      </c>
    </row>
    <row r="18" spans="1:51" ht="13">
      <c r="A18" s="265"/>
      <c r="B18" s="265"/>
      <c r="C18" s="277"/>
      <c r="D18" s="277"/>
      <c r="E18" s="277"/>
      <c r="F18" s="277"/>
      <c r="G18" s="277"/>
      <c r="H18" s="277" t="s">
        <v>302</v>
      </c>
      <c r="I18" s="281" t="s">
        <v>302</v>
      </c>
      <c r="J18" s="277" t="s">
        <v>302</v>
      </c>
      <c r="K18" s="277"/>
      <c r="L18" s="277"/>
      <c r="M18" s="277"/>
      <c r="N18" s="265"/>
      <c r="O18" s="265"/>
      <c r="P18" s="265"/>
      <c r="Q18" s="278"/>
      <c r="R18" s="277"/>
      <c r="S18" s="277"/>
      <c r="T18" s="277"/>
      <c r="U18" s="278"/>
      <c r="V18" s="277"/>
      <c r="W18" s="277"/>
      <c r="X18" s="277"/>
      <c r="Y18" s="278"/>
      <c r="Z18" s="277"/>
      <c r="AA18" s="277"/>
      <c r="AB18" s="277"/>
      <c r="AC18" s="278"/>
      <c r="AD18" s="277"/>
      <c r="AE18" s="277" t="s">
        <v>302</v>
      </c>
      <c r="AF18" s="277" t="s">
        <v>302</v>
      </c>
      <c r="AG18" s="278"/>
      <c r="AH18" s="281" t="s">
        <v>302</v>
      </c>
      <c r="AI18" s="281" t="s">
        <v>302</v>
      </c>
      <c r="AJ18" s="281" t="s">
        <v>302</v>
      </c>
      <c r="AK18" s="282" t="s">
        <v>302</v>
      </c>
      <c r="AL18" s="277"/>
      <c r="AM18" s="277"/>
      <c r="AN18" s="277"/>
      <c r="AO18" s="278"/>
      <c r="AP18" s="277"/>
      <c r="AQ18" s="277"/>
      <c r="AR18" s="277"/>
      <c r="AS18" s="278" t="s">
        <v>302</v>
      </c>
      <c r="AT18" s="277"/>
      <c r="AU18" s="277"/>
      <c r="AV18" s="277"/>
      <c r="AW18" s="278"/>
      <c r="AX18" s="277"/>
      <c r="AY18" s="277"/>
    </row>
    <row r="19" spans="1:51" ht="14.25" customHeight="1">
      <c r="A19" s="273" t="s">
        <v>296</v>
      </c>
      <c r="B19" s="274">
        <v>8109</v>
      </c>
      <c r="C19" s="274">
        <v>7947</v>
      </c>
      <c r="D19" s="274">
        <v>9047</v>
      </c>
      <c r="E19" s="274">
        <v>9611</v>
      </c>
      <c r="F19" s="274">
        <v>10768</v>
      </c>
      <c r="G19" s="274">
        <v>9185</v>
      </c>
      <c r="H19" s="274">
        <v>11025</v>
      </c>
      <c r="I19" s="279">
        <v>10670</v>
      </c>
      <c r="J19" s="274">
        <v>12466</v>
      </c>
      <c r="K19" s="274">
        <v>14663</v>
      </c>
      <c r="L19" s="274">
        <v>15252</v>
      </c>
      <c r="M19" s="275"/>
      <c r="N19" s="274">
        <v>2341</v>
      </c>
      <c r="O19" s="274">
        <v>2270</v>
      </c>
      <c r="P19" s="274">
        <v>2239</v>
      </c>
      <c r="Q19" s="276">
        <v>2197</v>
      </c>
      <c r="R19" s="274">
        <v>2550</v>
      </c>
      <c r="S19" s="274">
        <v>2470</v>
      </c>
      <c r="T19" s="274">
        <v>2285</v>
      </c>
      <c r="U19" s="276">
        <v>2306</v>
      </c>
      <c r="V19" s="274">
        <v>2760</v>
      </c>
      <c r="W19" s="274">
        <v>2826</v>
      </c>
      <c r="X19" s="274">
        <v>2665</v>
      </c>
      <c r="Y19" s="276">
        <v>2517</v>
      </c>
      <c r="Z19" s="274">
        <v>2619</v>
      </c>
      <c r="AA19" s="274">
        <v>1980</v>
      </c>
      <c r="AB19" s="274">
        <v>2249</v>
      </c>
      <c r="AC19" s="276">
        <v>2337</v>
      </c>
      <c r="AD19" s="274">
        <v>2674</v>
      </c>
      <c r="AE19" s="274">
        <v>2678</v>
      </c>
      <c r="AF19" s="274">
        <v>2866</v>
      </c>
      <c r="AG19" s="276">
        <v>2807</v>
      </c>
      <c r="AH19" s="279">
        <v>2970</v>
      </c>
      <c r="AI19" s="279">
        <v>2495</v>
      </c>
      <c r="AJ19" s="279">
        <v>2502</v>
      </c>
      <c r="AK19" s="280">
        <v>2703</v>
      </c>
      <c r="AL19" s="274">
        <v>3535</v>
      </c>
      <c r="AM19" s="274">
        <v>3180</v>
      </c>
      <c r="AN19" s="274">
        <v>2924</v>
      </c>
      <c r="AO19" s="276">
        <v>2827</v>
      </c>
      <c r="AP19" s="274">
        <v>3122</v>
      </c>
      <c r="AQ19" s="274">
        <v>3947</v>
      </c>
      <c r="AR19" s="274">
        <v>3656</v>
      </c>
      <c r="AS19" s="276">
        <v>3938</v>
      </c>
      <c r="AT19" s="274">
        <v>4187</v>
      </c>
      <c r="AU19" s="274">
        <v>3743</v>
      </c>
      <c r="AV19" s="274">
        <v>3677</v>
      </c>
      <c r="AW19" s="276">
        <v>3645</v>
      </c>
      <c r="AX19" s="274">
        <v>4099</v>
      </c>
      <c r="AY19" s="274">
        <v>3864</v>
      </c>
    </row>
    <row r="20" spans="1:51" ht="13">
      <c r="A20" s="265" t="s">
        <v>351</v>
      </c>
      <c r="B20" s="277">
        <v>2287</v>
      </c>
      <c r="C20" s="277">
        <v>2324</v>
      </c>
      <c r="D20" s="277">
        <v>2574</v>
      </c>
      <c r="E20" s="277">
        <v>2721</v>
      </c>
      <c r="F20" s="277">
        <v>3112</v>
      </c>
      <c r="G20" s="277">
        <v>2451</v>
      </c>
      <c r="H20" s="277">
        <v>2908</v>
      </c>
      <c r="I20" s="281">
        <v>3336</v>
      </c>
      <c r="J20" s="277">
        <v>3838</v>
      </c>
      <c r="K20" s="277">
        <v>6023</v>
      </c>
      <c r="L20" s="277">
        <v>6686</v>
      </c>
      <c r="M20" s="277"/>
      <c r="N20" s="277">
        <v>646</v>
      </c>
      <c r="O20" s="277">
        <v>701</v>
      </c>
      <c r="P20" s="277">
        <v>623</v>
      </c>
      <c r="Q20" s="278">
        <v>604</v>
      </c>
      <c r="R20" s="277">
        <v>737</v>
      </c>
      <c r="S20" s="277">
        <v>662</v>
      </c>
      <c r="T20" s="277">
        <v>689</v>
      </c>
      <c r="U20" s="278">
        <v>634</v>
      </c>
      <c r="V20" s="277">
        <v>867</v>
      </c>
      <c r="W20" s="277">
        <v>783</v>
      </c>
      <c r="X20" s="277">
        <v>797</v>
      </c>
      <c r="Y20" s="278">
        <v>665</v>
      </c>
      <c r="Z20" s="277">
        <v>714</v>
      </c>
      <c r="AA20" s="277">
        <v>524</v>
      </c>
      <c r="AB20" s="277">
        <v>616</v>
      </c>
      <c r="AC20" s="278">
        <v>597</v>
      </c>
      <c r="AD20" s="277">
        <v>726</v>
      </c>
      <c r="AE20" s="277">
        <v>716</v>
      </c>
      <c r="AF20" s="277">
        <v>748</v>
      </c>
      <c r="AG20" s="278">
        <v>718</v>
      </c>
      <c r="AH20" s="281">
        <v>831</v>
      </c>
      <c r="AI20" s="281">
        <v>766</v>
      </c>
      <c r="AJ20" s="281">
        <v>918</v>
      </c>
      <c r="AK20" s="282">
        <v>821</v>
      </c>
      <c r="AL20" s="277">
        <v>1065</v>
      </c>
      <c r="AM20" s="277">
        <v>929</v>
      </c>
      <c r="AN20" s="277">
        <v>945</v>
      </c>
      <c r="AO20" s="278">
        <v>899</v>
      </c>
      <c r="AP20" s="277">
        <v>1002</v>
      </c>
      <c r="AQ20" s="277">
        <v>1788</v>
      </c>
      <c r="AR20" s="277">
        <v>1558</v>
      </c>
      <c r="AS20" s="278">
        <v>1675</v>
      </c>
      <c r="AT20" s="277">
        <v>1852</v>
      </c>
      <c r="AU20" s="277">
        <v>1652</v>
      </c>
      <c r="AV20" s="277">
        <v>1619</v>
      </c>
      <c r="AW20" s="278">
        <v>1563</v>
      </c>
      <c r="AX20" s="277">
        <v>1893</v>
      </c>
      <c r="AY20" s="277">
        <v>1710</v>
      </c>
    </row>
    <row r="21" spans="1:51" ht="13">
      <c r="A21" s="265" t="s">
        <v>352</v>
      </c>
      <c r="B21" s="277">
        <v>788</v>
      </c>
      <c r="C21" s="277">
        <v>718</v>
      </c>
      <c r="D21" s="277">
        <v>830</v>
      </c>
      <c r="E21" s="277">
        <v>865</v>
      </c>
      <c r="F21" s="277">
        <v>1075</v>
      </c>
      <c r="G21" s="277">
        <v>874</v>
      </c>
      <c r="H21" s="277">
        <v>1036</v>
      </c>
      <c r="I21" s="281">
        <v>992</v>
      </c>
      <c r="J21" s="277">
        <v>1238</v>
      </c>
      <c r="K21" s="277">
        <v>897</v>
      </c>
      <c r="L21" s="277">
        <v>914</v>
      </c>
      <c r="M21" s="277"/>
      <c r="N21" s="277">
        <v>239</v>
      </c>
      <c r="O21" s="277">
        <v>174</v>
      </c>
      <c r="P21" s="277">
        <v>216</v>
      </c>
      <c r="Q21" s="278">
        <v>201</v>
      </c>
      <c r="R21" s="277">
        <v>232</v>
      </c>
      <c r="S21" s="277">
        <v>211</v>
      </c>
      <c r="T21" s="277">
        <v>213</v>
      </c>
      <c r="U21" s="278">
        <v>209</v>
      </c>
      <c r="V21" s="277">
        <v>303</v>
      </c>
      <c r="W21" s="277">
        <v>274</v>
      </c>
      <c r="X21" s="277">
        <v>262</v>
      </c>
      <c r="Y21" s="278">
        <v>236</v>
      </c>
      <c r="Z21" s="277">
        <v>273</v>
      </c>
      <c r="AA21" s="277">
        <v>193</v>
      </c>
      <c r="AB21" s="277">
        <v>197</v>
      </c>
      <c r="AC21" s="278">
        <v>211</v>
      </c>
      <c r="AD21" s="277">
        <v>267</v>
      </c>
      <c r="AE21" s="277">
        <v>256</v>
      </c>
      <c r="AF21" s="277">
        <v>258</v>
      </c>
      <c r="AG21" s="278">
        <v>255</v>
      </c>
      <c r="AH21" s="281">
        <v>269</v>
      </c>
      <c r="AI21" s="281">
        <v>222</v>
      </c>
      <c r="AJ21" s="281">
        <v>251</v>
      </c>
      <c r="AK21" s="282">
        <v>250</v>
      </c>
      <c r="AL21" s="277">
        <v>376</v>
      </c>
      <c r="AM21" s="277">
        <v>396</v>
      </c>
      <c r="AN21" s="277">
        <v>272</v>
      </c>
      <c r="AO21" s="278">
        <v>194</v>
      </c>
      <c r="AP21" s="277">
        <v>276</v>
      </c>
      <c r="AQ21" s="277">
        <v>196</v>
      </c>
      <c r="AR21" s="277">
        <v>233</v>
      </c>
      <c r="AS21" s="278">
        <v>192</v>
      </c>
      <c r="AT21" s="277">
        <v>294</v>
      </c>
      <c r="AU21" s="277">
        <v>221</v>
      </c>
      <c r="AV21" s="277">
        <v>190</v>
      </c>
      <c r="AW21" s="278">
        <v>209</v>
      </c>
      <c r="AX21" s="277">
        <v>241</v>
      </c>
      <c r="AY21" s="277">
        <v>212</v>
      </c>
    </row>
    <row r="22" spans="1:51" ht="13">
      <c r="A22" s="265" t="s">
        <v>353</v>
      </c>
      <c r="B22" s="277">
        <v>2241</v>
      </c>
      <c r="C22" s="277">
        <v>2313</v>
      </c>
      <c r="D22" s="277">
        <v>2673</v>
      </c>
      <c r="E22" s="277">
        <v>2807</v>
      </c>
      <c r="F22" s="277">
        <v>2750</v>
      </c>
      <c r="G22" s="277">
        <v>2696</v>
      </c>
      <c r="H22" s="277">
        <v>3102</v>
      </c>
      <c r="I22" s="281">
        <v>2422</v>
      </c>
      <c r="J22" s="277">
        <v>2251</v>
      </c>
      <c r="K22" s="277">
        <v>2655</v>
      </c>
      <c r="L22" s="277">
        <v>2976</v>
      </c>
      <c r="M22" s="277"/>
      <c r="N22" s="277">
        <v>709</v>
      </c>
      <c r="O22" s="277">
        <v>677</v>
      </c>
      <c r="P22" s="277">
        <v>646</v>
      </c>
      <c r="Q22" s="278">
        <v>641</v>
      </c>
      <c r="R22" s="277">
        <v>804</v>
      </c>
      <c r="S22" s="277">
        <v>715</v>
      </c>
      <c r="T22" s="277">
        <v>598</v>
      </c>
      <c r="U22" s="278">
        <v>691</v>
      </c>
      <c r="V22" s="277">
        <v>724</v>
      </c>
      <c r="W22" s="277">
        <v>738</v>
      </c>
      <c r="X22" s="277">
        <v>613</v>
      </c>
      <c r="Y22" s="278">
        <v>675</v>
      </c>
      <c r="Z22" s="277">
        <v>745</v>
      </c>
      <c r="AA22" s="277">
        <v>600</v>
      </c>
      <c r="AB22" s="277">
        <v>618</v>
      </c>
      <c r="AC22" s="278">
        <v>733</v>
      </c>
      <c r="AD22" s="277">
        <v>787</v>
      </c>
      <c r="AE22" s="277">
        <v>813</v>
      </c>
      <c r="AF22" s="277">
        <v>683</v>
      </c>
      <c r="AG22" s="278">
        <v>819</v>
      </c>
      <c r="AH22" s="281">
        <v>874</v>
      </c>
      <c r="AI22" s="281">
        <v>526</v>
      </c>
      <c r="AJ22" s="281">
        <v>388</v>
      </c>
      <c r="AK22" s="282">
        <v>634</v>
      </c>
      <c r="AL22" s="277">
        <v>680</v>
      </c>
      <c r="AM22" s="277">
        <v>535</v>
      </c>
      <c r="AN22" s="277">
        <v>472</v>
      </c>
      <c r="AO22" s="278">
        <v>564</v>
      </c>
      <c r="AP22" s="277">
        <v>650</v>
      </c>
      <c r="AQ22" s="277">
        <v>699</v>
      </c>
      <c r="AR22" s="277">
        <v>575</v>
      </c>
      <c r="AS22" s="278">
        <v>731</v>
      </c>
      <c r="AT22" s="277">
        <v>830</v>
      </c>
      <c r="AU22" s="277">
        <v>726</v>
      </c>
      <c r="AV22" s="277">
        <v>691</v>
      </c>
      <c r="AW22" s="278">
        <v>729</v>
      </c>
      <c r="AX22" s="277">
        <v>742</v>
      </c>
      <c r="AY22" s="277">
        <v>739</v>
      </c>
    </row>
    <row r="23" spans="1:51" ht="13">
      <c r="A23" s="265" t="s">
        <v>354</v>
      </c>
      <c r="B23" s="277">
        <v>1410</v>
      </c>
      <c r="C23" s="277">
        <v>1231</v>
      </c>
      <c r="D23" s="277">
        <v>1355</v>
      </c>
      <c r="E23" s="277">
        <v>1547</v>
      </c>
      <c r="F23" s="277">
        <v>2037</v>
      </c>
      <c r="G23" s="277">
        <v>1648</v>
      </c>
      <c r="H23" s="277">
        <v>1870</v>
      </c>
      <c r="I23" s="281">
        <v>1871</v>
      </c>
      <c r="J23" s="277">
        <v>2172</v>
      </c>
      <c r="K23" s="277">
        <v>2288</v>
      </c>
      <c r="L23" s="277">
        <v>2132</v>
      </c>
      <c r="M23" s="277"/>
      <c r="N23" s="277">
        <v>343</v>
      </c>
      <c r="O23" s="277">
        <v>315</v>
      </c>
      <c r="P23" s="277">
        <v>358</v>
      </c>
      <c r="Q23" s="278">
        <v>339</v>
      </c>
      <c r="R23" s="277">
        <v>350</v>
      </c>
      <c r="S23" s="277">
        <v>462</v>
      </c>
      <c r="T23" s="277">
        <v>380</v>
      </c>
      <c r="U23" s="278">
        <v>354</v>
      </c>
      <c r="V23" s="277">
        <v>418</v>
      </c>
      <c r="W23" s="277">
        <v>547</v>
      </c>
      <c r="X23" s="277">
        <v>557</v>
      </c>
      <c r="Y23" s="278">
        <v>515</v>
      </c>
      <c r="Z23" s="277">
        <v>475</v>
      </c>
      <c r="AA23" s="277">
        <v>302</v>
      </c>
      <c r="AB23" s="277">
        <v>457</v>
      </c>
      <c r="AC23" s="278">
        <v>414</v>
      </c>
      <c r="AD23" s="277">
        <v>440</v>
      </c>
      <c r="AE23" s="277">
        <v>445</v>
      </c>
      <c r="AF23" s="277">
        <v>500</v>
      </c>
      <c r="AG23" s="278">
        <v>485</v>
      </c>
      <c r="AH23" s="281">
        <v>420</v>
      </c>
      <c r="AI23" s="281">
        <v>466</v>
      </c>
      <c r="AJ23" s="281">
        <v>478</v>
      </c>
      <c r="AK23" s="282">
        <v>507</v>
      </c>
      <c r="AL23" s="277">
        <v>548</v>
      </c>
      <c r="AM23" s="277">
        <v>524</v>
      </c>
      <c r="AN23" s="277">
        <v>577</v>
      </c>
      <c r="AO23" s="278">
        <v>523</v>
      </c>
      <c r="AP23" s="277">
        <v>561</v>
      </c>
      <c r="AQ23" s="277">
        <v>536</v>
      </c>
      <c r="AR23" s="277">
        <v>569</v>
      </c>
      <c r="AS23" s="278">
        <v>622</v>
      </c>
      <c r="AT23" s="277">
        <v>520</v>
      </c>
      <c r="AU23" s="277">
        <v>532</v>
      </c>
      <c r="AV23" s="277">
        <v>534</v>
      </c>
      <c r="AW23" s="278">
        <v>546</v>
      </c>
      <c r="AX23" s="277">
        <v>556</v>
      </c>
      <c r="AY23" s="277">
        <v>582</v>
      </c>
    </row>
    <row r="24" spans="1:51" ht="13">
      <c r="A24" s="265" t="s">
        <v>355</v>
      </c>
      <c r="B24" s="277">
        <v>1383</v>
      </c>
      <c r="C24" s="277">
        <v>1361</v>
      </c>
      <c r="D24" s="277">
        <v>1615</v>
      </c>
      <c r="E24" s="277">
        <v>1671</v>
      </c>
      <c r="F24" s="277">
        <v>1794</v>
      </c>
      <c r="G24" s="277">
        <v>1516</v>
      </c>
      <c r="H24" s="277">
        <v>2109</v>
      </c>
      <c r="I24" s="281">
        <v>2049</v>
      </c>
      <c r="J24" s="277">
        <v>2967</v>
      </c>
      <c r="K24" s="277">
        <v>2800</v>
      </c>
      <c r="L24" s="277">
        <v>2544</v>
      </c>
      <c r="M24" s="277"/>
      <c r="N24" s="277">
        <v>404</v>
      </c>
      <c r="O24" s="277">
        <v>403</v>
      </c>
      <c r="P24" s="277">
        <v>396</v>
      </c>
      <c r="Q24" s="278">
        <v>412</v>
      </c>
      <c r="R24" s="277">
        <v>427</v>
      </c>
      <c r="S24" s="277">
        <v>420</v>
      </c>
      <c r="T24" s="277">
        <v>405</v>
      </c>
      <c r="U24" s="278">
        <v>418</v>
      </c>
      <c r="V24" s="277">
        <v>448</v>
      </c>
      <c r="W24" s="277">
        <v>484</v>
      </c>
      <c r="X24" s="277">
        <v>436</v>
      </c>
      <c r="Y24" s="278">
        <v>426</v>
      </c>
      <c r="Z24" s="277">
        <v>412</v>
      </c>
      <c r="AA24" s="277">
        <v>361</v>
      </c>
      <c r="AB24" s="277">
        <v>361</v>
      </c>
      <c r="AC24" s="278">
        <v>382</v>
      </c>
      <c r="AD24" s="277">
        <v>454</v>
      </c>
      <c r="AE24" s="277">
        <v>448</v>
      </c>
      <c r="AF24" s="277">
        <v>677</v>
      </c>
      <c r="AG24" s="278">
        <v>530</v>
      </c>
      <c r="AH24" s="281">
        <v>576</v>
      </c>
      <c r="AI24" s="281">
        <v>515</v>
      </c>
      <c r="AJ24" s="281">
        <v>467</v>
      </c>
      <c r="AK24" s="282">
        <v>491</v>
      </c>
      <c r="AL24" s="277">
        <v>866</v>
      </c>
      <c r="AM24" s="277">
        <v>796</v>
      </c>
      <c r="AN24" s="277">
        <v>658</v>
      </c>
      <c r="AO24" s="278">
        <v>647</v>
      </c>
      <c r="AP24" s="277">
        <v>633</v>
      </c>
      <c r="AQ24" s="265">
        <v>728</v>
      </c>
      <c r="AR24" s="265">
        <v>721</v>
      </c>
      <c r="AS24" s="278">
        <v>718</v>
      </c>
      <c r="AT24" s="277">
        <v>691</v>
      </c>
      <c r="AU24" s="265">
        <v>612</v>
      </c>
      <c r="AV24" s="265">
        <v>643</v>
      </c>
      <c r="AW24" s="278">
        <v>598</v>
      </c>
      <c r="AX24" s="277">
        <v>667</v>
      </c>
      <c r="AY24" s="265">
        <v>621</v>
      </c>
    </row>
    <row r="25" spans="1:51" ht="10.5" customHeight="1">
      <c r="A25" s="265"/>
      <c r="B25" s="265"/>
      <c r="C25" s="268"/>
      <c r="D25" s="265"/>
      <c r="E25" s="265"/>
      <c r="F25" s="265"/>
      <c r="G25" s="265"/>
      <c r="H25" s="265"/>
      <c r="I25" s="265"/>
      <c r="J25" s="265"/>
      <c r="K25" s="265"/>
      <c r="L25" s="265"/>
      <c r="M25" s="265"/>
      <c r="N25" s="265"/>
      <c r="O25" s="265"/>
      <c r="P25" s="265"/>
      <c r="Q25" s="267"/>
      <c r="R25" s="265"/>
      <c r="S25" s="265"/>
      <c r="T25" s="265"/>
      <c r="U25" s="267"/>
      <c r="V25" s="265"/>
      <c r="W25" s="265"/>
      <c r="X25" s="265"/>
      <c r="Y25" s="267"/>
      <c r="Z25" s="265"/>
      <c r="AA25" s="265"/>
      <c r="AB25" s="265"/>
      <c r="AC25" s="267"/>
      <c r="AD25" s="265"/>
      <c r="AE25" s="265"/>
      <c r="AF25" s="265"/>
      <c r="AG25" s="267"/>
      <c r="AH25" s="265"/>
      <c r="AI25" s="265"/>
      <c r="AJ25" s="265"/>
      <c r="AK25" s="267"/>
      <c r="AL25" s="265"/>
      <c r="AM25" s="265"/>
      <c r="AN25" s="265"/>
      <c r="AO25" s="267"/>
      <c r="AP25" s="265"/>
      <c r="AQ25" s="265"/>
      <c r="AR25" s="265"/>
      <c r="AS25" s="267"/>
      <c r="AT25" s="265"/>
      <c r="AU25" s="265"/>
      <c r="AV25" s="265"/>
      <c r="AW25" s="267"/>
      <c r="AX25" s="265"/>
      <c r="AY25" s="265"/>
    </row>
    <row r="26" spans="1:51" ht="13">
      <c r="A26" s="268" t="s">
        <v>356</v>
      </c>
      <c r="B26" s="268"/>
      <c r="C26" s="265"/>
      <c r="D26" s="265"/>
      <c r="E26" s="265"/>
      <c r="F26" s="265"/>
      <c r="G26" s="265"/>
      <c r="H26" s="265"/>
      <c r="I26" s="265"/>
      <c r="J26" s="265"/>
      <c r="K26" s="265"/>
      <c r="L26" s="265"/>
      <c r="M26" s="265"/>
      <c r="N26" s="265"/>
      <c r="O26" s="265"/>
      <c r="P26" s="265"/>
      <c r="Q26" s="267"/>
      <c r="R26" s="265"/>
      <c r="S26" s="265"/>
      <c r="T26" s="265"/>
      <c r="U26" s="267"/>
      <c r="V26" s="265"/>
      <c r="W26" s="265"/>
      <c r="X26" s="265"/>
      <c r="Y26" s="267"/>
      <c r="Z26" s="265"/>
      <c r="AA26" s="265"/>
      <c r="AB26" s="265"/>
      <c r="AC26" s="267"/>
      <c r="AD26" s="265"/>
      <c r="AE26" s="265"/>
      <c r="AF26" s="265"/>
      <c r="AG26" s="267"/>
      <c r="AH26" s="265"/>
      <c r="AI26" s="265"/>
      <c r="AJ26" s="265"/>
      <c r="AK26" s="267"/>
      <c r="AL26" s="265"/>
      <c r="AM26" s="265"/>
      <c r="AN26" s="265"/>
      <c r="AO26" s="267"/>
      <c r="AP26" s="265"/>
      <c r="AQ26" s="265"/>
      <c r="AR26" s="265"/>
      <c r="AS26" s="267"/>
      <c r="AT26" s="265"/>
      <c r="AU26" s="265"/>
      <c r="AV26" s="265"/>
      <c r="AW26" s="267"/>
      <c r="AX26" s="265"/>
      <c r="AY26" s="265"/>
    </row>
    <row r="27" spans="1:51" ht="9" customHeight="1">
      <c r="A27" s="283" t="s">
        <v>348</v>
      </c>
      <c r="B27" s="158">
        <v>2015</v>
      </c>
      <c r="C27" s="158">
        <v>2016</v>
      </c>
      <c r="D27" s="158">
        <v>2017</v>
      </c>
      <c r="E27" s="158">
        <v>2018</v>
      </c>
      <c r="F27" s="158">
        <v>2019</v>
      </c>
      <c r="G27" s="158">
        <v>2020</v>
      </c>
      <c r="H27" s="158">
        <v>2021</v>
      </c>
      <c r="I27" s="158">
        <v>2022</v>
      </c>
      <c r="J27" s="158">
        <v>2023</v>
      </c>
      <c r="K27" s="158">
        <v>2024</v>
      </c>
      <c r="L27" s="124"/>
      <c r="M27" s="89"/>
      <c r="N27" s="158" t="s">
        <v>264</v>
      </c>
      <c r="O27" s="158" t="s">
        <v>265</v>
      </c>
      <c r="P27" s="158" t="s">
        <v>266</v>
      </c>
      <c r="Q27" s="159" t="s">
        <v>267</v>
      </c>
      <c r="R27" s="158" t="s">
        <v>128</v>
      </c>
      <c r="S27" s="158" t="s">
        <v>129</v>
      </c>
      <c r="T27" s="158" t="s">
        <v>130</v>
      </c>
      <c r="U27" s="159" t="s">
        <v>131</v>
      </c>
      <c r="V27" s="158" t="s">
        <v>132</v>
      </c>
      <c r="W27" s="158" t="s">
        <v>133</v>
      </c>
      <c r="X27" s="158" t="s">
        <v>134</v>
      </c>
      <c r="Y27" s="159" t="s">
        <v>135</v>
      </c>
      <c r="Z27" s="158" t="s">
        <v>136</v>
      </c>
      <c r="AA27" s="158" t="s">
        <v>137</v>
      </c>
      <c r="AB27" s="158" t="s">
        <v>138</v>
      </c>
      <c r="AC27" s="159" t="s">
        <v>139</v>
      </c>
      <c r="AD27" s="158" t="s">
        <v>140</v>
      </c>
      <c r="AE27" s="158" t="s">
        <v>141</v>
      </c>
      <c r="AF27" s="158" t="s">
        <v>142</v>
      </c>
      <c r="AG27" s="159" t="s">
        <v>143</v>
      </c>
      <c r="AH27" s="158" t="s">
        <v>144</v>
      </c>
      <c r="AI27" s="158" t="s">
        <v>145</v>
      </c>
      <c r="AJ27" s="158" t="s">
        <v>146</v>
      </c>
      <c r="AK27" s="159" t="s">
        <v>147</v>
      </c>
      <c r="AL27" s="158" t="s">
        <v>148</v>
      </c>
      <c r="AM27" s="158" t="s">
        <v>149</v>
      </c>
      <c r="AN27" s="158" t="s">
        <v>150</v>
      </c>
      <c r="AO27" s="159" t="s">
        <v>151</v>
      </c>
      <c r="AP27" s="158" t="s">
        <v>152</v>
      </c>
      <c r="AQ27" s="158" t="s">
        <v>153</v>
      </c>
      <c r="AR27" s="158" t="s">
        <v>154</v>
      </c>
      <c r="AS27" s="159" t="s">
        <v>155</v>
      </c>
      <c r="AT27" s="158" t="s">
        <v>156</v>
      </c>
      <c r="AU27" s="158" t="s">
        <v>157</v>
      </c>
      <c r="AV27" s="158" t="s">
        <v>158</v>
      </c>
      <c r="AW27" s="159" t="s">
        <v>820</v>
      </c>
      <c r="AX27" s="158" t="s">
        <v>1275</v>
      </c>
      <c r="AY27" s="158" t="s">
        <v>1344</v>
      </c>
    </row>
    <row r="28" spans="1:51" ht="13">
      <c r="A28" s="273" t="s">
        <v>350</v>
      </c>
      <c r="B28" s="274">
        <v>28662.561317075</v>
      </c>
      <c r="C28" s="274">
        <v>27102</v>
      </c>
      <c r="D28" s="274">
        <v>31364</v>
      </c>
      <c r="E28" s="274">
        <v>38285</v>
      </c>
      <c r="F28" s="274">
        <v>40849</v>
      </c>
      <c r="G28" s="274">
        <v>36122</v>
      </c>
      <c r="H28" s="274">
        <v>39645</v>
      </c>
      <c r="I28" s="274">
        <v>49694</v>
      </c>
      <c r="J28" s="274">
        <v>60343</v>
      </c>
      <c r="K28" s="274">
        <v>63604</v>
      </c>
      <c r="L28" s="274">
        <v>61998</v>
      </c>
      <c r="M28" s="275"/>
      <c r="N28" s="274">
        <v>7411</v>
      </c>
      <c r="O28" s="274">
        <v>7879</v>
      </c>
      <c r="P28" s="274">
        <v>7610</v>
      </c>
      <c r="Q28" s="276">
        <v>8464</v>
      </c>
      <c r="R28" s="274">
        <v>8233</v>
      </c>
      <c r="S28" s="274">
        <v>9843</v>
      </c>
      <c r="T28" s="274">
        <v>9651</v>
      </c>
      <c r="U28" s="276">
        <v>10558</v>
      </c>
      <c r="V28" s="274">
        <v>9785</v>
      </c>
      <c r="W28" s="274">
        <v>10626</v>
      </c>
      <c r="X28" s="274">
        <v>10158</v>
      </c>
      <c r="Y28" s="276">
        <v>10280</v>
      </c>
      <c r="Z28" s="274">
        <v>9134</v>
      </c>
      <c r="AA28" s="274">
        <v>8458</v>
      </c>
      <c r="AB28" s="274">
        <v>8724</v>
      </c>
      <c r="AC28" s="276">
        <v>9806</v>
      </c>
      <c r="AD28" s="274">
        <v>8773</v>
      </c>
      <c r="AE28" s="274">
        <v>9733</v>
      </c>
      <c r="AF28" s="274">
        <v>9966</v>
      </c>
      <c r="AG28" s="276">
        <v>11173</v>
      </c>
      <c r="AH28" s="274">
        <v>11088</v>
      </c>
      <c r="AI28" s="274">
        <v>11868</v>
      </c>
      <c r="AJ28" s="274">
        <v>12802</v>
      </c>
      <c r="AK28" s="276">
        <v>13936</v>
      </c>
      <c r="AL28" s="274">
        <v>13868</v>
      </c>
      <c r="AM28" s="274">
        <v>15910</v>
      </c>
      <c r="AN28" s="274">
        <v>14997</v>
      </c>
      <c r="AO28" s="276">
        <v>15568</v>
      </c>
      <c r="AP28" s="274">
        <v>14143</v>
      </c>
      <c r="AQ28" s="274">
        <v>16511</v>
      </c>
      <c r="AR28" s="274">
        <v>15699</v>
      </c>
      <c r="AS28" s="276">
        <v>17251</v>
      </c>
      <c r="AT28" s="274">
        <v>15536</v>
      </c>
      <c r="AU28" s="274">
        <v>15130</v>
      </c>
      <c r="AV28" s="274">
        <v>15242</v>
      </c>
      <c r="AW28" s="276">
        <v>16090</v>
      </c>
      <c r="AX28" s="274">
        <v>14351</v>
      </c>
      <c r="AY28" s="274">
        <v>16702</v>
      </c>
    </row>
    <row r="29" spans="1:51" ht="13">
      <c r="A29" s="265" t="s">
        <v>351</v>
      </c>
      <c r="B29" s="277">
        <v>6722.1259483753547</v>
      </c>
      <c r="C29" s="277">
        <v>6245</v>
      </c>
      <c r="D29" s="277">
        <v>7136</v>
      </c>
      <c r="E29" s="277">
        <v>8447</v>
      </c>
      <c r="F29" s="277">
        <v>8940</v>
      </c>
      <c r="G29" s="277">
        <v>7731</v>
      </c>
      <c r="H29" s="277">
        <v>8856</v>
      </c>
      <c r="I29" s="277">
        <v>12814</v>
      </c>
      <c r="J29" s="277">
        <v>15428</v>
      </c>
      <c r="K29" s="277">
        <v>17795</v>
      </c>
      <c r="L29" s="277">
        <v>17808</v>
      </c>
      <c r="M29" s="277"/>
      <c r="N29" s="277">
        <v>1806</v>
      </c>
      <c r="O29" s="277">
        <v>1722</v>
      </c>
      <c r="P29" s="277">
        <v>1785</v>
      </c>
      <c r="Q29" s="278">
        <v>1823</v>
      </c>
      <c r="R29" s="277">
        <v>1888</v>
      </c>
      <c r="S29" s="277">
        <v>2118</v>
      </c>
      <c r="T29" s="277">
        <v>2141</v>
      </c>
      <c r="U29" s="278">
        <v>2300</v>
      </c>
      <c r="V29" s="277">
        <v>2227</v>
      </c>
      <c r="W29" s="277">
        <v>2403</v>
      </c>
      <c r="X29" s="277">
        <v>2191</v>
      </c>
      <c r="Y29" s="278">
        <v>2119</v>
      </c>
      <c r="Z29" s="277">
        <v>2099</v>
      </c>
      <c r="AA29" s="277">
        <v>1841</v>
      </c>
      <c r="AB29" s="277">
        <v>1962</v>
      </c>
      <c r="AC29" s="278">
        <v>1829</v>
      </c>
      <c r="AD29" s="277">
        <v>1915</v>
      </c>
      <c r="AE29" s="277">
        <v>2158</v>
      </c>
      <c r="AF29" s="277">
        <v>2326</v>
      </c>
      <c r="AG29" s="278">
        <v>2457</v>
      </c>
      <c r="AH29" s="277">
        <v>2767</v>
      </c>
      <c r="AI29" s="277">
        <v>3139</v>
      </c>
      <c r="AJ29" s="277">
        <v>3433</v>
      </c>
      <c r="AK29" s="278">
        <v>3475</v>
      </c>
      <c r="AL29" s="277">
        <v>3759</v>
      </c>
      <c r="AM29" s="277">
        <v>3954</v>
      </c>
      <c r="AN29" s="277">
        <v>3817</v>
      </c>
      <c r="AO29" s="278">
        <v>3898</v>
      </c>
      <c r="AP29" s="277">
        <v>3927</v>
      </c>
      <c r="AQ29" s="277">
        <v>4860</v>
      </c>
      <c r="AR29" s="277">
        <v>4348</v>
      </c>
      <c r="AS29" s="278">
        <v>4660</v>
      </c>
      <c r="AT29" s="277">
        <v>4719</v>
      </c>
      <c r="AU29" s="277">
        <v>4470</v>
      </c>
      <c r="AV29" s="277">
        <v>4279</v>
      </c>
      <c r="AW29" s="278">
        <v>4340</v>
      </c>
      <c r="AX29" s="277">
        <v>4344</v>
      </c>
      <c r="AY29" s="277">
        <v>4790</v>
      </c>
    </row>
    <row r="30" spans="1:51" ht="13">
      <c r="A30" s="265" t="s">
        <v>352</v>
      </c>
      <c r="B30" s="277">
        <v>4135.6690319910449</v>
      </c>
      <c r="C30" s="277">
        <v>3537</v>
      </c>
      <c r="D30" s="277">
        <v>4276</v>
      </c>
      <c r="E30" s="277">
        <v>5026</v>
      </c>
      <c r="F30" s="277">
        <v>6380</v>
      </c>
      <c r="G30" s="277">
        <v>4636</v>
      </c>
      <c r="H30" s="277">
        <v>5297</v>
      </c>
      <c r="I30" s="277">
        <v>6845</v>
      </c>
      <c r="J30" s="277">
        <v>8471</v>
      </c>
      <c r="K30" s="277">
        <v>7760</v>
      </c>
      <c r="L30" s="277">
        <v>7808</v>
      </c>
      <c r="M30" s="277"/>
      <c r="N30" s="277">
        <v>1100</v>
      </c>
      <c r="O30" s="277">
        <v>1104</v>
      </c>
      <c r="P30" s="277">
        <v>969</v>
      </c>
      <c r="Q30" s="278">
        <v>1103</v>
      </c>
      <c r="R30" s="277">
        <v>1024</v>
      </c>
      <c r="S30" s="277">
        <v>1199</v>
      </c>
      <c r="T30" s="277">
        <v>1230</v>
      </c>
      <c r="U30" s="278">
        <v>1573</v>
      </c>
      <c r="V30" s="277">
        <v>1571</v>
      </c>
      <c r="W30" s="277">
        <v>1616</v>
      </c>
      <c r="X30" s="277">
        <v>1646</v>
      </c>
      <c r="Y30" s="278">
        <v>1547</v>
      </c>
      <c r="Z30" s="277">
        <v>1116</v>
      </c>
      <c r="AA30" s="277">
        <v>1251</v>
      </c>
      <c r="AB30" s="277">
        <v>994</v>
      </c>
      <c r="AC30" s="278">
        <v>1275</v>
      </c>
      <c r="AD30" s="277">
        <v>1156</v>
      </c>
      <c r="AE30" s="277">
        <v>1378</v>
      </c>
      <c r="AF30" s="277">
        <v>1368</v>
      </c>
      <c r="AG30" s="278">
        <v>1395</v>
      </c>
      <c r="AH30" s="277">
        <v>1565</v>
      </c>
      <c r="AI30" s="277">
        <v>1597</v>
      </c>
      <c r="AJ30" s="277">
        <v>1810</v>
      </c>
      <c r="AK30" s="278">
        <v>1873</v>
      </c>
      <c r="AL30" s="277">
        <v>1985</v>
      </c>
      <c r="AM30" s="277">
        <v>2116</v>
      </c>
      <c r="AN30" s="277">
        <v>2194</v>
      </c>
      <c r="AO30" s="278">
        <v>2176</v>
      </c>
      <c r="AP30" s="277">
        <v>1737</v>
      </c>
      <c r="AQ30" s="277">
        <v>2122</v>
      </c>
      <c r="AR30" s="277">
        <v>1809</v>
      </c>
      <c r="AS30" s="278">
        <v>2092</v>
      </c>
      <c r="AT30" s="277">
        <v>1919</v>
      </c>
      <c r="AU30" s="277">
        <v>1932</v>
      </c>
      <c r="AV30" s="277">
        <v>2043</v>
      </c>
      <c r="AW30" s="278">
        <v>1914</v>
      </c>
      <c r="AX30" s="277">
        <v>1839</v>
      </c>
      <c r="AY30" s="277">
        <v>2056</v>
      </c>
    </row>
    <row r="31" spans="1:51" ht="13">
      <c r="A31" s="265" t="s">
        <v>353</v>
      </c>
      <c r="B31" s="277">
        <v>6624.6941099552696</v>
      </c>
      <c r="C31" s="277">
        <v>6895</v>
      </c>
      <c r="D31" s="277">
        <v>7992</v>
      </c>
      <c r="E31" s="277">
        <v>9104</v>
      </c>
      <c r="F31" s="277">
        <v>9431</v>
      </c>
      <c r="G31" s="277">
        <v>8678</v>
      </c>
      <c r="H31" s="277">
        <v>8817</v>
      </c>
      <c r="I31" s="277">
        <v>8327</v>
      </c>
      <c r="J31" s="277">
        <v>8626</v>
      </c>
      <c r="K31" s="277">
        <v>8719</v>
      </c>
      <c r="L31" s="277">
        <v>8270</v>
      </c>
      <c r="M31" s="277"/>
      <c r="N31" s="277">
        <v>1758</v>
      </c>
      <c r="O31" s="277">
        <v>2109</v>
      </c>
      <c r="P31" s="277">
        <v>1977</v>
      </c>
      <c r="Q31" s="278">
        <v>2148</v>
      </c>
      <c r="R31" s="277">
        <v>1864</v>
      </c>
      <c r="S31" s="277">
        <v>2471</v>
      </c>
      <c r="T31" s="277">
        <v>2224</v>
      </c>
      <c r="U31" s="278">
        <v>2545</v>
      </c>
      <c r="V31" s="277">
        <v>2432</v>
      </c>
      <c r="W31" s="277">
        <v>2473</v>
      </c>
      <c r="X31" s="277">
        <v>2154</v>
      </c>
      <c r="Y31" s="278">
        <v>2372</v>
      </c>
      <c r="Z31" s="277">
        <v>2132</v>
      </c>
      <c r="AA31" s="277">
        <v>1959</v>
      </c>
      <c r="AB31" s="277">
        <v>2096</v>
      </c>
      <c r="AC31" s="278">
        <v>2491</v>
      </c>
      <c r="AD31" s="277">
        <v>1992</v>
      </c>
      <c r="AE31" s="277">
        <v>2172</v>
      </c>
      <c r="AF31" s="277">
        <v>2172</v>
      </c>
      <c r="AG31" s="278">
        <v>2481</v>
      </c>
      <c r="AH31" s="277">
        <v>2172</v>
      </c>
      <c r="AI31" s="277">
        <v>2177</v>
      </c>
      <c r="AJ31" s="277">
        <v>1832</v>
      </c>
      <c r="AK31" s="278">
        <v>2146</v>
      </c>
      <c r="AL31" s="277">
        <v>2155</v>
      </c>
      <c r="AM31" s="277">
        <v>2426</v>
      </c>
      <c r="AN31" s="277">
        <v>1850</v>
      </c>
      <c r="AO31" s="278">
        <v>2195</v>
      </c>
      <c r="AP31" s="277">
        <v>2022</v>
      </c>
      <c r="AQ31" s="277">
        <v>2249</v>
      </c>
      <c r="AR31" s="277">
        <v>2086</v>
      </c>
      <c r="AS31" s="278">
        <v>2362</v>
      </c>
      <c r="AT31" s="277">
        <v>1930</v>
      </c>
      <c r="AU31" s="277">
        <v>2034</v>
      </c>
      <c r="AV31" s="277">
        <v>1970</v>
      </c>
      <c r="AW31" s="278">
        <v>2336</v>
      </c>
      <c r="AX31" s="277">
        <v>1707</v>
      </c>
      <c r="AY31" s="277">
        <v>2245</v>
      </c>
    </row>
    <row r="32" spans="1:51" ht="13">
      <c r="A32" s="265" t="s">
        <v>354</v>
      </c>
      <c r="B32" s="277">
        <v>4522</v>
      </c>
      <c r="C32" s="277">
        <v>3840</v>
      </c>
      <c r="D32" s="277">
        <v>4085</v>
      </c>
      <c r="E32" s="277">
        <v>5353</v>
      </c>
      <c r="F32" s="277">
        <v>5433</v>
      </c>
      <c r="G32" s="277">
        <v>5020</v>
      </c>
      <c r="H32" s="277">
        <v>5489</v>
      </c>
      <c r="I32" s="277">
        <v>7757</v>
      </c>
      <c r="J32" s="277">
        <v>9900</v>
      </c>
      <c r="K32" s="277">
        <v>10832</v>
      </c>
      <c r="L32" s="277">
        <v>9961</v>
      </c>
      <c r="M32" s="277"/>
      <c r="N32" s="277">
        <v>997</v>
      </c>
      <c r="O32" s="277">
        <v>1003</v>
      </c>
      <c r="P32" s="277">
        <v>1037</v>
      </c>
      <c r="Q32" s="278">
        <v>1048</v>
      </c>
      <c r="R32" s="277">
        <v>1103</v>
      </c>
      <c r="S32" s="277">
        <v>1350</v>
      </c>
      <c r="T32" s="277">
        <v>1444</v>
      </c>
      <c r="U32" s="278">
        <v>1456</v>
      </c>
      <c r="V32" s="277">
        <v>1182</v>
      </c>
      <c r="W32" s="277">
        <v>1396</v>
      </c>
      <c r="X32" s="277">
        <v>1351</v>
      </c>
      <c r="Y32" s="278">
        <v>1504</v>
      </c>
      <c r="Z32" s="277">
        <v>1369</v>
      </c>
      <c r="AA32" s="277">
        <v>1063</v>
      </c>
      <c r="AB32" s="277">
        <v>1283</v>
      </c>
      <c r="AC32" s="278">
        <v>1305</v>
      </c>
      <c r="AD32" s="277">
        <v>1208</v>
      </c>
      <c r="AE32" s="277">
        <v>1405</v>
      </c>
      <c r="AF32" s="277">
        <v>1406</v>
      </c>
      <c r="AG32" s="278">
        <v>1470</v>
      </c>
      <c r="AH32" s="277">
        <v>1683</v>
      </c>
      <c r="AI32" s="277">
        <v>1902</v>
      </c>
      <c r="AJ32" s="277">
        <v>2046</v>
      </c>
      <c r="AK32" s="278">
        <v>2126</v>
      </c>
      <c r="AL32" s="277">
        <v>2048</v>
      </c>
      <c r="AM32" s="277">
        <v>2786</v>
      </c>
      <c r="AN32" s="277">
        <v>2611</v>
      </c>
      <c r="AO32" s="278">
        <v>2455</v>
      </c>
      <c r="AP32" s="277">
        <v>2254</v>
      </c>
      <c r="AQ32" s="277">
        <v>2725</v>
      </c>
      <c r="AR32" s="277">
        <v>2759</v>
      </c>
      <c r="AS32" s="278">
        <v>3094</v>
      </c>
      <c r="AT32" s="277">
        <v>2528</v>
      </c>
      <c r="AU32" s="277">
        <v>2248</v>
      </c>
      <c r="AV32" s="277">
        <v>2445</v>
      </c>
      <c r="AW32" s="278">
        <v>2740</v>
      </c>
      <c r="AX32" s="277">
        <v>2259</v>
      </c>
      <c r="AY32" s="277">
        <v>2612</v>
      </c>
    </row>
    <row r="33" spans="1:51" ht="13">
      <c r="A33" s="265" t="s">
        <v>355</v>
      </c>
      <c r="B33" s="277">
        <v>6658</v>
      </c>
      <c r="C33" s="277">
        <v>6585</v>
      </c>
      <c r="D33" s="277">
        <v>7875</v>
      </c>
      <c r="E33" s="277">
        <v>10355</v>
      </c>
      <c r="F33" s="277">
        <v>10665</v>
      </c>
      <c r="G33" s="277">
        <v>10057</v>
      </c>
      <c r="H33" s="277">
        <v>11186</v>
      </c>
      <c r="I33" s="277">
        <v>13951</v>
      </c>
      <c r="J33" s="277">
        <v>17918</v>
      </c>
      <c r="K33" s="277">
        <v>18498</v>
      </c>
      <c r="L33" s="277">
        <v>18151</v>
      </c>
      <c r="M33" s="277"/>
      <c r="N33" s="277">
        <v>1750</v>
      </c>
      <c r="O33" s="277">
        <v>1941</v>
      </c>
      <c r="P33" s="277">
        <v>1842</v>
      </c>
      <c r="Q33" s="278">
        <v>2342</v>
      </c>
      <c r="R33" s="277">
        <v>2354</v>
      </c>
      <c r="S33" s="277">
        <v>2705</v>
      </c>
      <c r="T33" s="277">
        <v>2612</v>
      </c>
      <c r="U33" s="278">
        <v>2684</v>
      </c>
      <c r="V33" s="277">
        <v>2373</v>
      </c>
      <c r="W33" s="277">
        <v>2738</v>
      </c>
      <c r="X33" s="277">
        <v>2816</v>
      </c>
      <c r="Y33" s="278">
        <v>2738</v>
      </c>
      <c r="Z33" s="277">
        <v>2418</v>
      </c>
      <c r="AA33" s="277">
        <v>2344</v>
      </c>
      <c r="AB33" s="277">
        <v>2389</v>
      </c>
      <c r="AC33" s="278">
        <v>2906</v>
      </c>
      <c r="AD33" s="277">
        <v>2502</v>
      </c>
      <c r="AE33" s="277">
        <v>2620</v>
      </c>
      <c r="AF33" s="277">
        <v>2694</v>
      </c>
      <c r="AG33" s="278">
        <v>3370</v>
      </c>
      <c r="AH33" s="277">
        <v>2901</v>
      </c>
      <c r="AI33" s="277">
        <v>3053</v>
      </c>
      <c r="AJ33" s="277">
        <v>3681</v>
      </c>
      <c r="AK33" s="278">
        <v>4316</v>
      </c>
      <c r="AL33" s="277">
        <v>3921</v>
      </c>
      <c r="AM33" s="277">
        <v>4628</v>
      </c>
      <c r="AN33" s="277">
        <v>4525</v>
      </c>
      <c r="AO33" s="278">
        <v>4844</v>
      </c>
      <c r="AP33" s="277">
        <v>4203</v>
      </c>
      <c r="AQ33" s="277">
        <v>4555</v>
      </c>
      <c r="AR33" s="277">
        <v>4697</v>
      </c>
      <c r="AS33" s="278">
        <v>5043</v>
      </c>
      <c r="AT33" s="277">
        <v>4440</v>
      </c>
      <c r="AU33" s="277">
        <v>4446</v>
      </c>
      <c r="AV33" s="277">
        <v>4505</v>
      </c>
      <c r="AW33" s="278">
        <v>4760</v>
      </c>
      <c r="AX33" s="277">
        <v>4202</v>
      </c>
      <c r="AY33" s="277">
        <v>4999</v>
      </c>
    </row>
    <row r="34" spans="1:51" ht="13">
      <c r="A34" s="265"/>
      <c r="B34" s="265"/>
      <c r="C34" s="265"/>
      <c r="D34" s="277"/>
      <c r="E34" s="277"/>
      <c r="F34" s="277"/>
      <c r="G34" s="277"/>
      <c r="H34" s="277" t="s">
        <v>302</v>
      </c>
      <c r="I34" s="277"/>
      <c r="J34" s="277" t="s">
        <v>302</v>
      </c>
      <c r="K34" s="277"/>
      <c r="L34" s="277"/>
      <c r="M34" s="277"/>
      <c r="N34" s="265"/>
      <c r="O34" s="265"/>
      <c r="P34" s="265"/>
      <c r="Q34" s="278"/>
      <c r="R34" s="277"/>
      <c r="S34" s="277"/>
      <c r="T34" s="277"/>
      <c r="U34" s="278"/>
      <c r="V34" s="277"/>
      <c r="W34" s="277"/>
      <c r="X34" s="277"/>
      <c r="Y34" s="278"/>
      <c r="Z34" s="277"/>
      <c r="AA34" s="277"/>
      <c r="AB34" s="277"/>
      <c r="AC34" s="278"/>
      <c r="AD34" s="277"/>
      <c r="AE34" s="277" t="s">
        <v>302</v>
      </c>
      <c r="AF34" s="277" t="s">
        <v>302</v>
      </c>
      <c r="AG34" s="278" t="s">
        <v>302</v>
      </c>
      <c r="AH34" s="277"/>
      <c r="AI34" s="277" t="s">
        <v>302</v>
      </c>
      <c r="AJ34" s="277" t="s">
        <v>302</v>
      </c>
      <c r="AK34" s="278"/>
      <c r="AL34" s="277"/>
      <c r="AM34" s="277"/>
      <c r="AN34" s="277"/>
      <c r="AO34" s="278"/>
      <c r="AP34" s="277" t="s">
        <v>302</v>
      </c>
      <c r="AQ34" s="277"/>
      <c r="AR34" s="277"/>
      <c r="AS34" s="278" t="s">
        <v>302</v>
      </c>
      <c r="AT34" s="277"/>
      <c r="AU34" s="277"/>
      <c r="AV34" s="277"/>
      <c r="AW34" s="278"/>
      <c r="AX34" s="277"/>
      <c r="AY34" s="277"/>
    </row>
    <row r="35" spans="1:51" ht="13">
      <c r="A35" s="273" t="s">
        <v>293</v>
      </c>
      <c r="B35" s="274">
        <v>20317</v>
      </c>
      <c r="C35" s="274">
        <v>18898</v>
      </c>
      <c r="D35" s="274">
        <v>22383</v>
      </c>
      <c r="E35" s="274">
        <v>28540</v>
      </c>
      <c r="F35" s="274">
        <v>29891</v>
      </c>
      <c r="G35" s="274">
        <v>26928</v>
      </c>
      <c r="H35" s="274">
        <v>29320</v>
      </c>
      <c r="I35" s="279">
        <v>38904</v>
      </c>
      <c r="J35" s="274">
        <v>47530</v>
      </c>
      <c r="K35" s="274">
        <v>48914</v>
      </c>
      <c r="L35" s="274">
        <v>47121</v>
      </c>
      <c r="M35" s="275"/>
      <c r="N35" s="274">
        <v>5220</v>
      </c>
      <c r="O35" s="274">
        <v>5495</v>
      </c>
      <c r="P35" s="274">
        <v>5406</v>
      </c>
      <c r="Q35" s="276">
        <v>6262</v>
      </c>
      <c r="R35" s="274">
        <v>5943</v>
      </c>
      <c r="S35" s="274">
        <v>7325</v>
      </c>
      <c r="T35" s="274">
        <v>7178</v>
      </c>
      <c r="U35" s="276">
        <v>8094</v>
      </c>
      <c r="V35" s="274">
        <v>7115</v>
      </c>
      <c r="W35" s="274">
        <v>7702</v>
      </c>
      <c r="X35" s="274">
        <v>7334</v>
      </c>
      <c r="Y35" s="276">
        <v>7740</v>
      </c>
      <c r="Z35" s="274">
        <v>6579</v>
      </c>
      <c r="AA35" s="274">
        <v>6422</v>
      </c>
      <c r="AB35" s="274">
        <v>6471</v>
      </c>
      <c r="AC35" s="276">
        <v>7456</v>
      </c>
      <c r="AD35" s="274">
        <v>6391</v>
      </c>
      <c r="AE35" s="274">
        <v>7187</v>
      </c>
      <c r="AF35" s="274">
        <v>7242</v>
      </c>
      <c r="AG35" s="276">
        <v>8500</v>
      </c>
      <c r="AH35" s="279">
        <v>8485</v>
      </c>
      <c r="AI35" s="279">
        <v>9060</v>
      </c>
      <c r="AJ35" s="279">
        <v>10070</v>
      </c>
      <c r="AK35" s="280">
        <v>11289</v>
      </c>
      <c r="AL35" s="274">
        <v>10733</v>
      </c>
      <c r="AM35" s="274">
        <v>12510</v>
      </c>
      <c r="AN35" s="274">
        <v>11729</v>
      </c>
      <c r="AO35" s="276">
        <v>12558</v>
      </c>
      <c r="AP35" s="274">
        <v>11212</v>
      </c>
      <c r="AQ35" s="274">
        <v>12516</v>
      </c>
      <c r="AR35" s="274">
        <v>11875</v>
      </c>
      <c r="AS35" s="276">
        <v>13311</v>
      </c>
      <c r="AT35" s="274">
        <v>11704</v>
      </c>
      <c r="AU35" s="274">
        <v>11435</v>
      </c>
      <c r="AV35" s="274">
        <v>11513</v>
      </c>
      <c r="AW35" s="276">
        <v>12469</v>
      </c>
      <c r="AX35" s="274">
        <v>10776</v>
      </c>
      <c r="AY35" s="274">
        <v>12839</v>
      </c>
    </row>
    <row r="36" spans="1:51" ht="13">
      <c r="A36" s="265" t="s">
        <v>351</v>
      </c>
      <c r="B36" s="277">
        <v>3895</v>
      </c>
      <c r="C36" s="277">
        <v>3745</v>
      </c>
      <c r="D36" s="277">
        <v>4357</v>
      </c>
      <c r="E36" s="277">
        <v>5639</v>
      </c>
      <c r="F36" s="277">
        <v>5844</v>
      </c>
      <c r="G36" s="277">
        <v>5181</v>
      </c>
      <c r="H36" s="277">
        <v>6045</v>
      </c>
      <c r="I36" s="281">
        <v>9681</v>
      </c>
      <c r="J36" s="277">
        <v>11427</v>
      </c>
      <c r="K36" s="277">
        <v>11679</v>
      </c>
      <c r="L36" s="277">
        <v>11217</v>
      </c>
      <c r="M36" s="277"/>
      <c r="N36" s="277">
        <v>1126</v>
      </c>
      <c r="O36" s="277">
        <v>958</v>
      </c>
      <c r="P36" s="277">
        <v>1084</v>
      </c>
      <c r="Q36" s="278">
        <v>1189</v>
      </c>
      <c r="R36" s="277">
        <v>1173</v>
      </c>
      <c r="S36" s="277">
        <v>1410</v>
      </c>
      <c r="T36" s="277">
        <v>1412</v>
      </c>
      <c r="U36" s="278">
        <v>1644</v>
      </c>
      <c r="V36" s="277">
        <v>1425</v>
      </c>
      <c r="W36" s="277">
        <v>1580</v>
      </c>
      <c r="X36" s="277">
        <v>1362</v>
      </c>
      <c r="Y36" s="278">
        <v>1477</v>
      </c>
      <c r="Z36" s="277">
        <v>1332</v>
      </c>
      <c r="AA36" s="277">
        <v>1261</v>
      </c>
      <c r="AB36" s="277">
        <v>1343</v>
      </c>
      <c r="AC36" s="278">
        <v>1245</v>
      </c>
      <c r="AD36" s="277">
        <v>1233</v>
      </c>
      <c r="AE36" s="277">
        <v>1453</v>
      </c>
      <c r="AF36" s="277">
        <v>1587</v>
      </c>
      <c r="AG36" s="278">
        <v>1772</v>
      </c>
      <c r="AH36" s="281">
        <v>2036</v>
      </c>
      <c r="AI36" s="281">
        <v>2286</v>
      </c>
      <c r="AJ36" s="281">
        <v>2603</v>
      </c>
      <c r="AK36" s="282">
        <v>2756</v>
      </c>
      <c r="AL36" s="277">
        <v>2706</v>
      </c>
      <c r="AM36" s="277">
        <v>2960</v>
      </c>
      <c r="AN36" s="277">
        <v>2803</v>
      </c>
      <c r="AO36" s="278">
        <v>2958</v>
      </c>
      <c r="AP36" s="277">
        <v>2995</v>
      </c>
      <c r="AQ36" s="277">
        <v>3006</v>
      </c>
      <c r="AR36" s="277">
        <v>2694</v>
      </c>
      <c r="AS36" s="278">
        <v>2984</v>
      </c>
      <c r="AT36" s="277">
        <v>2955</v>
      </c>
      <c r="AU36" s="277">
        <v>2810</v>
      </c>
      <c r="AV36" s="277">
        <v>2629</v>
      </c>
      <c r="AW36" s="278">
        <v>2823</v>
      </c>
      <c r="AX36" s="277">
        <v>2734</v>
      </c>
      <c r="AY36" s="277">
        <v>3025</v>
      </c>
    </row>
    <row r="37" spans="1:51" ht="13">
      <c r="A37" s="265" t="s">
        <v>352</v>
      </c>
      <c r="B37" s="277">
        <v>3183</v>
      </c>
      <c r="C37" s="277">
        <v>2643</v>
      </c>
      <c r="D37" s="277">
        <v>3311</v>
      </c>
      <c r="E37" s="277">
        <v>4175</v>
      </c>
      <c r="F37" s="277">
        <v>5295</v>
      </c>
      <c r="G37" s="277">
        <v>3798</v>
      </c>
      <c r="H37" s="277">
        <v>4321</v>
      </c>
      <c r="I37" s="281">
        <v>5876</v>
      </c>
      <c r="J37" s="277">
        <v>7201</v>
      </c>
      <c r="K37" s="277">
        <v>6838</v>
      </c>
      <c r="L37" s="277">
        <v>6950</v>
      </c>
      <c r="M37" s="277"/>
      <c r="N37" s="277">
        <v>827</v>
      </c>
      <c r="O37" s="277">
        <v>880</v>
      </c>
      <c r="P37" s="277">
        <v>745</v>
      </c>
      <c r="Q37" s="278">
        <v>859</v>
      </c>
      <c r="R37" s="277">
        <v>813</v>
      </c>
      <c r="S37" s="277">
        <v>981</v>
      </c>
      <c r="T37" s="277">
        <v>1020</v>
      </c>
      <c r="U37" s="278">
        <v>1361</v>
      </c>
      <c r="V37" s="277">
        <v>1327</v>
      </c>
      <c r="W37" s="277">
        <v>1341</v>
      </c>
      <c r="X37" s="277">
        <v>1356</v>
      </c>
      <c r="Y37" s="278">
        <v>1271</v>
      </c>
      <c r="Z37" s="277">
        <v>875</v>
      </c>
      <c r="AA37" s="277">
        <v>1073</v>
      </c>
      <c r="AB37" s="277">
        <v>789</v>
      </c>
      <c r="AC37" s="278">
        <v>1061</v>
      </c>
      <c r="AD37" s="277">
        <v>930</v>
      </c>
      <c r="AE37" s="277">
        <v>1130</v>
      </c>
      <c r="AF37" s="277">
        <v>1111</v>
      </c>
      <c r="AG37" s="278">
        <v>1150</v>
      </c>
      <c r="AH37" s="281">
        <v>1330</v>
      </c>
      <c r="AI37" s="281">
        <v>1353</v>
      </c>
      <c r="AJ37" s="281">
        <v>1556</v>
      </c>
      <c r="AK37" s="282">
        <v>1637</v>
      </c>
      <c r="AL37" s="277">
        <v>1716</v>
      </c>
      <c r="AM37" s="277">
        <v>1772</v>
      </c>
      <c r="AN37" s="277">
        <v>1798</v>
      </c>
      <c r="AO37" s="278">
        <v>1915</v>
      </c>
      <c r="AP37" s="277">
        <v>1473</v>
      </c>
      <c r="AQ37" s="277">
        <v>1898</v>
      </c>
      <c r="AR37" s="277">
        <v>1588</v>
      </c>
      <c r="AS37" s="278">
        <v>1879</v>
      </c>
      <c r="AT37" s="277">
        <v>1705</v>
      </c>
      <c r="AU37" s="277">
        <v>1724</v>
      </c>
      <c r="AV37" s="277">
        <v>1805</v>
      </c>
      <c r="AW37" s="278">
        <v>1716</v>
      </c>
      <c r="AX37" s="277">
        <v>1641</v>
      </c>
      <c r="AY37" s="277">
        <v>1857</v>
      </c>
    </row>
    <row r="38" spans="1:51" ht="13">
      <c r="A38" s="265" t="s">
        <v>353</v>
      </c>
      <c r="B38" s="277">
        <v>5211</v>
      </c>
      <c r="C38" s="277">
        <v>4937</v>
      </c>
      <c r="D38" s="277">
        <v>6081</v>
      </c>
      <c r="E38" s="277">
        <v>6225</v>
      </c>
      <c r="F38" s="277">
        <v>6522</v>
      </c>
      <c r="G38" s="277">
        <v>6074</v>
      </c>
      <c r="H38" s="277">
        <v>5949</v>
      </c>
      <c r="I38" s="281">
        <v>5687</v>
      </c>
      <c r="J38" s="277">
        <v>6091</v>
      </c>
      <c r="K38" s="277">
        <v>6151</v>
      </c>
      <c r="L38" s="277">
        <v>5503</v>
      </c>
      <c r="M38" s="277"/>
      <c r="N38" s="277">
        <v>1323</v>
      </c>
      <c r="O38" s="277">
        <v>1564</v>
      </c>
      <c r="P38" s="277">
        <v>1484</v>
      </c>
      <c r="Q38" s="278">
        <v>1710</v>
      </c>
      <c r="R38" s="277">
        <v>1235</v>
      </c>
      <c r="S38" s="277">
        <v>1696</v>
      </c>
      <c r="T38" s="277">
        <v>1488</v>
      </c>
      <c r="U38" s="278">
        <v>1807</v>
      </c>
      <c r="V38" s="277">
        <v>1674</v>
      </c>
      <c r="W38" s="277">
        <v>1682</v>
      </c>
      <c r="X38" s="277">
        <v>1469</v>
      </c>
      <c r="Y38" s="278">
        <v>1697</v>
      </c>
      <c r="Z38" s="277">
        <v>1427</v>
      </c>
      <c r="AA38" s="277">
        <v>1362</v>
      </c>
      <c r="AB38" s="277">
        <v>1472</v>
      </c>
      <c r="AC38" s="278">
        <v>1813</v>
      </c>
      <c r="AD38" s="277">
        <v>1308</v>
      </c>
      <c r="AE38" s="277">
        <v>1456</v>
      </c>
      <c r="AF38" s="277">
        <v>1435</v>
      </c>
      <c r="AG38" s="278">
        <v>1750</v>
      </c>
      <c r="AH38" s="281">
        <v>1506</v>
      </c>
      <c r="AI38" s="281">
        <v>1523</v>
      </c>
      <c r="AJ38" s="281">
        <v>1197</v>
      </c>
      <c r="AK38" s="282">
        <v>1461</v>
      </c>
      <c r="AL38" s="277">
        <v>1463</v>
      </c>
      <c r="AM38" s="277">
        <v>1713</v>
      </c>
      <c r="AN38" s="277">
        <v>1299</v>
      </c>
      <c r="AO38" s="278">
        <v>1616</v>
      </c>
      <c r="AP38" s="277">
        <v>1489</v>
      </c>
      <c r="AQ38" s="277">
        <v>1550</v>
      </c>
      <c r="AR38" s="277">
        <v>1482</v>
      </c>
      <c r="AS38" s="278">
        <v>1630</v>
      </c>
      <c r="AT38" s="277">
        <v>1255</v>
      </c>
      <c r="AU38" s="277">
        <v>1340</v>
      </c>
      <c r="AV38" s="277">
        <v>1278</v>
      </c>
      <c r="AW38" s="278">
        <v>1630</v>
      </c>
      <c r="AX38" s="277">
        <v>1033</v>
      </c>
      <c r="AY38" s="277">
        <v>1513</v>
      </c>
    </row>
    <row r="39" spans="1:51" ht="13">
      <c r="A39" s="265" t="s">
        <v>354</v>
      </c>
      <c r="B39" s="277">
        <v>3116</v>
      </c>
      <c r="C39" s="277">
        <v>2647</v>
      </c>
      <c r="D39" s="277">
        <v>2638</v>
      </c>
      <c r="E39" s="277">
        <v>3823</v>
      </c>
      <c r="F39" s="277">
        <v>3429</v>
      </c>
      <c r="G39" s="277">
        <v>3427</v>
      </c>
      <c r="H39" s="277">
        <v>3670</v>
      </c>
      <c r="I39" s="281">
        <v>5869</v>
      </c>
      <c r="J39" s="277">
        <v>7712</v>
      </c>
      <c r="K39" s="277">
        <v>8592</v>
      </c>
      <c r="L39" s="277">
        <v>7858</v>
      </c>
      <c r="M39" s="277"/>
      <c r="N39" s="277">
        <v>615</v>
      </c>
      <c r="O39" s="277">
        <v>647</v>
      </c>
      <c r="P39" s="277">
        <v>691</v>
      </c>
      <c r="Q39" s="278">
        <v>685</v>
      </c>
      <c r="R39" s="277">
        <v>766</v>
      </c>
      <c r="S39" s="277">
        <v>972</v>
      </c>
      <c r="T39" s="277">
        <v>1054</v>
      </c>
      <c r="U39" s="278">
        <v>1031</v>
      </c>
      <c r="V39" s="277">
        <v>787</v>
      </c>
      <c r="W39" s="277">
        <v>847</v>
      </c>
      <c r="X39" s="277">
        <v>792</v>
      </c>
      <c r="Y39" s="278">
        <v>1003</v>
      </c>
      <c r="Z39" s="277">
        <v>923</v>
      </c>
      <c r="AA39" s="277">
        <v>761</v>
      </c>
      <c r="AB39" s="277">
        <v>868</v>
      </c>
      <c r="AC39" s="278">
        <v>875</v>
      </c>
      <c r="AD39" s="277">
        <v>825</v>
      </c>
      <c r="AE39" s="277">
        <v>941</v>
      </c>
      <c r="AF39" s="277">
        <v>896</v>
      </c>
      <c r="AG39" s="278">
        <v>1008</v>
      </c>
      <c r="AH39" s="281">
        <v>1229</v>
      </c>
      <c r="AI39" s="281">
        <v>1427</v>
      </c>
      <c r="AJ39" s="281">
        <v>1552</v>
      </c>
      <c r="AK39" s="282">
        <v>1661</v>
      </c>
      <c r="AL39" s="277">
        <v>1545</v>
      </c>
      <c r="AM39" s="277">
        <v>2219</v>
      </c>
      <c r="AN39" s="277">
        <v>2013</v>
      </c>
      <c r="AO39" s="278">
        <v>1935</v>
      </c>
      <c r="AP39" s="277">
        <v>1718</v>
      </c>
      <c r="AQ39" s="277">
        <v>2199</v>
      </c>
      <c r="AR39" s="277">
        <v>2146</v>
      </c>
      <c r="AS39" s="278">
        <v>2529</v>
      </c>
      <c r="AT39" s="277">
        <v>2012</v>
      </c>
      <c r="AU39" s="277">
        <v>1749</v>
      </c>
      <c r="AV39" s="277">
        <v>1906</v>
      </c>
      <c r="AW39" s="278">
        <v>2191</v>
      </c>
      <c r="AX39" s="277">
        <v>1750</v>
      </c>
      <c r="AY39" s="277">
        <v>2094</v>
      </c>
    </row>
    <row r="40" spans="1:51" ht="13">
      <c r="A40" s="265" t="s">
        <v>355</v>
      </c>
      <c r="B40" s="277">
        <v>4912</v>
      </c>
      <c r="C40" s="277">
        <v>4926</v>
      </c>
      <c r="D40" s="277">
        <v>5996</v>
      </c>
      <c r="E40" s="277">
        <v>8678</v>
      </c>
      <c r="F40" s="277">
        <v>8801</v>
      </c>
      <c r="G40" s="277">
        <v>8448</v>
      </c>
      <c r="H40" s="277">
        <v>9335</v>
      </c>
      <c r="I40" s="281">
        <v>11791</v>
      </c>
      <c r="J40" s="277">
        <v>15099</v>
      </c>
      <c r="K40" s="277">
        <v>15654</v>
      </c>
      <c r="L40" s="277">
        <v>15593</v>
      </c>
      <c r="M40" s="277"/>
      <c r="N40" s="277">
        <v>1329</v>
      </c>
      <c r="O40" s="277">
        <v>1446</v>
      </c>
      <c r="P40" s="277">
        <v>1402</v>
      </c>
      <c r="Q40" s="278">
        <v>1819</v>
      </c>
      <c r="R40" s="277">
        <v>1956</v>
      </c>
      <c r="S40" s="277">
        <v>2266</v>
      </c>
      <c r="T40" s="277">
        <v>2204</v>
      </c>
      <c r="U40" s="278">
        <v>2251</v>
      </c>
      <c r="V40" s="277">
        <v>1902</v>
      </c>
      <c r="W40" s="277">
        <v>2252</v>
      </c>
      <c r="X40" s="277">
        <v>2355</v>
      </c>
      <c r="Y40" s="278">
        <v>2292</v>
      </c>
      <c r="Z40" s="277">
        <v>2022</v>
      </c>
      <c r="AA40" s="277">
        <v>1965</v>
      </c>
      <c r="AB40" s="277">
        <v>1999</v>
      </c>
      <c r="AC40" s="278">
        <v>2462</v>
      </c>
      <c r="AD40" s="277">
        <v>2095</v>
      </c>
      <c r="AE40" s="277">
        <v>2207</v>
      </c>
      <c r="AF40" s="277">
        <v>2213</v>
      </c>
      <c r="AG40" s="278">
        <v>2820</v>
      </c>
      <c r="AH40" s="281">
        <v>2384</v>
      </c>
      <c r="AI40" s="281">
        <v>2471</v>
      </c>
      <c r="AJ40" s="281">
        <v>3162</v>
      </c>
      <c r="AK40" s="282">
        <v>3774</v>
      </c>
      <c r="AL40" s="277">
        <v>3303</v>
      </c>
      <c r="AM40" s="277">
        <v>3846</v>
      </c>
      <c r="AN40" s="277">
        <v>3816</v>
      </c>
      <c r="AO40" s="278">
        <v>4134</v>
      </c>
      <c r="AP40" s="277">
        <v>3537</v>
      </c>
      <c r="AQ40" s="277">
        <v>3863</v>
      </c>
      <c r="AR40" s="277">
        <v>3965</v>
      </c>
      <c r="AS40" s="278">
        <v>4289</v>
      </c>
      <c r="AT40" s="277">
        <v>3777</v>
      </c>
      <c r="AU40" s="277">
        <v>3812</v>
      </c>
      <c r="AV40" s="277">
        <v>3895</v>
      </c>
      <c r="AW40" s="278">
        <v>4109</v>
      </c>
      <c r="AX40" s="277">
        <v>3618</v>
      </c>
      <c r="AY40" s="277">
        <v>4350</v>
      </c>
    </row>
    <row r="41" spans="1:51" ht="13">
      <c r="A41" s="265"/>
      <c r="B41" s="265"/>
      <c r="C41" s="265"/>
      <c r="D41" s="277"/>
      <c r="E41" s="277"/>
      <c r="F41" s="277"/>
      <c r="G41" s="277"/>
      <c r="H41" s="277" t="s">
        <v>302</v>
      </c>
      <c r="I41" s="281" t="s">
        <v>302</v>
      </c>
      <c r="J41" s="277" t="s">
        <v>302</v>
      </c>
      <c r="K41" s="277"/>
      <c r="L41" s="277"/>
      <c r="M41" s="277"/>
      <c r="N41" s="265"/>
      <c r="O41" s="277"/>
      <c r="P41" s="265"/>
      <c r="Q41" s="278"/>
      <c r="R41" s="277"/>
      <c r="S41" s="277"/>
      <c r="T41" s="277"/>
      <c r="U41" s="278"/>
      <c r="V41" s="277"/>
      <c r="W41" s="277"/>
      <c r="X41" s="277"/>
      <c r="Y41" s="278"/>
      <c r="Z41" s="277"/>
      <c r="AA41" s="277"/>
      <c r="AB41" s="277"/>
      <c r="AC41" s="278"/>
      <c r="AD41" s="277"/>
      <c r="AE41" s="277" t="s">
        <v>302</v>
      </c>
      <c r="AF41" s="277" t="s">
        <v>302</v>
      </c>
      <c r="AG41" s="278" t="s">
        <v>302</v>
      </c>
      <c r="AH41" s="281" t="s">
        <v>302</v>
      </c>
      <c r="AI41" s="281" t="s">
        <v>302</v>
      </c>
      <c r="AJ41" s="281" t="s">
        <v>302</v>
      </c>
      <c r="AK41" s="282" t="s">
        <v>302</v>
      </c>
      <c r="AL41" s="277"/>
      <c r="AM41" s="277"/>
      <c r="AN41" s="277"/>
      <c r="AO41" s="278"/>
      <c r="AP41" s="277" t="s">
        <v>302</v>
      </c>
      <c r="AQ41" s="277"/>
      <c r="AR41" s="277"/>
      <c r="AS41" s="278" t="s">
        <v>302</v>
      </c>
      <c r="AT41" s="277"/>
      <c r="AU41" s="277"/>
      <c r="AV41" s="277"/>
      <c r="AW41" s="278"/>
      <c r="AX41" s="277"/>
      <c r="AY41" s="277"/>
    </row>
    <row r="42" spans="1:51" ht="13">
      <c r="A42" s="273" t="s">
        <v>296</v>
      </c>
      <c r="B42" s="274">
        <v>8088</v>
      </c>
      <c r="C42" s="274">
        <v>7925</v>
      </c>
      <c r="D42" s="274">
        <v>8738</v>
      </c>
      <c r="E42" s="274">
        <v>9519</v>
      </c>
      <c r="F42" s="274">
        <v>10799</v>
      </c>
      <c r="G42" s="274">
        <v>9025</v>
      </c>
      <c r="H42" s="274">
        <v>10205</v>
      </c>
      <c r="I42" s="279">
        <v>10806</v>
      </c>
      <c r="J42" s="274">
        <v>12723</v>
      </c>
      <c r="K42" s="274">
        <v>14640</v>
      </c>
      <c r="L42" s="274">
        <v>14788</v>
      </c>
      <c r="M42" s="275"/>
      <c r="N42" s="274">
        <v>2161</v>
      </c>
      <c r="O42" s="274">
        <v>2297</v>
      </c>
      <c r="P42" s="274">
        <v>2141</v>
      </c>
      <c r="Q42" s="276">
        <v>2139</v>
      </c>
      <c r="R42" s="274">
        <v>2245</v>
      </c>
      <c r="S42" s="274">
        <v>2452</v>
      </c>
      <c r="T42" s="274">
        <v>2382</v>
      </c>
      <c r="U42" s="276">
        <v>2440</v>
      </c>
      <c r="V42" s="274">
        <v>2605</v>
      </c>
      <c r="W42" s="274">
        <v>2926</v>
      </c>
      <c r="X42" s="274">
        <v>2765</v>
      </c>
      <c r="Y42" s="276">
        <v>2503</v>
      </c>
      <c r="Z42" s="274">
        <v>2505</v>
      </c>
      <c r="AA42" s="274">
        <v>2035</v>
      </c>
      <c r="AB42" s="274">
        <v>2196</v>
      </c>
      <c r="AC42" s="276">
        <v>2288</v>
      </c>
      <c r="AD42" s="274">
        <v>2345</v>
      </c>
      <c r="AE42" s="274">
        <v>2517</v>
      </c>
      <c r="AF42" s="274">
        <v>2699</v>
      </c>
      <c r="AG42" s="276">
        <v>2644</v>
      </c>
      <c r="AH42" s="279">
        <v>2588</v>
      </c>
      <c r="AI42" s="279">
        <v>2793.5</v>
      </c>
      <c r="AJ42" s="279">
        <v>2711</v>
      </c>
      <c r="AK42" s="280">
        <v>2713</v>
      </c>
      <c r="AL42" s="274">
        <v>3125</v>
      </c>
      <c r="AM42" s="274">
        <v>3418</v>
      </c>
      <c r="AN42" s="274">
        <v>3195</v>
      </c>
      <c r="AO42" s="276">
        <v>2985</v>
      </c>
      <c r="AP42" s="274">
        <v>2949</v>
      </c>
      <c r="AQ42" s="274">
        <v>3991</v>
      </c>
      <c r="AR42" s="274">
        <v>3809</v>
      </c>
      <c r="AS42" s="276">
        <v>3891</v>
      </c>
      <c r="AT42" s="274">
        <v>3811</v>
      </c>
      <c r="AU42" s="274">
        <v>3665</v>
      </c>
      <c r="AV42" s="274">
        <v>3704</v>
      </c>
      <c r="AW42" s="276">
        <v>3608</v>
      </c>
      <c r="AX42" s="274">
        <v>3564</v>
      </c>
      <c r="AY42" s="274">
        <v>3854</v>
      </c>
    </row>
    <row r="43" spans="1:51" ht="13">
      <c r="A43" s="265" t="s">
        <v>351</v>
      </c>
      <c r="B43" s="277">
        <v>2142</v>
      </c>
      <c r="C43" s="277">
        <v>2218</v>
      </c>
      <c r="D43" s="277">
        <v>2513</v>
      </c>
      <c r="E43" s="277">
        <v>2725</v>
      </c>
      <c r="F43" s="277">
        <v>3060</v>
      </c>
      <c r="G43" s="277">
        <v>2475</v>
      </c>
      <c r="H43" s="277">
        <v>2752</v>
      </c>
      <c r="I43" s="281">
        <v>3186</v>
      </c>
      <c r="J43" s="277">
        <v>3968</v>
      </c>
      <c r="K43" s="277">
        <v>6040</v>
      </c>
      <c r="L43" s="277">
        <v>6533</v>
      </c>
      <c r="M43" s="277"/>
      <c r="N43" s="277">
        <v>649</v>
      </c>
      <c r="O43" s="277">
        <v>683</v>
      </c>
      <c r="P43" s="277">
        <v>635</v>
      </c>
      <c r="Q43" s="278">
        <v>546</v>
      </c>
      <c r="R43" s="277">
        <v>700</v>
      </c>
      <c r="S43" s="277">
        <v>681</v>
      </c>
      <c r="T43" s="277">
        <v>703</v>
      </c>
      <c r="U43" s="278">
        <v>641</v>
      </c>
      <c r="V43" s="277">
        <v>773</v>
      </c>
      <c r="W43" s="277">
        <v>848</v>
      </c>
      <c r="X43" s="277">
        <v>802</v>
      </c>
      <c r="Y43" s="278">
        <v>637</v>
      </c>
      <c r="Z43" s="277">
        <v>735</v>
      </c>
      <c r="AA43" s="277">
        <v>575</v>
      </c>
      <c r="AB43" s="277">
        <v>588</v>
      </c>
      <c r="AC43" s="278">
        <v>577</v>
      </c>
      <c r="AD43" s="277">
        <v>659</v>
      </c>
      <c r="AE43" s="277">
        <v>693</v>
      </c>
      <c r="AF43" s="277">
        <v>731</v>
      </c>
      <c r="AG43" s="278">
        <v>669</v>
      </c>
      <c r="AH43" s="281">
        <v>710</v>
      </c>
      <c r="AI43" s="281">
        <v>844</v>
      </c>
      <c r="AJ43" s="281">
        <v>827</v>
      </c>
      <c r="AK43" s="282">
        <v>805</v>
      </c>
      <c r="AL43" s="277">
        <v>1056</v>
      </c>
      <c r="AM43" s="277">
        <v>1028</v>
      </c>
      <c r="AN43" s="277">
        <v>956</v>
      </c>
      <c r="AO43" s="278">
        <v>928</v>
      </c>
      <c r="AP43" s="277">
        <v>924</v>
      </c>
      <c r="AQ43" s="277">
        <v>1847</v>
      </c>
      <c r="AR43" s="277">
        <v>1650</v>
      </c>
      <c r="AS43" s="278">
        <v>1619</v>
      </c>
      <c r="AT43" s="277">
        <v>1754</v>
      </c>
      <c r="AU43" s="277">
        <v>1636</v>
      </c>
      <c r="AV43" s="277">
        <v>1631</v>
      </c>
      <c r="AW43" s="278">
        <v>1512</v>
      </c>
      <c r="AX43" s="277">
        <v>1604</v>
      </c>
      <c r="AY43" s="277">
        <v>1760</v>
      </c>
    </row>
    <row r="44" spans="1:51" ht="13">
      <c r="A44" s="265" t="s">
        <v>352</v>
      </c>
      <c r="B44" s="277">
        <v>752</v>
      </c>
      <c r="C44" s="277">
        <v>708</v>
      </c>
      <c r="D44" s="277">
        <v>782</v>
      </c>
      <c r="E44" s="277">
        <v>851</v>
      </c>
      <c r="F44" s="277">
        <v>1084</v>
      </c>
      <c r="G44" s="277">
        <v>838</v>
      </c>
      <c r="H44" s="277">
        <v>977</v>
      </c>
      <c r="I44" s="281">
        <v>970</v>
      </c>
      <c r="J44" s="277">
        <v>1270</v>
      </c>
      <c r="K44" s="277">
        <v>922</v>
      </c>
      <c r="L44" s="277">
        <v>858</v>
      </c>
      <c r="M44" s="277"/>
      <c r="N44" s="277">
        <v>189</v>
      </c>
      <c r="O44" s="277">
        <v>184</v>
      </c>
      <c r="P44" s="277">
        <v>196</v>
      </c>
      <c r="Q44" s="278">
        <v>213</v>
      </c>
      <c r="R44" s="277">
        <v>211</v>
      </c>
      <c r="S44" s="277">
        <v>218</v>
      </c>
      <c r="T44" s="277">
        <v>210</v>
      </c>
      <c r="U44" s="278">
        <v>212</v>
      </c>
      <c r="V44" s="277">
        <v>244</v>
      </c>
      <c r="W44" s="277">
        <v>276</v>
      </c>
      <c r="X44" s="277">
        <v>290</v>
      </c>
      <c r="Y44" s="278">
        <v>274</v>
      </c>
      <c r="Z44" s="277">
        <v>241</v>
      </c>
      <c r="AA44" s="277">
        <v>177</v>
      </c>
      <c r="AB44" s="277">
        <v>205</v>
      </c>
      <c r="AC44" s="278">
        <v>214</v>
      </c>
      <c r="AD44" s="277">
        <v>227</v>
      </c>
      <c r="AE44" s="277">
        <v>248</v>
      </c>
      <c r="AF44" s="277">
        <v>256</v>
      </c>
      <c r="AG44" s="278">
        <v>246</v>
      </c>
      <c r="AH44" s="281">
        <v>235</v>
      </c>
      <c r="AI44" s="281">
        <v>243</v>
      </c>
      <c r="AJ44" s="281">
        <v>254</v>
      </c>
      <c r="AK44" s="282">
        <v>238</v>
      </c>
      <c r="AL44" s="277">
        <v>269</v>
      </c>
      <c r="AM44" s="277">
        <v>344</v>
      </c>
      <c r="AN44" s="277">
        <v>396</v>
      </c>
      <c r="AO44" s="278">
        <v>261</v>
      </c>
      <c r="AP44" s="277">
        <v>264</v>
      </c>
      <c r="AQ44" s="277">
        <v>223</v>
      </c>
      <c r="AR44" s="277">
        <v>221</v>
      </c>
      <c r="AS44" s="278">
        <v>214</v>
      </c>
      <c r="AT44" s="277">
        <v>214</v>
      </c>
      <c r="AU44" s="277">
        <v>208</v>
      </c>
      <c r="AV44" s="277">
        <v>238</v>
      </c>
      <c r="AW44" s="278">
        <v>198</v>
      </c>
      <c r="AX44" s="277">
        <v>198</v>
      </c>
      <c r="AY44" s="277">
        <v>199</v>
      </c>
    </row>
    <row r="45" spans="1:51" ht="13">
      <c r="A45" s="265" t="s">
        <v>353</v>
      </c>
      <c r="B45" s="277">
        <v>2488</v>
      </c>
      <c r="C45" s="277">
        <v>2347</v>
      </c>
      <c r="D45" s="277">
        <v>2593</v>
      </c>
      <c r="E45" s="277">
        <v>2783</v>
      </c>
      <c r="F45" s="277">
        <v>2837</v>
      </c>
      <c r="G45" s="277">
        <v>2594</v>
      </c>
      <c r="H45" s="277">
        <v>2819</v>
      </c>
      <c r="I45" s="281">
        <v>2612</v>
      </c>
      <c r="J45" s="277">
        <v>2492</v>
      </c>
      <c r="K45" s="277">
        <v>2592</v>
      </c>
      <c r="L45" s="277">
        <v>2739</v>
      </c>
      <c r="M45" s="277"/>
      <c r="N45" s="277">
        <v>638</v>
      </c>
      <c r="O45" s="277">
        <v>694</v>
      </c>
      <c r="P45" s="277">
        <v>641</v>
      </c>
      <c r="Q45" s="278">
        <v>620</v>
      </c>
      <c r="R45" s="277">
        <v>607</v>
      </c>
      <c r="S45" s="277">
        <v>750</v>
      </c>
      <c r="T45" s="277">
        <v>688</v>
      </c>
      <c r="U45" s="278">
        <v>738</v>
      </c>
      <c r="V45" s="277">
        <v>733</v>
      </c>
      <c r="W45" s="277">
        <v>777</v>
      </c>
      <c r="X45" s="277">
        <v>669</v>
      </c>
      <c r="Y45" s="278">
        <v>658</v>
      </c>
      <c r="Z45" s="277">
        <v>703</v>
      </c>
      <c r="AA45" s="277">
        <v>614</v>
      </c>
      <c r="AB45" s="277">
        <v>611</v>
      </c>
      <c r="AC45" s="278">
        <v>666</v>
      </c>
      <c r="AD45" s="277">
        <v>672</v>
      </c>
      <c r="AE45" s="277">
        <v>705</v>
      </c>
      <c r="AF45" s="277">
        <v>723</v>
      </c>
      <c r="AG45" s="278">
        <v>719</v>
      </c>
      <c r="AH45" s="281">
        <v>674</v>
      </c>
      <c r="AI45" s="281">
        <v>652</v>
      </c>
      <c r="AJ45" s="281">
        <v>622</v>
      </c>
      <c r="AK45" s="282">
        <v>664</v>
      </c>
      <c r="AL45" s="277">
        <v>681</v>
      </c>
      <c r="AM45" s="277">
        <v>701</v>
      </c>
      <c r="AN45" s="277">
        <v>539</v>
      </c>
      <c r="AO45" s="278">
        <v>571</v>
      </c>
      <c r="AP45" s="277">
        <v>557</v>
      </c>
      <c r="AQ45" s="277">
        <v>702</v>
      </c>
      <c r="AR45" s="277">
        <v>593</v>
      </c>
      <c r="AS45" s="278">
        <v>740</v>
      </c>
      <c r="AT45" s="277">
        <v>666</v>
      </c>
      <c r="AU45" s="277">
        <v>688</v>
      </c>
      <c r="AV45" s="277">
        <v>685</v>
      </c>
      <c r="AW45" s="278">
        <v>700</v>
      </c>
      <c r="AX45" s="277">
        <v>669</v>
      </c>
      <c r="AY45" s="277">
        <v>729</v>
      </c>
    </row>
    <row r="46" spans="1:51" ht="13">
      <c r="A46" s="265" t="s">
        <v>354</v>
      </c>
      <c r="B46" s="277">
        <v>1389</v>
      </c>
      <c r="C46" s="277">
        <v>1269</v>
      </c>
      <c r="D46" s="277">
        <v>1297</v>
      </c>
      <c r="E46" s="277">
        <v>1530</v>
      </c>
      <c r="F46" s="277">
        <v>2004</v>
      </c>
      <c r="G46" s="277">
        <v>1594</v>
      </c>
      <c r="H46" s="277">
        <v>1822</v>
      </c>
      <c r="I46" s="281">
        <v>1891</v>
      </c>
      <c r="J46" s="277">
        <v>2188</v>
      </c>
      <c r="K46" s="277">
        <v>2240</v>
      </c>
      <c r="L46" s="277">
        <v>2103</v>
      </c>
      <c r="M46" s="277"/>
      <c r="N46" s="277">
        <v>319</v>
      </c>
      <c r="O46" s="277">
        <v>324</v>
      </c>
      <c r="P46" s="277">
        <v>320</v>
      </c>
      <c r="Q46" s="278">
        <v>334</v>
      </c>
      <c r="R46" s="277">
        <v>337</v>
      </c>
      <c r="S46" s="277">
        <v>378</v>
      </c>
      <c r="T46" s="277">
        <v>390</v>
      </c>
      <c r="U46" s="278">
        <v>425</v>
      </c>
      <c r="V46" s="277">
        <v>395</v>
      </c>
      <c r="W46" s="277">
        <v>549</v>
      </c>
      <c r="X46" s="277">
        <v>559</v>
      </c>
      <c r="Y46" s="278">
        <v>501</v>
      </c>
      <c r="Z46" s="277">
        <v>446</v>
      </c>
      <c r="AA46" s="277">
        <v>302</v>
      </c>
      <c r="AB46" s="277">
        <v>415</v>
      </c>
      <c r="AC46" s="278">
        <v>431</v>
      </c>
      <c r="AD46" s="277">
        <v>384</v>
      </c>
      <c r="AE46" s="277">
        <v>465</v>
      </c>
      <c r="AF46" s="277">
        <v>510</v>
      </c>
      <c r="AG46" s="278">
        <v>463</v>
      </c>
      <c r="AH46" s="281">
        <v>454</v>
      </c>
      <c r="AI46" s="281">
        <v>475</v>
      </c>
      <c r="AJ46" s="281">
        <v>494</v>
      </c>
      <c r="AK46" s="282">
        <v>468</v>
      </c>
      <c r="AL46" s="277">
        <v>504</v>
      </c>
      <c r="AM46" s="277">
        <v>566</v>
      </c>
      <c r="AN46" s="277">
        <v>597</v>
      </c>
      <c r="AO46" s="278">
        <v>521</v>
      </c>
      <c r="AP46" s="277">
        <v>536</v>
      </c>
      <c r="AQ46" s="277">
        <v>526</v>
      </c>
      <c r="AR46" s="277">
        <v>613</v>
      </c>
      <c r="AS46" s="278">
        <v>565</v>
      </c>
      <c r="AT46" s="277">
        <v>515</v>
      </c>
      <c r="AU46" s="277">
        <v>499</v>
      </c>
      <c r="AV46" s="277">
        <v>541</v>
      </c>
      <c r="AW46" s="278">
        <v>548</v>
      </c>
      <c r="AX46" s="277">
        <v>509</v>
      </c>
      <c r="AY46" s="277">
        <v>518</v>
      </c>
    </row>
    <row r="47" spans="1:51" ht="13">
      <c r="A47" s="265" t="s">
        <v>355</v>
      </c>
      <c r="B47" s="277">
        <v>1316</v>
      </c>
      <c r="C47" s="277">
        <v>1383</v>
      </c>
      <c r="D47" s="277">
        <v>1553</v>
      </c>
      <c r="E47" s="277">
        <v>1630</v>
      </c>
      <c r="F47" s="277">
        <v>1814</v>
      </c>
      <c r="G47" s="277">
        <v>1524</v>
      </c>
      <c r="H47" s="277">
        <v>1835</v>
      </c>
      <c r="I47" s="281">
        <v>2147</v>
      </c>
      <c r="J47" s="277">
        <v>2805</v>
      </c>
      <c r="K47" s="277">
        <v>2846</v>
      </c>
      <c r="L47" s="277">
        <v>2555</v>
      </c>
      <c r="M47" s="277"/>
      <c r="N47" s="277">
        <v>366</v>
      </c>
      <c r="O47" s="277">
        <v>412</v>
      </c>
      <c r="P47" s="277">
        <v>349</v>
      </c>
      <c r="Q47" s="278">
        <v>426</v>
      </c>
      <c r="R47" s="277">
        <v>390</v>
      </c>
      <c r="S47" s="277">
        <v>425</v>
      </c>
      <c r="T47" s="277">
        <v>391</v>
      </c>
      <c r="U47" s="278">
        <v>424</v>
      </c>
      <c r="V47" s="277">
        <v>460</v>
      </c>
      <c r="W47" s="277">
        <v>476</v>
      </c>
      <c r="X47" s="277">
        <v>445</v>
      </c>
      <c r="Y47" s="278">
        <v>433</v>
      </c>
      <c r="Z47" s="277">
        <v>380</v>
      </c>
      <c r="AA47" s="277">
        <v>367</v>
      </c>
      <c r="AB47" s="277">
        <v>377</v>
      </c>
      <c r="AC47" s="278">
        <v>400</v>
      </c>
      <c r="AD47" s="277">
        <v>403</v>
      </c>
      <c r="AE47" s="277">
        <v>406</v>
      </c>
      <c r="AF47" s="277">
        <v>479</v>
      </c>
      <c r="AG47" s="278">
        <v>547</v>
      </c>
      <c r="AH47" s="281">
        <v>515</v>
      </c>
      <c r="AI47" s="281">
        <v>580</v>
      </c>
      <c r="AJ47" s="281">
        <v>514</v>
      </c>
      <c r="AK47" s="282">
        <v>538</v>
      </c>
      <c r="AL47" s="277">
        <v>615</v>
      </c>
      <c r="AM47" s="277">
        <v>779</v>
      </c>
      <c r="AN47" s="277">
        <v>707</v>
      </c>
      <c r="AO47" s="278">
        <v>704</v>
      </c>
      <c r="AP47" s="277">
        <v>668</v>
      </c>
      <c r="AQ47" s="277">
        <v>693</v>
      </c>
      <c r="AR47" s="277">
        <v>732</v>
      </c>
      <c r="AS47" s="278">
        <v>753</v>
      </c>
      <c r="AT47" s="277">
        <v>662</v>
      </c>
      <c r="AU47" s="277">
        <v>634</v>
      </c>
      <c r="AV47" s="277">
        <v>609</v>
      </c>
      <c r="AW47" s="278">
        <v>650</v>
      </c>
      <c r="AX47" s="277">
        <v>584</v>
      </c>
      <c r="AY47" s="277">
        <v>648</v>
      </c>
    </row>
    <row r="48" spans="1:51" ht="13">
      <c r="A48" s="265"/>
      <c r="B48" s="265"/>
      <c r="C48" s="265"/>
      <c r="D48" s="265"/>
      <c r="E48" s="265"/>
      <c r="F48" s="265"/>
      <c r="G48" s="265"/>
      <c r="H48" s="265"/>
      <c r="I48" s="265"/>
      <c r="J48" s="265"/>
      <c r="K48" s="265"/>
      <c r="L48" s="265"/>
      <c r="M48" s="277"/>
      <c r="N48" s="265"/>
      <c r="O48" s="265"/>
      <c r="P48" s="265"/>
      <c r="Q48" s="267"/>
      <c r="R48" s="265"/>
      <c r="S48" s="265"/>
      <c r="T48" s="265"/>
      <c r="U48" s="267"/>
      <c r="V48" s="265"/>
      <c r="W48" s="265"/>
      <c r="X48" s="265"/>
      <c r="Y48" s="267"/>
      <c r="Z48" s="265"/>
      <c r="AA48" s="265"/>
      <c r="AB48" s="265"/>
      <c r="AC48" s="267"/>
      <c r="AD48" s="265"/>
      <c r="AE48" s="265"/>
      <c r="AF48" s="265"/>
      <c r="AG48" s="267"/>
      <c r="AH48" s="265"/>
      <c r="AI48" s="265"/>
      <c r="AJ48" s="265"/>
      <c r="AK48" s="267"/>
      <c r="AL48" s="265"/>
      <c r="AM48" s="265"/>
      <c r="AN48" s="265"/>
      <c r="AO48" s="267"/>
      <c r="AP48" s="265"/>
      <c r="AQ48" s="265"/>
      <c r="AR48" s="265"/>
      <c r="AS48" s="267"/>
      <c r="AT48" s="265"/>
      <c r="AU48" s="265"/>
      <c r="AV48" s="265"/>
      <c r="AW48" s="267"/>
      <c r="AX48" s="265"/>
      <c r="AY48" s="265"/>
    </row>
    <row r="49" spans="1:51" ht="13">
      <c r="A49" s="284" t="s">
        <v>357</v>
      </c>
      <c r="B49" s="158">
        <v>2015</v>
      </c>
      <c r="C49" s="158">
        <v>2016</v>
      </c>
      <c r="D49" s="158">
        <v>2017</v>
      </c>
      <c r="E49" s="158">
        <v>2018</v>
      </c>
      <c r="F49" s="158">
        <v>2019</v>
      </c>
      <c r="G49" s="158">
        <v>2020</v>
      </c>
      <c r="H49" s="158">
        <v>2021</v>
      </c>
      <c r="I49" s="158">
        <v>2022</v>
      </c>
      <c r="J49" s="158">
        <v>2023</v>
      </c>
      <c r="K49" s="158">
        <v>2024</v>
      </c>
      <c r="L49" s="158">
        <v>2025</v>
      </c>
      <c r="M49" s="89"/>
      <c r="N49" s="158" t="s">
        <v>264</v>
      </c>
      <c r="O49" s="158" t="s">
        <v>265</v>
      </c>
      <c r="P49" s="158" t="s">
        <v>266</v>
      </c>
      <c r="Q49" s="159" t="s">
        <v>267</v>
      </c>
      <c r="R49" s="158" t="s">
        <v>128</v>
      </c>
      <c r="S49" s="158" t="s">
        <v>129</v>
      </c>
      <c r="T49" s="158" t="s">
        <v>130</v>
      </c>
      <c r="U49" s="159" t="s">
        <v>131</v>
      </c>
      <c r="V49" s="158" t="s">
        <v>132</v>
      </c>
      <c r="W49" s="158" t="s">
        <v>133</v>
      </c>
      <c r="X49" s="158" t="s">
        <v>134</v>
      </c>
      <c r="Y49" s="159" t="s">
        <v>135</v>
      </c>
      <c r="Z49" s="158" t="s">
        <v>136</v>
      </c>
      <c r="AA49" s="158" t="s">
        <v>137</v>
      </c>
      <c r="AB49" s="158" t="s">
        <v>138</v>
      </c>
      <c r="AC49" s="159" t="s">
        <v>139</v>
      </c>
      <c r="AD49" s="158" t="s">
        <v>140</v>
      </c>
      <c r="AE49" s="158" t="s">
        <v>141</v>
      </c>
      <c r="AF49" s="158" t="s">
        <v>142</v>
      </c>
      <c r="AG49" s="159" t="s">
        <v>143</v>
      </c>
      <c r="AH49" s="158" t="s">
        <v>144</v>
      </c>
      <c r="AI49" s="158" t="s">
        <v>145</v>
      </c>
      <c r="AJ49" s="158" t="s">
        <v>146</v>
      </c>
      <c r="AK49" s="159" t="s">
        <v>147</v>
      </c>
      <c r="AL49" s="158" t="s">
        <v>148</v>
      </c>
      <c r="AM49" s="158" t="s">
        <v>149</v>
      </c>
      <c r="AN49" s="158" t="s">
        <v>150</v>
      </c>
      <c r="AO49" s="159" t="s">
        <v>151</v>
      </c>
      <c r="AP49" s="158" t="s">
        <v>152</v>
      </c>
      <c r="AQ49" s="158" t="s">
        <v>153</v>
      </c>
      <c r="AR49" s="158" t="s">
        <v>154</v>
      </c>
      <c r="AS49" s="159" t="s">
        <v>155</v>
      </c>
      <c r="AT49" s="158" t="s">
        <v>156</v>
      </c>
      <c r="AU49" s="158" t="s">
        <v>157</v>
      </c>
      <c r="AV49" s="158" t="s">
        <v>158</v>
      </c>
      <c r="AW49" s="159" t="s">
        <v>820</v>
      </c>
      <c r="AX49" s="158" t="s">
        <v>1275</v>
      </c>
      <c r="AY49" s="158" t="s">
        <v>1344</v>
      </c>
    </row>
    <row r="50" spans="1:51" ht="13">
      <c r="A50" s="273" t="s">
        <v>350</v>
      </c>
      <c r="B50" s="274">
        <v>28662.561317075</v>
      </c>
      <c r="C50" s="274">
        <v>27102</v>
      </c>
      <c r="D50" s="274">
        <v>31364</v>
      </c>
      <c r="E50" s="274">
        <v>38285</v>
      </c>
      <c r="F50" s="274">
        <v>40849</v>
      </c>
      <c r="G50" s="274">
        <v>36122</v>
      </c>
      <c r="H50" s="274">
        <v>39645</v>
      </c>
      <c r="I50" s="274">
        <v>49694</v>
      </c>
      <c r="J50" s="274">
        <f>+J28</f>
        <v>60343</v>
      </c>
      <c r="K50" s="274">
        <f>+K28</f>
        <v>63604</v>
      </c>
      <c r="L50" s="274">
        <f>+L28</f>
        <v>61998</v>
      </c>
      <c r="M50" s="285"/>
      <c r="N50" s="274">
        <v>7411</v>
      </c>
      <c r="O50" s="274">
        <v>7879</v>
      </c>
      <c r="P50" s="274">
        <v>7610</v>
      </c>
      <c r="Q50" s="274">
        <v>8464</v>
      </c>
      <c r="R50" s="286">
        <v>8233</v>
      </c>
      <c r="S50" s="274">
        <v>9843</v>
      </c>
      <c r="T50" s="274">
        <v>9651</v>
      </c>
      <c r="U50" s="274">
        <v>10558</v>
      </c>
      <c r="V50" s="286">
        <v>9785</v>
      </c>
      <c r="W50" s="274">
        <v>10626</v>
      </c>
      <c r="X50" s="274">
        <v>10158</v>
      </c>
      <c r="Y50" s="276">
        <v>10280</v>
      </c>
      <c r="Z50" s="274">
        <v>9134</v>
      </c>
      <c r="AA50" s="274">
        <v>8458</v>
      </c>
      <c r="AB50" s="274">
        <v>8724</v>
      </c>
      <c r="AC50" s="276">
        <v>9806</v>
      </c>
      <c r="AD50" s="274">
        <v>8773</v>
      </c>
      <c r="AE50" s="274">
        <v>9733</v>
      </c>
      <c r="AF50" s="274">
        <v>9966</v>
      </c>
      <c r="AG50" s="276">
        <v>11173</v>
      </c>
      <c r="AH50" s="274">
        <f>+AH28</f>
        <v>11088</v>
      </c>
      <c r="AI50" s="274">
        <f>+AI28</f>
        <v>11868</v>
      </c>
      <c r="AJ50" s="274">
        <f>+AJ28</f>
        <v>12802</v>
      </c>
      <c r="AK50" s="276">
        <v>13936</v>
      </c>
      <c r="AL50" s="274">
        <f t="shared" ref="AL50:AU50" si="0">+AL28</f>
        <v>13868</v>
      </c>
      <c r="AM50" s="274">
        <f t="shared" si="0"/>
        <v>15910</v>
      </c>
      <c r="AN50" s="274">
        <f t="shared" si="0"/>
        <v>14997</v>
      </c>
      <c r="AO50" s="276">
        <f t="shared" si="0"/>
        <v>15568</v>
      </c>
      <c r="AP50" s="274">
        <f t="shared" si="0"/>
        <v>14143</v>
      </c>
      <c r="AQ50" s="274">
        <f t="shared" si="0"/>
        <v>16511</v>
      </c>
      <c r="AR50" s="274">
        <f t="shared" si="0"/>
        <v>15699</v>
      </c>
      <c r="AS50" s="276">
        <f t="shared" si="0"/>
        <v>17251</v>
      </c>
      <c r="AT50" s="274">
        <f t="shared" si="0"/>
        <v>15536</v>
      </c>
      <c r="AU50" s="274">
        <f t="shared" si="0"/>
        <v>15130</v>
      </c>
      <c r="AV50" s="274">
        <v>15242</v>
      </c>
      <c r="AW50" s="276">
        <v>16090</v>
      </c>
      <c r="AX50" s="274">
        <v>14351</v>
      </c>
      <c r="AY50" s="274">
        <v>16702</v>
      </c>
    </row>
    <row r="51" spans="1:51" ht="13">
      <c r="A51" s="265" t="s">
        <v>351</v>
      </c>
      <c r="B51" s="287">
        <v>0.23452635212927803</v>
      </c>
      <c r="C51" s="287">
        <v>0.23042579883403438</v>
      </c>
      <c r="D51" s="287">
        <v>0.22752199974493048</v>
      </c>
      <c r="E51" s="287">
        <v>0.22063471333420401</v>
      </c>
      <c r="F51" s="287">
        <v>0.21885480672721486</v>
      </c>
      <c r="G51" s="287">
        <v>0.21402469409224295</v>
      </c>
      <c r="H51" s="287">
        <f t="shared" ref="H51:L55" si="1">+H29/H$28</f>
        <v>0.22338251986379115</v>
      </c>
      <c r="I51" s="287">
        <f t="shared" si="1"/>
        <v>0.25785809152010303</v>
      </c>
      <c r="J51" s="287">
        <f t="shared" si="1"/>
        <v>0.25567174320136554</v>
      </c>
      <c r="K51" s="287">
        <f t="shared" si="1"/>
        <v>0.27977800138356079</v>
      </c>
      <c r="L51" s="287">
        <f t="shared" si="1"/>
        <v>0.28723507209909999</v>
      </c>
      <c r="M51" s="265"/>
      <c r="N51" s="287">
        <v>0.24369180947240587</v>
      </c>
      <c r="O51" s="287">
        <v>0.21855565427084656</v>
      </c>
      <c r="P51" s="287">
        <v>0.23455978975032851</v>
      </c>
      <c r="Q51" s="287">
        <v>0.21538279773156899</v>
      </c>
      <c r="R51" s="288">
        <v>0.22932102514271832</v>
      </c>
      <c r="S51" s="287">
        <v>0.21517829929899421</v>
      </c>
      <c r="T51" s="287">
        <v>0.22184229613511552</v>
      </c>
      <c r="U51" s="287">
        <v>0.21784428869103997</v>
      </c>
      <c r="V51" s="288">
        <v>0.22759325498211549</v>
      </c>
      <c r="W51" s="287">
        <v>0.22614342179559571</v>
      </c>
      <c r="X51" s="287">
        <v>0.21569206536719826</v>
      </c>
      <c r="Y51" s="289">
        <v>0.20612840466926069</v>
      </c>
      <c r="Z51" s="287">
        <v>0.22980074447120649</v>
      </c>
      <c r="AA51" s="287">
        <v>0.21766375029557816</v>
      </c>
      <c r="AB51" s="287">
        <v>0.23</v>
      </c>
      <c r="AC51" s="289">
        <v>0.18651845808688558</v>
      </c>
      <c r="AD51" s="287">
        <v>0.218</v>
      </c>
      <c r="AE51" s="287">
        <v>0.22171992191513407</v>
      </c>
      <c r="AF51" s="287">
        <v>0.23339353802929963</v>
      </c>
      <c r="AG51" s="289">
        <v>0.21990512843461918</v>
      </c>
      <c r="AH51" s="287">
        <f>AH29/$AH$28</f>
        <v>0.24954906204906205</v>
      </c>
      <c r="AI51" s="287">
        <f>AI29/$AI$28</f>
        <v>0.26449275362318841</v>
      </c>
      <c r="AJ51" s="287">
        <f>AJ29/$AJ$28</f>
        <v>0.26816122480862364</v>
      </c>
      <c r="AK51" s="289">
        <f>AK29/$AK$28</f>
        <v>0.24935419058553387</v>
      </c>
      <c r="AL51" s="287">
        <f t="shared" ref="AL51:AV55" si="2">AL29/AL$28</f>
        <v>0.27105566772425727</v>
      </c>
      <c r="AM51" s="287">
        <f t="shared" si="2"/>
        <v>0.24852294154619736</v>
      </c>
      <c r="AN51" s="287">
        <f t="shared" si="2"/>
        <v>0.25451757018070281</v>
      </c>
      <c r="AO51" s="289">
        <f t="shared" si="2"/>
        <v>0.25038540596094555</v>
      </c>
      <c r="AP51" s="287">
        <f t="shared" si="2"/>
        <v>0.27766386198119208</v>
      </c>
      <c r="AQ51" s="287">
        <f t="shared" si="2"/>
        <v>0.29434922173096723</v>
      </c>
      <c r="AR51" s="287">
        <f t="shared" si="2"/>
        <v>0.27696031594369069</v>
      </c>
      <c r="AS51" s="289">
        <f t="shared" si="2"/>
        <v>0.27012926786852937</v>
      </c>
      <c r="AT51" s="287">
        <f t="shared" si="2"/>
        <v>0.30374613800205974</v>
      </c>
      <c r="AU51" s="287">
        <f t="shared" si="2"/>
        <v>0.29543952412425645</v>
      </c>
      <c r="AV51" s="287">
        <f t="shared" si="2"/>
        <v>0.28073743603201678</v>
      </c>
      <c r="AW51" s="289">
        <v>0.2697327532628962</v>
      </c>
      <c r="AX51" s="287">
        <v>0.30269667618981255</v>
      </c>
      <c r="AY51" s="287">
        <v>0.28679200095796908</v>
      </c>
    </row>
    <row r="52" spans="1:51" ht="13">
      <c r="A52" s="265" t="s">
        <v>352</v>
      </c>
      <c r="B52" s="287">
        <v>0.14428818786433173</v>
      </c>
      <c r="C52" s="287">
        <v>0.13050697365508079</v>
      </c>
      <c r="D52" s="287">
        <v>0.13633465119244995</v>
      </c>
      <c r="E52" s="287">
        <v>0.13127856863001175</v>
      </c>
      <c r="F52" s="287">
        <v>0.15618497392837033</v>
      </c>
      <c r="G52" s="287">
        <v>0.12834283815957034</v>
      </c>
      <c r="H52" s="287">
        <f t="shared" si="1"/>
        <v>0.13361079581283894</v>
      </c>
      <c r="I52" s="287">
        <f t="shared" si="1"/>
        <v>0.13774298708093533</v>
      </c>
      <c r="J52" s="287">
        <f t="shared" si="1"/>
        <v>0.14038082296206686</v>
      </c>
      <c r="K52" s="287">
        <f t="shared" si="1"/>
        <v>0.12200490535186466</v>
      </c>
      <c r="L52" s="287">
        <f t="shared" si="1"/>
        <v>0.12593954643698183</v>
      </c>
      <c r="M52" s="265"/>
      <c r="N52" s="287">
        <v>0.14842801241397921</v>
      </c>
      <c r="O52" s="287">
        <v>0.140119304480264</v>
      </c>
      <c r="P52" s="287">
        <v>0.12733245729303547</v>
      </c>
      <c r="Q52" s="287">
        <v>0.13031663516068054</v>
      </c>
      <c r="R52" s="288">
        <v>0.12437750516215232</v>
      </c>
      <c r="S52" s="287">
        <v>0.12181245555216906</v>
      </c>
      <c r="T52" s="287">
        <v>0.12744793285669878</v>
      </c>
      <c r="U52" s="287">
        <v>0.14898655048304604</v>
      </c>
      <c r="V52" s="288">
        <v>0.16055186509964231</v>
      </c>
      <c r="W52" s="287">
        <v>0.15207980425371731</v>
      </c>
      <c r="X52" s="287">
        <v>0.16203977160858438</v>
      </c>
      <c r="Y52" s="289">
        <v>0.15048638132295719</v>
      </c>
      <c r="Z52" s="287">
        <v>0.12218086271075104</v>
      </c>
      <c r="AA52" s="287">
        <v>0.14790730669188934</v>
      </c>
      <c r="AB52" s="287">
        <v>0.11393856029344337</v>
      </c>
      <c r="AC52" s="290">
        <v>0.13002243524372833</v>
      </c>
      <c r="AD52" s="287">
        <v>0.13170000000000001</v>
      </c>
      <c r="AE52" s="287">
        <v>0.14158019110243503</v>
      </c>
      <c r="AF52" s="287">
        <v>0.13726670680313063</v>
      </c>
      <c r="AG52" s="290">
        <v>0.12485456010024165</v>
      </c>
      <c r="AH52" s="287">
        <f>AH30/$AH$28</f>
        <v>0.14114357864357865</v>
      </c>
      <c r="AI52" s="287">
        <f>AI30/$AI$28</f>
        <v>0.13456353218739467</v>
      </c>
      <c r="AJ52" s="287">
        <f>AJ30/$AJ$28</f>
        <v>0.14138415872519919</v>
      </c>
      <c r="AK52" s="289">
        <f>AK30/$AK$28</f>
        <v>0.13440011481056258</v>
      </c>
      <c r="AL52" s="287">
        <f t="shared" si="2"/>
        <v>0.14313527545428323</v>
      </c>
      <c r="AM52" s="287">
        <f t="shared" si="2"/>
        <v>0.13299811439346323</v>
      </c>
      <c r="AN52" s="287">
        <f t="shared" si="2"/>
        <v>0.14629592585183704</v>
      </c>
      <c r="AO52" s="289">
        <f t="shared" si="2"/>
        <v>0.13977389516957861</v>
      </c>
      <c r="AP52" s="287">
        <f t="shared" si="2"/>
        <v>0.12281694124301774</v>
      </c>
      <c r="AQ52" s="287">
        <f t="shared" si="2"/>
        <v>0.12852038035249227</v>
      </c>
      <c r="AR52" s="287">
        <f t="shared" si="2"/>
        <v>0.11523026944391362</v>
      </c>
      <c r="AS52" s="289">
        <f t="shared" si="2"/>
        <v>0.12126833227059301</v>
      </c>
      <c r="AT52" s="287">
        <f t="shared" si="2"/>
        <v>0.12351956745623069</v>
      </c>
      <c r="AU52" s="287">
        <f t="shared" si="2"/>
        <v>0.12769332452081955</v>
      </c>
      <c r="AV52" s="287">
        <f t="shared" si="2"/>
        <v>0.13403752788347986</v>
      </c>
      <c r="AW52" s="289">
        <v>0.11895587321317588</v>
      </c>
      <c r="AX52" s="287">
        <v>0.12814438018256569</v>
      </c>
      <c r="AY52" s="287">
        <v>0.12309903005628069</v>
      </c>
    </row>
    <row r="53" spans="1:51" ht="13">
      <c r="A53" s="265" t="s">
        <v>353</v>
      </c>
      <c r="B53" s="287">
        <v>0.23112708025883139</v>
      </c>
      <c r="C53" s="287">
        <v>0.25440926868865765</v>
      </c>
      <c r="D53" s="287">
        <v>0.25481443693406453</v>
      </c>
      <c r="E53" s="287">
        <v>0.2377954812589787</v>
      </c>
      <c r="F53" s="287">
        <v>0.23087468481480575</v>
      </c>
      <c r="G53" s="287">
        <v>0.24024140413044681</v>
      </c>
      <c r="H53" s="287">
        <f t="shared" si="1"/>
        <v>0.22239878925463488</v>
      </c>
      <c r="I53" s="287">
        <f t="shared" si="1"/>
        <v>0.16756550086529562</v>
      </c>
      <c r="J53" s="287">
        <f t="shared" si="1"/>
        <v>0.14294947218401471</v>
      </c>
      <c r="K53" s="287">
        <f t="shared" si="1"/>
        <v>0.13708257342305516</v>
      </c>
      <c r="L53" s="287">
        <f t="shared" si="1"/>
        <v>0.13339139972257169</v>
      </c>
      <c r="M53" s="265"/>
      <c r="N53" s="287">
        <v>0.23721495074888679</v>
      </c>
      <c r="O53" s="287">
        <v>0.26767356263485215</v>
      </c>
      <c r="P53" s="287">
        <v>0.25978975032851509</v>
      </c>
      <c r="Q53" s="287">
        <v>0.25378071833648391</v>
      </c>
      <c r="R53" s="288">
        <v>0.22640592736548038</v>
      </c>
      <c r="S53" s="287">
        <v>0.25104134918215992</v>
      </c>
      <c r="T53" s="287">
        <v>0.23044244119780333</v>
      </c>
      <c r="U53" s="287">
        <v>0.24104944118204205</v>
      </c>
      <c r="V53" s="288">
        <v>0.24854368932038834</v>
      </c>
      <c r="W53" s="287">
        <v>0.23273103707886317</v>
      </c>
      <c r="X53" s="287">
        <v>0.21204961606615474</v>
      </c>
      <c r="Y53" s="289">
        <v>0.23073929961089495</v>
      </c>
      <c r="Z53" s="287">
        <v>0.23341361944383621</v>
      </c>
      <c r="AA53" s="287">
        <v>0.23161503901631592</v>
      </c>
      <c r="AB53" s="287">
        <v>0.24025676295277396</v>
      </c>
      <c r="AC53" s="290">
        <v>0.25402814603304097</v>
      </c>
      <c r="AD53" s="287">
        <v>0.22706000000000001</v>
      </c>
      <c r="AE53" s="287">
        <v>0.2231583273399774</v>
      </c>
      <c r="AF53" s="287">
        <v>0.21794099939795303</v>
      </c>
      <c r="AG53" s="290">
        <v>0.22205316387720397</v>
      </c>
      <c r="AH53" s="287">
        <f>AH31/$AH$28</f>
        <v>0.19588744588744589</v>
      </c>
      <c r="AI53" s="287">
        <f>AI31/$AI$28</f>
        <v>0.18343444556791372</v>
      </c>
      <c r="AJ53" s="287">
        <f>AJ31/$AJ$28</f>
        <v>0.1431026402124668</v>
      </c>
      <c r="AK53" s="289">
        <f>AK31/$AK$28</f>
        <v>0.15398966704936853</v>
      </c>
      <c r="AL53" s="287">
        <f t="shared" si="2"/>
        <v>0.15539371214306316</v>
      </c>
      <c r="AM53" s="287">
        <f t="shared" si="2"/>
        <v>0.15248271527341295</v>
      </c>
      <c r="AN53" s="287">
        <f t="shared" si="2"/>
        <v>0.1233580049343202</v>
      </c>
      <c r="AO53" s="289">
        <f t="shared" si="2"/>
        <v>0.14099434737923947</v>
      </c>
      <c r="AP53" s="287">
        <f t="shared" si="2"/>
        <v>0.14296825284593084</v>
      </c>
      <c r="AQ53" s="287">
        <f t="shared" si="2"/>
        <v>0.13621222215492701</v>
      </c>
      <c r="AR53" s="287">
        <f t="shared" si="2"/>
        <v>0.13287470539524809</v>
      </c>
      <c r="AS53" s="289">
        <f t="shared" si="2"/>
        <v>0.13691959886383398</v>
      </c>
      <c r="AT53" s="287">
        <f t="shared" si="2"/>
        <v>0.12422760041194644</v>
      </c>
      <c r="AU53" s="287">
        <f t="shared" si="2"/>
        <v>0.13443489755452742</v>
      </c>
      <c r="AV53" s="287">
        <f t="shared" si="2"/>
        <v>0.1292481301666448</v>
      </c>
      <c r="AW53" s="289">
        <v>0.145183343691734</v>
      </c>
      <c r="AX53" s="287">
        <v>0.11894641488398021</v>
      </c>
      <c r="AY53" s="287">
        <v>0.13441504011495628</v>
      </c>
    </row>
    <row r="54" spans="1:51" ht="13">
      <c r="A54" s="265" t="s">
        <v>354</v>
      </c>
      <c r="B54" s="287">
        <v>0.15776677980645548</v>
      </c>
      <c r="C54" s="287">
        <v>0.14168696037192827</v>
      </c>
      <c r="D54" s="287">
        <v>0.13024486672618288</v>
      </c>
      <c r="E54" s="287">
        <v>0.13981977275695442</v>
      </c>
      <c r="F54" s="287">
        <v>0.13300203187348528</v>
      </c>
      <c r="G54" s="287">
        <v>0.13897347876640276</v>
      </c>
      <c r="H54" s="287">
        <f t="shared" si="1"/>
        <v>0.13845377727330055</v>
      </c>
      <c r="I54" s="287">
        <f t="shared" si="1"/>
        <v>0.15609530325592627</v>
      </c>
      <c r="J54" s="287">
        <f t="shared" si="1"/>
        <v>0.16406211159537976</v>
      </c>
      <c r="K54" s="287">
        <f t="shared" si="1"/>
        <v>0.17030375448085025</v>
      </c>
      <c r="L54" s="287">
        <f>+L32/L$28</f>
        <v>0.16066647311203588</v>
      </c>
      <c r="M54" s="265"/>
      <c r="N54" s="287">
        <v>0.13452975306976117</v>
      </c>
      <c r="O54" s="287">
        <v>0.12730041883487753</v>
      </c>
      <c r="P54" s="287">
        <v>0.13626806833114324</v>
      </c>
      <c r="Q54" s="287">
        <v>0.12381852551984877</v>
      </c>
      <c r="R54" s="288">
        <v>0.13397303534556054</v>
      </c>
      <c r="S54" s="287">
        <v>0.13715330691862238</v>
      </c>
      <c r="T54" s="287">
        <v>0.14962180084965288</v>
      </c>
      <c r="U54" s="287">
        <v>0.13790490623224094</v>
      </c>
      <c r="V54" s="288">
        <v>0.12079713847726112</v>
      </c>
      <c r="W54" s="287">
        <v>0.13137587050630528</v>
      </c>
      <c r="X54" s="287">
        <v>0.13299862177594016</v>
      </c>
      <c r="Y54" s="289">
        <v>0.1463035019455253</v>
      </c>
      <c r="Z54" s="287">
        <v>0.14987957083424566</v>
      </c>
      <c r="AA54" s="287">
        <v>0.12567982974698511</v>
      </c>
      <c r="AB54" s="287">
        <v>0.14706556625401193</v>
      </c>
      <c r="AC54" s="290">
        <v>0.13308178666122783</v>
      </c>
      <c r="AD54" s="287">
        <v>0.13769500000000001</v>
      </c>
      <c r="AE54" s="287">
        <v>0.14435425870749</v>
      </c>
      <c r="AF54" s="287">
        <v>0.14107967088099538</v>
      </c>
      <c r="AG54" s="290">
        <v>0.13156717085831915</v>
      </c>
      <c r="AH54" s="287">
        <f>AH32/$AH$28</f>
        <v>0.15178571428571427</v>
      </c>
      <c r="AI54" s="287">
        <f>AI32/$AI$28</f>
        <v>0.16026289180990899</v>
      </c>
      <c r="AJ54" s="287">
        <f>AJ32/$AJ$28</f>
        <v>0.15981877831588814</v>
      </c>
      <c r="AK54" s="289">
        <f>AK32/$AK$28</f>
        <v>0.15255453501722158</v>
      </c>
      <c r="AL54" s="287">
        <f t="shared" si="2"/>
        <v>0.14767810787424285</v>
      </c>
      <c r="AM54" s="287">
        <f t="shared" si="2"/>
        <v>0.17510999371464489</v>
      </c>
      <c r="AN54" s="287">
        <f t="shared" si="2"/>
        <v>0.17410148696405947</v>
      </c>
      <c r="AO54" s="289">
        <f t="shared" si="2"/>
        <v>0.15769527235354575</v>
      </c>
      <c r="AP54" s="287">
        <f t="shared" si="2"/>
        <v>0.15937212755426713</v>
      </c>
      <c r="AQ54" s="287">
        <f t="shared" si="2"/>
        <v>0.16504148749318637</v>
      </c>
      <c r="AR54" s="287">
        <f t="shared" si="2"/>
        <v>0.17574367794127013</v>
      </c>
      <c r="AS54" s="289">
        <f t="shared" si="2"/>
        <v>0.17935192162773173</v>
      </c>
      <c r="AT54" s="287">
        <f t="shared" si="2"/>
        <v>0.1627188465499485</v>
      </c>
      <c r="AU54" s="287">
        <f t="shared" si="2"/>
        <v>0.14857898215465962</v>
      </c>
      <c r="AV54" s="287">
        <f t="shared" si="2"/>
        <v>0.16041201942002362</v>
      </c>
      <c r="AW54" s="289">
        <v>0.17029210689869484</v>
      </c>
      <c r="AX54" s="287">
        <v>0.15741063340533762</v>
      </c>
      <c r="AY54" s="287">
        <v>0.15638845647227878</v>
      </c>
    </row>
    <row r="55" spans="1:51" ht="13">
      <c r="A55" s="265" t="s">
        <v>355</v>
      </c>
      <c r="B55" s="287">
        <v>0.2322890800423221</v>
      </c>
      <c r="C55" s="287">
        <v>0.24297099845029888</v>
      </c>
      <c r="D55" s="287">
        <v>0.25108404540237217</v>
      </c>
      <c r="E55" s="287">
        <v>0.27047146401985112</v>
      </c>
      <c r="F55" s="287">
        <v>0.26108350265612379</v>
      </c>
      <c r="G55" s="287">
        <v>0.27841758485133711</v>
      </c>
      <c r="H55" s="287">
        <f t="shared" si="1"/>
        <v>0.28215411779543448</v>
      </c>
      <c r="I55" s="287">
        <f t="shared" si="1"/>
        <v>0.28073811727773978</v>
      </c>
      <c r="J55" s="287">
        <f t="shared" si="1"/>
        <v>0.29693585005717316</v>
      </c>
      <c r="K55" s="287">
        <f t="shared" si="1"/>
        <v>0.29083076536066915</v>
      </c>
      <c r="L55" s="287">
        <f t="shared" si="1"/>
        <v>0.29276750862931061</v>
      </c>
      <c r="M55" s="265"/>
      <c r="N55" s="287">
        <v>0.23613547429496695</v>
      </c>
      <c r="O55" s="287">
        <v>0.2463510597791598</v>
      </c>
      <c r="P55" s="287">
        <v>0.24204993429697766</v>
      </c>
      <c r="Q55" s="287">
        <v>0.27670132325141777</v>
      </c>
      <c r="R55" s="288">
        <v>0.28592250698408844</v>
      </c>
      <c r="S55" s="287">
        <v>0.27481458904805445</v>
      </c>
      <c r="T55" s="287">
        <v>0.27064552896072946</v>
      </c>
      <c r="U55" s="287">
        <v>0.25421481341163099</v>
      </c>
      <c r="V55" s="288">
        <v>0.24251405212059274</v>
      </c>
      <c r="W55" s="287">
        <v>0.25766986636551853</v>
      </c>
      <c r="X55" s="287">
        <v>0.27721992518212246</v>
      </c>
      <c r="Y55" s="289">
        <v>0.26634241245136187</v>
      </c>
      <c r="Z55" s="287">
        <v>0.26472520253996057</v>
      </c>
      <c r="AA55" s="287">
        <v>0.27713407424923148</v>
      </c>
      <c r="AB55" s="287">
        <v>0.27384227418615315</v>
      </c>
      <c r="AC55" s="290">
        <v>0.29634917397511729</v>
      </c>
      <c r="AD55" s="287">
        <v>0.28519</v>
      </c>
      <c r="AE55" s="287">
        <v>0.26918730093496351</v>
      </c>
      <c r="AF55" s="287">
        <v>0.27031908488862133</v>
      </c>
      <c r="AG55" s="290">
        <v>0.30161997672961605</v>
      </c>
      <c r="AH55" s="287">
        <f>AH33/$AH$28</f>
        <v>0.26163419913419911</v>
      </c>
      <c r="AI55" s="287">
        <f>AI33/$AI$28</f>
        <v>0.25724637681159418</v>
      </c>
      <c r="AJ55" s="287">
        <f>AJ33/$AJ$28</f>
        <v>0.28753319793782223</v>
      </c>
      <c r="AK55" s="289">
        <f>AK33/$AK$28</f>
        <v>0.30970149253731344</v>
      </c>
      <c r="AL55" s="287">
        <f t="shared" si="2"/>
        <v>0.28273723680415347</v>
      </c>
      <c r="AM55" s="287">
        <f t="shared" si="2"/>
        <v>0.29088623507228156</v>
      </c>
      <c r="AN55" s="287">
        <f t="shared" si="2"/>
        <v>0.30172701206908048</v>
      </c>
      <c r="AO55" s="289">
        <f t="shared" si="2"/>
        <v>0.31115107913669066</v>
      </c>
      <c r="AP55" s="287">
        <f t="shared" si="2"/>
        <v>0.29717881637559218</v>
      </c>
      <c r="AQ55" s="287">
        <f t="shared" si="2"/>
        <v>0.27587668826842709</v>
      </c>
      <c r="AR55" s="287">
        <f t="shared" si="2"/>
        <v>0.29919103127587743</v>
      </c>
      <c r="AS55" s="289">
        <f t="shared" si="2"/>
        <v>0.2923308793693119</v>
      </c>
      <c r="AT55" s="287">
        <f t="shared" si="2"/>
        <v>0.28578784757981462</v>
      </c>
      <c r="AU55" s="287">
        <f t="shared" si="2"/>
        <v>0.29385327164573694</v>
      </c>
      <c r="AV55" s="287">
        <f t="shared" si="2"/>
        <v>0.29556488649783491</v>
      </c>
      <c r="AW55" s="289">
        <v>0.29583592293349908</v>
      </c>
      <c r="AX55" s="287">
        <v>0.29280189533830397</v>
      </c>
      <c r="AY55" s="287">
        <v>0.29930547239851513</v>
      </c>
    </row>
    <row r="56" spans="1:51" ht="13">
      <c r="A56" s="265"/>
      <c r="B56" s="265"/>
      <c r="C56" s="265"/>
      <c r="D56" s="277"/>
      <c r="E56" s="277"/>
      <c r="F56" s="277"/>
      <c r="G56" s="277"/>
      <c r="H56" s="277"/>
      <c r="I56" s="277"/>
      <c r="J56" s="277"/>
      <c r="K56" s="277"/>
      <c r="L56" s="277"/>
      <c r="M56" s="265"/>
      <c r="N56" s="265"/>
      <c r="O56" s="265"/>
      <c r="P56" s="265"/>
      <c r="Q56" s="277"/>
      <c r="R56" s="291"/>
      <c r="S56" s="277"/>
      <c r="T56" s="277"/>
      <c r="U56" s="277"/>
      <c r="V56" s="291"/>
      <c r="W56" s="277"/>
      <c r="X56" s="277"/>
      <c r="Y56" s="278"/>
      <c r="Z56" s="277"/>
      <c r="AA56" s="277"/>
      <c r="AB56" s="292"/>
      <c r="AC56" s="290"/>
      <c r="AD56" s="277"/>
      <c r="AE56" s="277"/>
      <c r="AF56" s="277"/>
      <c r="AG56" s="290"/>
      <c r="AH56" s="277"/>
      <c r="AI56" s="277"/>
      <c r="AJ56" s="277"/>
      <c r="AK56" s="290"/>
      <c r="AL56" s="277"/>
      <c r="AM56" s="277"/>
      <c r="AN56" s="277"/>
      <c r="AO56" s="278"/>
      <c r="AP56" s="277"/>
      <c r="AQ56" s="277"/>
      <c r="AR56" s="277"/>
      <c r="AS56" s="278"/>
      <c r="AT56" s="277"/>
      <c r="AU56" s="277"/>
      <c r="AV56" s="277"/>
      <c r="AW56" s="278"/>
      <c r="AX56" s="277"/>
      <c r="AY56" s="277"/>
    </row>
    <row r="57" spans="1:51" ht="13">
      <c r="A57" s="273" t="s">
        <v>293</v>
      </c>
      <c r="B57" s="274">
        <v>20317</v>
      </c>
      <c r="C57" s="274">
        <v>18898</v>
      </c>
      <c r="D57" s="274">
        <v>22383</v>
      </c>
      <c r="E57" s="274">
        <v>28540</v>
      </c>
      <c r="F57" s="274">
        <v>29891</v>
      </c>
      <c r="G57" s="274">
        <v>26928</v>
      </c>
      <c r="H57" s="274">
        <v>29320</v>
      </c>
      <c r="I57" s="279">
        <f>I35</f>
        <v>38904</v>
      </c>
      <c r="J57" s="274">
        <f>J35</f>
        <v>47530</v>
      </c>
      <c r="K57" s="274">
        <f>K35</f>
        <v>48914</v>
      </c>
      <c r="L57" s="274">
        <f>L35</f>
        <v>47121</v>
      </c>
      <c r="M57" s="285"/>
      <c r="N57" s="274">
        <v>5220</v>
      </c>
      <c r="O57" s="274">
        <v>5495</v>
      </c>
      <c r="P57" s="274">
        <v>5406</v>
      </c>
      <c r="Q57" s="274">
        <v>6262</v>
      </c>
      <c r="R57" s="286">
        <v>5943</v>
      </c>
      <c r="S57" s="274">
        <v>7325</v>
      </c>
      <c r="T57" s="274">
        <v>7178</v>
      </c>
      <c r="U57" s="274">
        <v>8094</v>
      </c>
      <c r="V57" s="286">
        <v>7115</v>
      </c>
      <c r="W57" s="274">
        <v>7702</v>
      </c>
      <c r="X57" s="274">
        <v>7334</v>
      </c>
      <c r="Y57" s="276">
        <v>7740</v>
      </c>
      <c r="Z57" s="274">
        <v>6579</v>
      </c>
      <c r="AA57" s="274">
        <v>6422</v>
      </c>
      <c r="AB57" s="274">
        <v>6471</v>
      </c>
      <c r="AC57" s="276">
        <v>7456</v>
      </c>
      <c r="AD57" s="274">
        <v>6391</v>
      </c>
      <c r="AE57" s="274">
        <v>7187</v>
      </c>
      <c r="AF57" s="274">
        <v>7242</v>
      </c>
      <c r="AG57" s="276">
        <v>8500</v>
      </c>
      <c r="AH57" s="279">
        <f t="shared" ref="AH57:AN57" si="3">AH35</f>
        <v>8485</v>
      </c>
      <c r="AI57" s="279">
        <f t="shared" si="3"/>
        <v>9060</v>
      </c>
      <c r="AJ57" s="279">
        <f t="shared" si="3"/>
        <v>10070</v>
      </c>
      <c r="AK57" s="280">
        <f t="shared" si="3"/>
        <v>11289</v>
      </c>
      <c r="AL57" s="274">
        <f t="shared" si="3"/>
        <v>10733</v>
      </c>
      <c r="AM57" s="274">
        <f t="shared" si="3"/>
        <v>12510</v>
      </c>
      <c r="AN57" s="274">
        <f t="shared" si="3"/>
        <v>11729</v>
      </c>
      <c r="AO57" s="276">
        <f t="shared" ref="AO57:AU57" si="4">+AO35</f>
        <v>12558</v>
      </c>
      <c r="AP57" s="274">
        <f t="shared" si="4"/>
        <v>11212</v>
      </c>
      <c r="AQ57" s="274">
        <f t="shared" si="4"/>
        <v>12516</v>
      </c>
      <c r="AR57" s="274">
        <f t="shared" si="4"/>
        <v>11875</v>
      </c>
      <c r="AS57" s="276">
        <f t="shared" si="4"/>
        <v>13311</v>
      </c>
      <c r="AT57" s="274">
        <f t="shared" si="4"/>
        <v>11704</v>
      </c>
      <c r="AU57" s="274">
        <f t="shared" si="4"/>
        <v>11435</v>
      </c>
      <c r="AV57" s="274">
        <v>11513</v>
      </c>
      <c r="AW57" s="276">
        <v>12469</v>
      </c>
      <c r="AX57" s="274">
        <v>10776</v>
      </c>
      <c r="AY57" s="274">
        <v>12839</v>
      </c>
    </row>
    <row r="58" spans="1:51" ht="13">
      <c r="A58" s="265" t="s">
        <v>351</v>
      </c>
      <c r="B58" s="287">
        <v>0.1917113747108333</v>
      </c>
      <c r="C58" s="287">
        <v>0.18432839494019787</v>
      </c>
      <c r="D58" s="287">
        <v>0.21445095240439041</v>
      </c>
      <c r="E58" s="287">
        <v>0.27755081951075455</v>
      </c>
      <c r="F58" s="287">
        <v>0.28764089186395631</v>
      </c>
      <c r="G58" s="287">
        <v>0.19240196078431374</v>
      </c>
      <c r="H58" s="287">
        <f>+H36/H$35</f>
        <v>0.20617326057298771</v>
      </c>
      <c r="I58" s="287">
        <f>I36/$I$35</f>
        <v>0.24884330660086365</v>
      </c>
      <c r="J58" s="287">
        <f t="shared" ref="J58:K62" si="5">J36/$J$35</f>
        <v>0.24041657900273511</v>
      </c>
      <c r="K58" s="287">
        <f t="shared" si="5"/>
        <v>0.24571849358300021</v>
      </c>
      <c r="L58" s="287">
        <f>L36/$L$35</f>
        <v>0.23804673075698732</v>
      </c>
      <c r="M58" s="265"/>
      <c r="N58" s="287">
        <v>0.2157088122605364</v>
      </c>
      <c r="O58" s="287">
        <v>0.1743403093721565</v>
      </c>
      <c r="P58" s="287">
        <v>0.2005179430262671</v>
      </c>
      <c r="Q58" s="287">
        <v>0.1898754391568189</v>
      </c>
      <c r="R58" s="288">
        <v>0.19737506309944472</v>
      </c>
      <c r="S58" s="287">
        <v>0.19249146757679181</v>
      </c>
      <c r="T58" s="287">
        <v>0.19671217609361941</v>
      </c>
      <c r="U58" s="287">
        <v>0.20311341734618235</v>
      </c>
      <c r="V58" s="288">
        <v>0.20028109627547436</v>
      </c>
      <c r="W58" s="287">
        <v>0.20514152168267982</v>
      </c>
      <c r="X58" s="287">
        <v>0.18571038996454867</v>
      </c>
      <c r="Y58" s="287">
        <v>0.19082687338501292</v>
      </c>
      <c r="Z58" s="288">
        <v>0.20246238030095759</v>
      </c>
      <c r="AA58" s="287">
        <v>0.19635627530364372</v>
      </c>
      <c r="AB58" s="287">
        <v>0.20754133827847318</v>
      </c>
      <c r="AC58" s="289">
        <v>0.16697961373390557</v>
      </c>
      <c r="AD58" s="288">
        <v>0.19</v>
      </c>
      <c r="AE58" s="287">
        <v>0.20217058577988034</v>
      </c>
      <c r="AF58" s="287">
        <v>0.21913835956917979</v>
      </c>
      <c r="AG58" s="289">
        <v>0.20847058823529413</v>
      </c>
      <c r="AH58" s="293">
        <f>AH36/$AH$35</f>
        <v>0.23995285798467886</v>
      </c>
      <c r="AI58" s="294">
        <f>AI36/$AI$35</f>
        <v>0.25231788079470197</v>
      </c>
      <c r="AJ58" s="294">
        <f>AJ36/$AJ$35</f>
        <v>0.25849056603773585</v>
      </c>
      <c r="AK58" s="295">
        <f>AK36/$AK$35</f>
        <v>0.24413145539906103</v>
      </c>
      <c r="AL58" s="287">
        <f t="shared" ref="AL58:AV62" si="6">AL36/AL$35</f>
        <v>0.25211963104444235</v>
      </c>
      <c r="AM58" s="287">
        <f t="shared" si="6"/>
        <v>0.23661071143085532</v>
      </c>
      <c r="AN58" s="287">
        <f t="shared" si="6"/>
        <v>0.23898030522636202</v>
      </c>
      <c r="AO58" s="289">
        <f t="shared" si="6"/>
        <v>0.23554706163401815</v>
      </c>
      <c r="AP58" s="287">
        <f t="shared" si="6"/>
        <v>0.26712450945415628</v>
      </c>
      <c r="AQ58" s="287">
        <f t="shared" si="6"/>
        <v>0.24017257909875359</v>
      </c>
      <c r="AR58" s="287">
        <f t="shared" si="6"/>
        <v>0.22686315789473685</v>
      </c>
      <c r="AS58" s="289">
        <f t="shared" si="6"/>
        <v>0.22417549395237021</v>
      </c>
      <c r="AT58" s="287">
        <f t="shared" si="6"/>
        <v>0.25247778537252219</v>
      </c>
      <c r="AU58" s="287">
        <f t="shared" si="6"/>
        <v>0.24573677306515085</v>
      </c>
      <c r="AV58" s="287">
        <f t="shared" si="6"/>
        <v>0.22835056023625466</v>
      </c>
      <c r="AW58" s="289">
        <v>0.22640147565963589</v>
      </c>
      <c r="AX58" s="287">
        <v>0.25371195248700817</v>
      </c>
      <c r="AY58" s="287">
        <v>0.23561025001947192</v>
      </c>
    </row>
    <row r="59" spans="1:51" ht="13">
      <c r="A59" s="265" t="s">
        <v>352</v>
      </c>
      <c r="B59" s="287">
        <v>0.15666683073288379</v>
      </c>
      <c r="C59" s="287">
        <v>0.13008810355859626</v>
      </c>
      <c r="D59" s="287">
        <v>0.16296697347049269</v>
      </c>
      <c r="E59" s="287">
        <v>0.20549293694935275</v>
      </c>
      <c r="F59" s="287">
        <v>0.26061918590343064</v>
      </c>
      <c r="G59" s="287">
        <v>0.14104278074866311</v>
      </c>
      <c r="H59" s="287">
        <f>+H37/H$35</f>
        <v>0.14737380627557981</v>
      </c>
      <c r="I59" s="287">
        <f>I37/$I$35</f>
        <v>0.15103845362944684</v>
      </c>
      <c r="J59" s="287">
        <f t="shared" si="5"/>
        <v>0.15150431306543236</v>
      </c>
      <c r="K59" s="287">
        <f t="shared" si="5"/>
        <v>0.14386703134862192</v>
      </c>
      <c r="L59" s="287">
        <f>L37/$L$35</f>
        <v>0.14749262536873156</v>
      </c>
      <c r="M59" s="265"/>
      <c r="N59" s="287">
        <v>0.15842911877394636</v>
      </c>
      <c r="O59" s="287">
        <v>0.16014558689717925</v>
      </c>
      <c r="P59" s="287">
        <v>0.13780984091749907</v>
      </c>
      <c r="Q59" s="287">
        <v>0.13717662088789523</v>
      </c>
      <c r="R59" s="288">
        <v>0.13679959616355375</v>
      </c>
      <c r="S59" s="287">
        <v>0.13392491467576792</v>
      </c>
      <c r="T59" s="287">
        <v>0.14210086375034828</v>
      </c>
      <c r="U59" s="287">
        <v>0.16814924635532494</v>
      </c>
      <c r="V59" s="288">
        <v>0.1865073787772312</v>
      </c>
      <c r="W59" s="287">
        <v>0.17411062061802129</v>
      </c>
      <c r="X59" s="287">
        <v>0.18489228251977094</v>
      </c>
      <c r="Y59" s="287">
        <v>0.16421188630490957</v>
      </c>
      <c r="Z59" s="288">
        <v>0.13299893600851193</v>
      </c>
      <c r="AA59" s="287">
        <v>0.16708190594830272</v>
      </c>
      <c r="AB59" s="287">
        <v>0.12192860454334724</v>
      </c>
      <c r="AC59" s="289">
        <v>0.14230150214592274</v>
      </c>
      <c r="AD59" s="288">
        <v>0.15</v>
      </c>
      <c r="AE59" s="287">
        <v>0.15722832892722971</v>
      </c>
      <c r="AF59" s="287">
        <v>0.15341066003866335</v>
      </c>
      <c r="AG59" s="289">
        <v>0.13529411764705881</v>
      </c>
      <c r="AH59" s="293">
        <f>AH37/$AH$35</f>
        <v>0.15674720094284031</v>
      </c>
      <c r="AI59" s="294">
        <f>AI37/$AI$35</f>
        <v>0.14933774834437086</v>
      </c>
      <c r="AJ59" s="294">
        <f>AJ37/$AJ$35</f>
        <v>0.15451837140019861</v>
      </c>
      <c r="AK59" s="295">
        <f>AK37/$AK$35</f>
        <v>0.14500841527150324</v>
      </c>
      <c r="AL59" s="287">
        <f t="shared" si="6"/>
        <v>0.15988074163793906</v>
      </c>
      <c r="AM59" s="287">
        <f t="shared" si="6"/>
        <v>0.14164668265387689</v>
      </c>
      <c r="AN59" s="287">
        <f t="shared" si="6"/>
        <v>0.15329525108704919</v>
      </c>
      <c r="AO59" s="289">
        <f t="shared" si="6"/>
        <v>0.15249243510113075</v>
      </c>
      <c r="AP59" s="287">
        <f t="shared" si="6"/>
        <v>0.13137709596860506</v>
      </c>
      <c r="AQ59" s="287">
        <f t="shared" si="6"/>
        <v>0.15164589325663153</v>
      </c>
      <c r="AR59" s="287">
        <f t="shared" si="6"/>
        <v>0.13372631578947369</v>
      </c>
      <c r="AS59" s="289">
        <f t="shared" si="6"/>
        <v>0.14116144542108031</v>
      </c>
      <c r="AT59" s="287">
        <f t="shared" si="6"/>
        <v>0.14567669172932332</v>
      </c>
      <c r="AU59" s="287">
        <f t="shared" si="6"/>
        <v>0.15076519457804985</v>
      </c>
      <c r="AV59" s="287">
        <f t="shared" si="6"/>
        <v>0.15677929297316076</v>
      </c>
      <c r="AW59" s="289">
        <v>0.13762130082604859</v>
      </c>
      <c r="AX59" s="287">
        <v>0.15228285077951001</v>
      </c>
      <c r="AY59" s="287">
        <v>0.14463743282187086</v>
      </c>
    </row>
    <row r="60" spans="1:51" ht="13">
      <c r="A60" s="265" t="s">
        <v>353</v>
      </c>
      <c r="B60" s="287">
        <v>0.25648471723187477</v>
      </c>
      <c r="C60" s="287">
        <v>0.24299847418418075</v>
      </c>
      <c r="D60" s="287">
        <v>0.29930599990156026</v>
      </c>
      <c r="E60" s="287">
        <v>0.30639366048137029</v>
      </c>
      <c r="F60" s="287">
        <v>0.3210119604272284</v>
      </c>
      <c r="G60" s="287">
        <v>0.22556446821152704</v>
      </c>
      <c r="H60" s="287">
        <f>+H38/H$35</f>
        <v>0.20289904502046385</v>
      </c>
      <c r="I60" s="287">
        <f>I38/$I$35</f>
        <v>0.14618034135307423</v>
      </c>
      <c r="J60" s="287">
        <f t="shared" si="5"/>
        <v>0.12815064169997897</v>
      </c>
      <c r="K60" s="287">
        <f t="shared" si="5"/>
        <v>0.12941300231432779</v>
      </c>
      <c r="L60" s="287">
        <f>L38/$L$35</f>
        <v>0.11678444854735681</v>
      </c>
      <c r="M60" s="265"/>
      <c r="N60" s="287">
        <v>0.25344827586206897</v>
      </c>
      <c r="O60" s="287">
        <v>0.28462238398544132</v>
      </c>
      <c r="P60" s="287">
        <v>0.27450980392156865</v>
      </c>
      <c r="Q60" s="287">
        <v>0.27307569466624082</v>
      </c>
      <c r="R60" s="288">
        <v>0.20780750462729261</v>
      </c>
      <c r="S60" s="287">
        <v>0.23153583617747439</v>
      </c>
      <c r="T60" s="287">
        <v>0.20730008358874338</v>
      </c>
      <c r="U60" s="287">
        <v>0.22325179145045712</v>
      </c>
      <c r="V60" s="288">
        <v>0.23527758257203091</v>
      </c>
      <c r="W60" s="287">
        <v>0.21838483510776421</v>
      </c>
      <c r="X60" s="287">
        <v>0.20029997272975184</v>
      </c>
      <c r="Y60" s="287">
        <v>0.21925064599483204</v>
      </c>
      <c r="Z60" s="288">
        <v>0.21690226478188174</v>
      </c>
      <c r="AA60" s="287">
        <v>0.21208346309560885</v>
      </c>
      <c r="AB60" s="287">
        <v>0.22747643331787978</v>
      </c>
      <c r="AC60" s="289">
        <v>0.2431598712446352</v>
      </c>
      <c r="AD60" s="288">
        <v>0.2</v>
      </c>
      <c r="AE60" s="287">
        <v>0.20258800612216502</v>
      </c>
      <c r="AF60" s="287">
        <v>0.19814968240817454</v>
      </c>
      <c r="AG60" s="289">
        <v>0.20588235294117646</v>
      </c>
      <c r="AH60" s="293">
        <f>AH38/$AH$35</f>
        <v>0.17748968768414849</v>
      </c>
      <c r="AI60" s="294">
        <f>AI38/$AI$35</f>
        <v>0.16810154525386314</v>
      </c>
      <c r="AJ60" s="294">
        <f>AJ38/$AJ$35</f>
        <v>0.11886792452830189</v>
      </c>
      <c r="AK60" s="295">
        <f>AK38/$AK$35</f>
        <v>0.12941801753919746</v>
      </c>
      <c r="AL60" s="287">
        <f t="shared" si="6"/>
        <v>0.13630858101183266</v>
      </c>
      <c r="AM60" s="287">
        <f t="shared" si="6"/>
        <v>0.13693045563549161</v>
      </c>
      <c r="AN60" s="287">
        <f t="shared" si="6"/>
        <v>0.11075112967857448</v>
      </c>
      <c r="AO60" s="289">
        <f t="shared" si="6"/>
        <v>0.12868291129160694</v>
      </c>
      <c r="AP60" s="287">
        <f t="shared" si="6"/>
        <v>0.13280413842311808</v>
      </c>
      <c r="AQ60" s="287">
        <f t="shared" si="6"/>
        <v>0.12384148290188558</v>
      </c>
      <c r="AR60" s="287">
        <f t="shared" si="6"/>
        <v>0.12479999999999999</v>
      </c>
      <c r="AS60" s="289">
        <f t="shared" si="6"/>
        <v>0.12245511231312449</v>
      </c>
      <c r="AT60" s="287">
        <f t="shared" si="6"/>
        <v>0.1072282980177717</v>
      </c>
      <c r="AU60" s="287">
        <f t="shared" si="6"/>
        <v>0.11718408395277656</v>
      </c>
      <c r="AV60" s="287">
        <f t="shared" si="6"/>
        <v>0.11100495092504126</v>
      </c>
      <c r="AW60" s="289">
        <v>0.13072419600609511</v>
      </c>
      <c r="AX60" s="287">
        <v>9.5861172976985889E-2</v>
      </c>
      <c r="AY60" s="287">
        <v>0.11784406885271438</v>
      </c>
    </row>
    <row r="61" spans="1:51" ht="13">
      <c r="A61" s="265" t="s">
        <v>354</v>
      </c>
      <c r="B61" s="287">
        <v>0.15336909976866664</v>
      </c>
      <c r="C61" s="287">
        <v>0.13028498301914654</v>
      </c>
      <c r="D61" s="287">
        <v>0.1298420042329084</v>
      </c>
      <c r="E61" s="287">
        <v>0.18816754442092828</v>
      </c>
      <c r="F61" s="287">
        <v>0.16877491755672588</v>
      </c>
      <c r="G61" s="287">
        <v>0.12726530005941772</v>
      </c>
      <c r="H61" s="287">
        <f>+H39/H$35</f>
        <v>0.12517053206002729</v>
      </c>
      <c r="I61" s="287">
        <f>I39/$I$35</f>
        <v>0.15085852354513674</v>
      </c>
      <c r="J61" s="287">
        <f t="shared" si="5"/>
        <v>0.1622554176309699</v>
      </c>
      <c r="K61" s="287">
        <f t="shared" si="5"/>
        <v>0.1807700399747528</v>
      </c>
      <c r="L61" s="287">
        <f>L39/$L$35</f>
        <v>0.16676216548884787</v>
      </c>
      <c r="M61" s="265"/>
      <c r="N61" s="287">
        <v>0.11781609195402298</v>
      </c>
      <c r="O61" s="287">
        <v>0.11774340309372157</v>
      </c>
      <c r="P61" s="287">
        <v>0.12782093969663336</v>
      </c>
      <c r="Q61" s="287">
        <v>0.10938997125519004</v>
      </c>
      <c r="R61" s="288">
        <v>0.12889113242470132</v>
      </c>
      <c r="S61" s="287">
        <v>0.13269624573378841</v>
      </c>
      <c r="T61" s="287">
        <v>0.14683755920869324</v>
      </c>
      <c r="U61" s="287">
        <v>0.12737830491722263</v>
      </c>
      <c r="V61" s="288">
        <v>0.11061138439915671</v>
      </c>
      <c r="W61" s="287">
        <v>0.10997143599065178</v>
      </c>
      <c r="X61" s="287">
        <v>0.10799018271066267</v>
      </c>
      <c r="Y61" s="287">
        <v>0.12958656330749355</v>
      </c>
      <c r="Z61" s="288">
        <v>0.14029487764097887</v>
      </c>
      <c r="AA61" s="287">
        <v>0.1184989099968857</v>
      </c>
      <c r="AB61" s="287">
        <v>0.13413691855972801</v>
      </c>
      <c r="AC61" s="289">
        <v>0.11735515021459228</v>
      </c>
      <c r="AD61" s="288">
        <v>0.13</v>
      </c>
      <c r="AE61" s="287">
        <v>0.13093084736329483</v>
      </c>
      <c r="AF61" s="287">
        <v>0.12372272852803093</v>
      </c>
      <c r="AG61" s="289">
        <v>0.11858823529411765</v>
      </c>
      <c r="AH61" s="293">
        <f>AH39/$AH$35</f>
        <v>0.14484384207424866</v>
      </c>
      <c r="AI61" s="294">
        <f>AI39/$AI$35</f>
        <v>0.1575055187637969</v>
      </c>
      <c r="AJ61" s="294">
        <f>AJ39/$AJ$35</f>
        <v>0.15412115193644488</v>
      </c>
      <c r="AK61" s="295">
        <f>AK39/$AK$35</f>
        <v>0.14713437859863585</v>
      </c>
      <c r="AL61" s="287">
        <f t="shared" si="6"/>
        <v>0.14394856983136123</v>
      </c>
      <c r="AM61" s="287">
        <f t="shared" si="6"/>
        <v>0.17737809752198241</v>
      </c>
      <c r="AN61" s="287">
        <f t="shared" si="6"/>
        <v>0.17162588455963851</v>
      </c>
      <c r="AO61" s="289">
        <f t="shared" si="6"/>
        <v>0.15408504538939322</v>
      </c>
      <c r="AP61" s="287">
        <f t="shared" si="6"/>
        <v>0.15322868355333571</v>
      </c>
      <c r="AQ61" s="287">
        <f t="shared" si="6"/>
        <v>0.17569511025886864</v>
      </c>
      <c r="AR61" s="287">
        <f t="shared" si="6"/>
        <v>0.18071578947368422</v>
      </c>
      <c r="AS61" s="289">
        <f t="shared" si="6"/>
        <v>0.18999323867478027</v>
      </c>
      <c r="AT61" s="287">
        <f t="shared" si="6"/>
        <v>0.17190704032809295</v>
      </c>
      <c r="AU61" s="287">
        <f t="shared" si="6"/>
        <v>0.1529514648010494</v>
      </c>
      <c r="AV61" s="287">
        <f t="shared" si="6"/>
        <v>0.1655519847129332</v>
      </c>
      <c r="AW61" s="289">
        <v>0.17571577512230332</v>
      </c>
      <c r="AX61" s="287">
        <v>0.16239792130660727</v>
      </c>
      <c r="AY61" s="287">
        <v>0.16309681439364437</v>
      </c>
    </row>
    <row r="62" spans="1:51" ht="13">
      <c r="A62" s="265" t="s">
        <v>355</v>
      </c>
      <c r="B62" s="287">
        <v>0.2417679775557415</v>
      </c>
      <c r="C62" s="287">
        <v>0.24245705566766748</v>
      </c>
      <c r="D62" s="287">
        <v>0.29512231136486688</v>
      </c>
      <c r="E62" s="287">
        <v>0.42712998966382831</v>
      </c>
      <c r="F62" s="287">
        <v>0.43318403307574938</v>
      </c>
      <c r="G62" s="287">
        <v>0.31372549019607843</v>
      </c>
      <c r="H62" s="287">
        <f>+H40/H$35</f>
        <v>0.31838335607094131</v>
      </c>
      <c r="I62" s="287">
        <f>I40/$I$35</f>
        <v>0.30307937487147851</v>
      </c>
      <c r="J62" s="287">
        <f t="shared" si="5"/>
        <v>0.31767304860088363</v>
      </c>
      <c r="K62" s="287">
        <f t="shared" si="5"/>
        <v>0.32934988428361034</v>
      </c>
      <c r="L62" s="287">
        <f>L40/$L$35</f>
        <v>0.33091402983807644</v>
      </c>
      <c r="M62" s="265"/>
      <c r="N62" s="287">
        <v>0.25459770114942532</v>
      </c>
      <c r="O62" s="287">
        <v>0.26314831665150135</v>
      </c>
      <c r="P62" s="287">
        <v>0.25934147243803179</v>
      </c>
      <c r="Q62" s="287">
        <v>0.29048227403385501</v>
      </c>
      <c r="R62" s="288">
        <v>0.32912670368500757</v>
      </c>
      <c r="S62" s="287">
        <v>0.30935153583617747</v>
      </c>
      <c r="T62" s="287">
        <v>0.3070493173585957</v>
      </c>
      <c r="U62" s="287">
        <v>0.27810723993081293</v>
      </c>
      <c r="V62" s="288">
        <v>0.26732255797610682</v>
      </c>
      <c r="W62" s="287">
        <v>0.29239158660088288</v>
      </c>
      <c r="X62" s="287">
        <v>0.3211071720752659</v>
      </c>
      <c r="Y62" s="287">
        <v>0.29612403100775192</v>
      </c>
      <c r="Z62" s="288">
        <v>0.30734154126766988</v>
      </c>
      <c r="AA62" s="287">
        <v>0.30597944565555901</v>
      </c>
      <c r="AB62" s="287">
        <v>0.3089167053005718</v>
      </c>
      <c r="AC62" s="289">
        <v>0.3302038626609442</v>
      </c>
      <c r="AD62" s="288">
        <v>0.33</v>
      </c>
      <c r="AE62" s="287">
        <v>0.30708223180743011</v>
      </c>
      <c r="AF62" s="287">
        <v>0.30557856945595141</v>
      </c>
      <c r="AG62" s="289">
        <v>0.33176470588235296</v>
      </c>
      <c r="AH62" s="293">
        <f>AH40/$AH$35</f>
        <v>0.28096641131408367</v>
      </c>
      <c r="AI62" s="294">
        <f>AI40/$AI$35</f>
        <v>0.27273730684326714</v>
      </c>
      <c r="AJ62" s="294">
        <f>AJ40/$AJ$35</f>
        <v>0.31400198609731877</v>
      </c>
      <c r="AK62" s="295">
        <f>AK40/$AK$35</f>
        <v>0.33430773319160245</v>
      </c>
      <c r="AL62" s="287">
        <f t="shared" si="6"/>
        <v>0.30774247647442465</v>
      </c>
      <c r="AM62" s="287">
        <f t="shared" si="6"/>
        <v>0.30743405275779379</v>
      </c>
      <c r="AN62" s="287">
        <f t="shared" si="6"/>
        <v>0.3253474294483758</v>
      </c>
      <c r="AO62" s="289">
        <f t="shared" si="6"/>
        <v>0.32919254658385094</v>
      </c>
      <c r="AP62" s="287">
        <f t="shared" si="6"/>
        <v>0.31546557260078489</v>
      </c>
      <c r="AQ62" s="287">
        <f t="shared" si="6"/>
        <v>0.30864493448386066</v>
      </c>
      <c r="AR62" s="287">
        <f t="shared" si="6"/>
        <v>0.33389473684210524</v>
      </c>
      <c r="AS62" s="289">
        <f t="shared" si="6"/>
        <v>0.32221470963864474</v>
      </c>
      <c r="AT62" s="287">
        <f t="shared" si="6"/>
        <v>0.32271018455228984</v>
      </c>
      <c r="AU62" s="287">
        <f t="shared" si="6"/>
        <v>0.33336248360297333</v>
      </c>
      <c r="AV62" s="287">
        <f t="shared" si="6"/>
        <v>0.33831321115261009</v>
      </c>
      <c r="AW62" s="289">
        <v>0.32953725238591708</v>
      </c>
      <c r="AX62" s="287">
        <v>0.33574610244988862</v>
      </c>
      <c r="AY62" s="287">
        <v>0.33881143391229845</v>
      </c>
    </row>
    <row r="63" spans="1:51" ht="13">
      <c r="A63" s="265"/>
      <c r="B63" s="265"/>
      <c r="C63" s="265"/>
      <c r="D63" s="277"/>
      <c r="E63" s="277"/>
      <c r="F63" s="277"/>
      <c r="G63" s="277"/>
      <c r="H63" s="277"/>
      <c r="I63" s="277"/>
      <c r="J63" s="277"/>
      <c r="K63" s="277"/>
      <c r="L63" s="277"/>
      <c r="M63" s="265"/>
      <c r="N63" s="265"/>
      <c r="O63" s="277"/>
      <c r="P63" s="265"/>
      <c r="Q63" s="277"/>
      <c r="R63" s="291"/>
      <c r="S63" s="277"/>
      <c r="T63" s="277"/>
      <c r="U63" s="277"/>
      <c r="V63" s="291"/>
      <c r="W63" s="277"/>
      <c r="X63" s="277"/>
      <c r="Y63" s="277"/>
      <c r="Z63" s="291"/>
      <c r="AA63" s="277"/>
      <c r="AB63" s="287"/>
      <c r="AC63" s="289"/>
      <c r="AD63" s="291"/>
      <c r="AE63" s="277"/>
      <c r="AF63" s="277"/>
      <c r="AG63" s="289"/>
      <c r="AH63" s="291"/>
      <c r="AI63" s="277"/>
      <c r="AJ63" s="277"/>
      <c r="AK63" s="289"/>
      <c r="AL63" s="291"/>
      <c r="AM63" s="277"/>
      <c r="AN63" s="277"/>
      <c r="AO63" s="289"/>
      <c r="AP63" s="287"/>
      <c r="AQ63" s="287"/>
      <c r="AR63" s="287"/>
      <c r="AS63" s="289"/>
      <c r="AT63" s="287"/>
      <c r="AU63" s="287"/>
      <c r="AV63" s="287"/>
      <c r="AW63" s="289"/>
      <c r="AX63" s="287"/>
      <c r="AY63" s="287"/>
    </row>
    <row r="64" spans="1:51" ht="13">
      <c r="A64" s="273" t="s">
        <v>296</v>
      </c>
      <c r="B64" s="274">
        <v>8088</v>
      </c>
      <c r="C64" s="274">
        <v>7925</v>
      </c>
      <c r="D64" s="274">
        <v>8738</v>
      </c>
      <c r="E64" s="274">
        <v>9519</v>
      </c>
      <c r="F64" s="274">
        <v>10799</v>
      </c>
      <c r="G64" s="274">
        <v>9025</v>
      </c>
      <c r="H64" s="274">
        <v>10205</v>
      </c>
      <c r="I64" s="279">
        <f>I42</f>
        <v>10806</v>
      </c>
      <c r="J64" s="274">
        <f>J42</f>
        <v>12723</v>
      </c>
      <c r="K64" s="274">
        <f>K42</f>
        <v>14640</v>
      </c>
      <c r="L64" s="274">
        <f>L42</f>
        <v>14788</v>
      </c>
      <c r="M64" s="285"/>
      <c r="N64" s="274">
        <v>2161</v>
      </c>
      <c r="O64" s="274">
        <v>2297</v>
      </c>
      <c r="P64" s="274">
        <v>2141</v>
      </c>
      <c r="Q64" s="274">
        <v>2139</v>
      </c>
      <c r="R64" s="286">
        <v>2245</v>
      </c>
      <c r="S64" s="274">
        <v>2452</v>
      </c>
      <c r="T64" s="274">
        <v>2382</v>
      </c>
      <c r="U64" s="274">
        <v>2440</v>
      </c>
      <c r="V64" s="286">
        <v>2605</v>
      </c>
      <c r="W64" s="274">
        <v>2926</v>
      </c>
      <c r="X64" s="274">
        <v>2765</v>
      </c>
      <c r="Y64" s="276">
        <v>2503</v>
      </c>
      <c r="Z64" s="274">
        <v>2505</v>
      </c>
      <c r="AA64" s="274">
        <v>2035</v>
      </c>
      <c r="AB64" s="274">
        <v>2196</v>
      </c>
      <c r="AC64" s="276">
        <v>2288</v>
      </c>
      <c r="AD64" s="274">
        <v>2345</v>
      </c>
      <c r="AE64" s="274">
        <v>2517</v>
      </c>
      <c r="AF64" s="274">
        <v>2699</v>
      </c>
      <c r="AG64" s="276">
        <v>2644</v>
      </c>
      <c r="AH64" s="279">
        <f t="shared" ref="AH64:AN64" si="7">AH42</f>
        <v>2588</v>
      </c>
      <c r="AI64" s="279">
        <f t="shared" si="7"/>
        <v>2793.5</v>
      </c>
      <c r="AJ64" s="279">
        <f t="shared" si="7"/>
        <v>2711</v>
      </c>
      <c r="AK64" s="280">
        <f t="shared" si="7"/>
        <v>2713</v>
      </c>
      <c r="AL64" s="274">
        <f t="shared" si="7"/>
        <v>3125</v>
      </c>
      <c r="AM64" s="274">
        <f t="shared" si="7"/>
        <v>3418</v>
      </c>
      <c r="AN64" s="274">
        <f t="shared" si="7"/>
        <v>3195</v>
      </c>
      <c r="AO64" s="276">
        <f t="shared" ref="AO64:AU64" si="8">+AO42</f>
        <v>2985</v>
      </c>
      <c r="AP64" s="274">
        <f t="shared" si="8"/>
        <v>2949</v>
      </c>
      <c r="AQ64" s="274">
        <f t="shared" si="8"/>
        <v>3991</v>
      </c>
      <c r="AR64" s="274">
        <f t="shared" si="8"/>
        <v>3809</v>
      </c>
      <c r="AS64" s="276">
        <f t="shared" si="8"/>
        <v>3891</v>
      </c>
      <c r="AT64" s="274">
        <f t="shared" si="8"/>
        <v>3811</v>
      </c>
      <c r="AU64" s="274">
        <f t="shared" si="8"/>
        <v>3665</v>
      </c>
      <c r="AV64" s="274">
        <v>3704</v>
      </c>
      <c r="AW64" s="276">
        <v>3608</v>
      </c>
      <c r="AX64" s="274">
        <v>3564</v>
      </c>
      <c r="AY64" s="274">
        <v>3854</v>
      </c>
    </row>
    <row r="65" spans="1:51" ht="13">
      <c r="A65" s="265" t="s">
        <v>351</v>
      </c>
      <c r="B65" s="287">
        <v>0.26483679525222553</v>
      </c>
      <c r="C65" s="287">
        <v>0.27987381703470032</v>
      </c>
      <c r="D65" s="287">
        <v>0.28759441519798579</v>
      </c>
      <c r="E65" s="287">
        <v>0.2862695661308961</v>
      </c>
      <c r="F65" s="287">
        <v>0.28335957033058617</v>
      </c>
      <c r="G65" s="287">
        <v>0.2742382271468144</v>
      </c>
      <c r="H65" s="287">
        <f>+H43/H$42</f>
        <v>0.26967172954434099</v>
      </c>
      <c r="I65" s="287">
        <f>I43/$I$42</f>
        <v>0.29483620210993894</v>
      </c>
      <c r="J65" s="287">
        <f t="shared" ref="J65:J69" si="9">J43/$J$42</f>
        <v>0.31187612984359037</v>
      </c>
      <c r="K65" s="287">
        <f>K43/$K$42</f>
        <v>0.41256830601092898</v>
      </c>
      <c r="L65" s="287">
        <f>L43/$L42</f>
        <v>0.44177711658101165</v>
      </c>
      <c r="M65" s="277"/>
      <c r="N65" s="287">
        <v>0.30032392410920872</v>
      </c>
      <c r="O65" s="287">
        <v>0.29734436221158034</v>
      </c>
      <c r="P65" s="287">
        <v>0.29659037832788415</v>
      </c>
      <c r="Q65" s="287">
        <v>0.2552594670406732</v>
      </c>
      <c r="R65" s="288">
        <v>0.31180400890868598</v>
      </c>
      <c r="S65" s="287">
        <v>0.27773246329526918</v>
      </c>
      <c r="T65" s="287">
        <v>0.29513014273719562</v>
      </c>
      <c r="U65" s="287">
        <v>0.26270491803278689</v>
      </c>
      <c r="V65" s="288">
        <v>0.29673704414587332</v>
      </c>
      <c r="W65" s="287">
        <v>0.28981544771018453</v>
      </c>
      <c r="X65" s="287">
        <v>0.29005424954792042</v>
      </c>
      <c r="Y65" s="287">
        <v>0.25449460647223332</v>
      </c>
      <c r="Z65" s="288">
        <v>0.29341317365269459</v>
      </c>
      <c r="AA65" s="287">
        <v>0.28255528255528256</v>
      </c>
      <c r="AB65" s="287">
        <v>0.26775956284153007</v>
      </c>
      <c r="AC65" s="289">
        <v>0.25218531468531469</v>
      </c>
      <c r="AD65" s="288">
        <v>0.28100000000000003</v>
      </c>
      <c r="AE65" s="287">
        <v>0.27532777115613827</v>
      </c>
      <c r="AF65" s="287">
        <v>0.27084105224157096</v>
      </c>
      <c r="AG65" s="289">
        <v>0.25302571860816941</v>
      </c>
      <c r="AH65" s="293">
        <f>AH43/$AH$42</f>
        <v>0.27434312210200928</v>
      </c>
      <c r="AI65" s="294">
        <f>AI43/$AI$42</f>
        <v>0.30212994451405045</v>
      </c>
      <c r="AJ65" s="294">
        <f>AJ43/$AJ$42</f>
        <v>0.30505348579859831</v>
      </c>
      <c r="AK65" s="295">
        <f>AK43/$AK$42</f>
        <v>0.29671949870991521</v>
      </c>
      <c r="AL65" s="287">
        <f t="shared" ref="AL65:AV69" si="10">AL43/AL$42</f>
        <v>0.33792</v>
      </c>
      <c r="AM65" s="287">
        <f t="shared" si="10"/>
        <v>0.30076067875950846</v>
      </c>
      <c r="AN65" s="287">
        <f t="shared" si="10"/>
        <v>0.29921752738654145</v>
      </c>
      <c r="AO65" s="289">
        <f t="shared" si="10"/>
        <v>0.31088777219430486</v>
      </c>
      <c r="AP65" s="287">
        <f t="shared" si="10"/>
        <v>0.31332655137334692</v>
      </c>
      <c r="AQ65" s="287">
        <f t="shared" si="10"/>
        <v>0.46279128038085693</v>
      </c>
      <c r="AR65" s="287">
        <f t="shared" si="10"/>
        <v>0.43318456287739565</v>
      </c>
      <c r="AS65" s="289">
        <f t="shared" si="10"/>
        <v>0.41608840914931894</v>
      </c>
      <c r="AT65" s="287">
        <f t="shared" si="10"/>
        <v>0.46024665442141172</v>
      </c>
      <c r="AU65" s="287">
        <f t="shared" si="10"/>
        <v>0.44638472032742155</v>
      </c>
      <c r="AV65" s="287">
        <f t="shared" si="10"/>
        <v>0.44033477321814257</v>
      </c>
      <c r="AW65" s="289">
        <v>0.41906873614190687</v>
      </c>
      <c r="AX65" s="287">
        <v>0.45005611672278339</v>
      </c>
      <c r="AY65" s="287">
        <v>0.45666839647119878</v>
      </c>
    </row>
    <row r="66" spans="1:51" ht="13">
      <c r="A66" s="265" t="s">
        <v>352</v>
      </c>
      <c r="B66" s="287">
        <v>9.2977250247279916E-2</v>
      </c>
      <c r="C66" s="287">
        <v>8.9337539432176663E-2</v>
      </c>
      <c r="D66" s="287">
        <v>8.9494163424124515E-2</v>
      </c>
      <c r="E66" s="287">
        <v>8.9400147074272504E-2</v>
      </c>
      <c r="F66" s="287">
        <v>0.10037966478377627</v>
      </c>
      <c r="G66" s="287">
        <v>9.2853185595567864E-2</v>
      </c>
      <c r="H66" s="287">
        <f>+H44/H$42</f>
        <v>9.5737383635472809E-2</v>
      </c>
      <c r="I66" s="287">
        <f>I44/$I$42</f>
        <v>8.9764945400703317E-2</v>
      </c>
      <c r="J66" s="287">
        <f t="shared" si="9"/>
        <v>9.9819225025544286E-2</v>
      </c>
      <c r="K66" s="287">
        <f t="shared" ref="K66:K69" si="11">K44/$K$42</f>
        <v>6.2978142076502736E-2</v>
      </c>
      <c r="L66" s="287">
        <f>L44/$L$42</f>
        <v>5.8020016229375172E-2</v>
      </c>
      <c r="M66" s="277"/>
      <c r="N66" s="287">
        <v>8.745950948634891E-2</v>
      </c>
      <c r="O66" s="287">
        <v>8.0104484109708315E-2</v>
      </c>
      <c r="P66" s="287">
        <v>9.1546006539000468E-2</v>
      </c>
      <c r="Q66" s="287">
        <v>9.957924263674614E-2</v>
      </c>
      <c r="R66" s="288">
        <v>9.3986636971046769E-2</v>
      </c>
      <c r="S66" s="287">
        <v>8.8907014681892327E-2</v>
      </c>
      <c r="T66" s="287">
        <v>8.8161209068010074E-2</v>
      </c>
      <c r="U66" s="287">
        <v>8.6885245901639346E-2</v>
      </c>
      <c r="V66" s="288">
        <v>9.3666026871401145E-2</v>
      </c>
      <c r="W66" s="287">
        <v>9.4326725905673273E-2</v>
      </c>
      <c r="X66" s="287">
        <v>0.10488245931283906</v>
      </c>
      <c r="Y66" s="287">
        <v>0.10946863763483819</v>
      </c>
      <c r="Z66" s="288">
        <v>9.6207584830339324E-2</v>
      </c>
      <c r="AA66" s="287">
        <v>8.6977886977886984E-2</v>
      </c>
      <c r="AB66" s="287">
        <v>9.3351548269581058E-2</v>
      </c>
      <c r="AC66" s="289">
        <v>9.3531468531468528E-2</v>
      </c>
      <c r="AD66" s="288">
        <v>9.6799999999999997E-2</v>
      </c>
      <c r="AE66" s="287">
        <v>9.8529996027016287E-2</v>
      </c>
      <c r="AF66" s="287">
        <v>9.4849944423860688E-2</v>
      </c>
      <c r="AG66" s="289">
        <v>9.3040847201210281E-2</v>
      </c>
      <c r="AH66" s="293">
        <f>AH44/$AH$42</f>
        <v>9.0803709428129833E-2</v>
      </c>
      <c r="AI66" s="294">
        <f>AI44/$AI$42</f>
        <v>8.698764990155719E-2</v>
      </c>
      <c r="AJ66" s="294">
        <f>AJ44/$AJ$42</f>
        <v>9.3692364441165618E-2</v>
      </c>
      <c r="AK66" s="295">
        <f>AK44/$AK$42</f>
        <v>8.772576483597494E-2</v>
      </c>
      <c r="AL66" s="287">
        <f t="shared" si="10"/>
        <v>8.6080000000000004E-2</v>
      </c>
      <c r="AM66" s="287">
        <f t="shared" si="10"/>
        <v>0.10064365125804564</v>
      </c>
      <c r="AN66" s="287">
        <f t="shared" si="10"/>
        <v>0.12394366197183099</v>
      </c>
      <c r="AO66" s="289">
        <f t="shared" si="10"/>
        <v>8.7437185929648248E-2</v>
      </c>
      <c r="AP66" s="287">
        <f t="shared" si="10"/>
        <v>8.952187182095625E-2</v>
      </c>
      <c r="AQ66" s="287">
        <f t="shared" si="10"/>
        <v>5.5875720370834381E-2</v>
      </c>
      <c r="AR66" s="287">
        <f t="shared" si="10"/>
        <v>5.8020477815699661E-2</v>
      </c>
      <c r="AS66" s="289">
        <f t="shared" si="10"/>
        <v>5.4998714983294783E-2</v>
      </c>
      <c r="AT66" s="287">
        <f t="shared" si="10"/>
        <v>5.6153240619260039E-2</v>
      </c>
      <c r="AU66" s="287">
        <f t="shared" si="10"/>
        <v>5.6753069577080491E-2</v>
      </c>
      <c r="AV66" s="287">
        <f t="shared" si="10"/>
        <v>6.4254859611231105E-2</v>
      </c>
      <c r="AW66" s="289">
        <v>5.4878048780487805E-2</v>
      </c>
      <c r="AX66" s="287">
        <v>5.5555555555555552E-2</v>
      </c>
      <c r="AY66" s="287">
        <v>5.1634665282823039E-2</v>
      </c>
    </row>
    <row r="67" spans="1:51" ht="13">
      <c r="A67" s="265" t="s">
        <v>353</v>
      </c>
      <c r="B67" s="287">
        <v>0.3076162215628091</v>
      </c>
      <c r="C67" s="287">
        <v>0.29615141955835961</v>
      </c>
      <c r="D67" s="287">
        <v>0.29674982833600366</v>
      </c>
      <c r="E67" s="287">
        <v>0.29236264313478305</v>
      </c>
      <c r="F67" s="287">
        <v>0.26270951013982774</v>
      </c>
      <c r="G67" s="287">
        <v>0.28742382271468142</v>
      </c>
      <c r="H67" s="287">
        <f>+H45/H$42</f>
        <v>0.27623713865752081</v>
      </c>
      <c r="I67" s="287">
        <f>I45/$I$42</f>
        <v>0.24171756431612068</v>
      </c>
      <c r="J67" s="287">
        <f t="shared" si="9"/>
        <v>0.19586575493201289</v>
      </c>
      <c r="K67" s="287">
        <f t="shared" si="11"/>
        <v>0.17704918032786884</v>
      </c>
      <c r="L67" s="287">
        <f>L45/$L$42</f>
        <v>0.18521774411685149</v>
      </c>
      <c r="M67" s="277"/>
      <c r="N67" s="287">
        <v>0.29523368810735773</v>
      </c>
      <c r="O67" s="287">
        <v>0.30213321723987813</v>
      </c>
      <c r="P67" s="287">
        <v>0.29939280709948624</v>
      </c>
      <c r="Q67" s="287">
        <v>0.28985507246376813</v>
      </c>
      <c r="R67" s="288">
        <v>0.27037861915367484</v>
      </c>
      <c r="S67" s="287">
        <v>0.30587275693311583</v>
      </c>
      <c r="T67" s="287">
        <v>0.28883291351805207</v>
      </c>
      <c r="U67" s="287">
        <v>0.30245901639344264</v>
      </c>
      <c r="V67" s="288">
        <v>0.28138195777351249</v>
      </c>
      <c r="W67" s="287">
        <v>0.26555023923444976</v>
      </c>
      <c r="X67" s="287">
        <v>0.24195298372513563</v>
      </c>
      <c r="Y67" s="287">
        <v>0.2628845385537355</v>
      </c>
      <c r="Z67" s="288">
        <v>0.2806387225548902</v>
      </c>
      <c r="AA67" s="287">
        <v>0.30171990171990171</v>
      </c>
      <c r="AB67" s="287">
        <v>0.27823315118397085</v>
      </c>
      <c r="AC67" s="289">
        <v>0.29108391608391609</v>
      </c>
      <c r="AD67" s="288">
        <v>0.28656700000000002</v>
      </c>
      <c r="AE67" s="287">
        <v>0.28009535160905841</v>
      </c>
      <c r="AF67" s="287">
        <v>0.26787699147832533</v>
      </c>
      <c r="AG67" s="289">
        <v>0.27193645990922843</v>
      </c>
      <c r="AH67" s="293">
        <f>AH45/$AH$42</f>
        <v>0.2604327666151468</v>
      </c>
      <c r="AI67" s="294">
        <f>AI45/$AI$42</f>
        <v>0.23339896187578307</v>
      </c>
      <c r="AJ67" s="294">
        <f>AJ45/$AJ$42</f>
        <v>0.22943563260789376</v>
      </c>
      <c r="AK67" s="295">
        <f>AK45/$AK$42</f>
        <v>0.24474751197935865</v>
      </c>
      <c r="AL67" s="287">
        <f t="shared" si="10"/>
        <v>0.21792</v>
      </c>
      <c r="AM67" s="287">
        <f t="shared" si="10"/>
        <v>0.20509069631363369</v>
      </c>
      <c r="AN67" s="287">
        <f t="shared" si="10"/>
        <v>0.16870109546165885</v>
      </c>
      <c r="AO67" s="289">
        <f t="shared" si="10"/>
        <v>0.19128978224455612</v>
      </c>
      <c r="AP67" s="287">
        <f t="shared" si="10"/>
        <v>0.18887758562224483</v>
      </c>
      <c r="AQ67" s="287">
        <f t="shared" si="10"/>
        <v>0.1758957654723127</v>
      </c>
      <c r="AR67" s="287">
        <f t="shared" si="10"/>
        <v>0.15568390653714886</v>
      </c>
      <c r="AS67" s="289">
        <f t="shared" si="10"/>
        <v>0.19018247237214084</v>
      </c>
      <c r="AT67" s="287">
        <f t="shared" si="10"/>
        <v>0.17475728155339806</v>
      </c>
      <c r="AU67" s="287">
        <f t="shared" si="10"/>
        <v>0.18772169167803546</v>
      </c>
      <c r="AV67" s="287">
        <f t="shared" si="10"/>
        <v>0.18493520518358531</v>
      </c>
      <c r="AW67" s="289">
        <v>0.19401330376940132</v>
      </c>
      <c r="AX67" s="287">
        <v>0.18771043771043772</v>
      </c>
      <c r="AY67" s="287">
        <v>0.18915412558380904</v>
      </c>
    </row>
    <row r="68" spans="1:51" ht="13">
      <c r="A68" s="265" t="s">
        <v>354</v>
      </c>
      <c r="B68" s="287">
        <v>0.17173590504451039</v>
      </c>
      <c r="C68" s="287">
        <v>0.16012618296529968</v>
      </c>
      <c r="D68" s="287">
        <v>0.14843213550011444</v>
      </c>
      <c r="E68" s="287">
        <v>0.16073116924046643</v>
      </c>
      <c r="F68" s="287">
        <v>0.18557273821650153</v>
      </c>
      <c r="G68" s="287">
        <v>0.17662049861495846</v>
      </c>
      <c r="H68" s="287">
        <f>+H46/H$42</f>
        <v>0.17853993140617344</v>
      </c>
      <c r="I68" s="287">
        <f>I46/$I$42</f>
        <v>0.17499537294095874</v>
      </c>
      <c r="J68" s="287">
        <f t="shared" si="9"/>
        <v>0.17197201917786686</v>
      </c>
      <c r="K68" s="287">
        <f t="shared" si="11"/>
        <v>0.15300546448087432</v>
      </c>
      <c r="L68" s="287">
        <f>L46/$L$42</f>
        <v>0.14220989991885313</v>
      </c>
      <c r="M68" s="277"/>
      <c r="N68" s="287">
        <v>0.14761684405367886</v>
      </c>
      <c r="O68" s="287">
        <v>0.1410535481062255</v>
      </c>
      <c r="P68" s="287">
        <v>0.14946286781877627</v>
      </c>
      <c r="Q68" s="287">
        <v>0.15614773258532025</v>
      </c>
      <c r="R68" s="288">
        <v>0.15011135857461025</v>
      </c>
      <c r="S68" s="287">
        <v>0.15415986949429036</v>
      </c>
      <c r="T68" s="287">
        <v>0.16372795969773299</v>
      </c>
      <c r="U68" s="287">
        <v>0.17418032786885246</v>
      </c>
      <c r="V68" s="288">
        <v>0.15163147792706333</v>
      </c>
      <c r="W68" s="287">
        <v>0.18762816131237184</v>
      </c>
      <c r="X68" s="287">
        <v>0.20216998191681737</v>
      </c>
      <c r="Y68" s="287">
        <v>0.20015980823012386</v>
      </c>
      <c r="Z68" s="288">
        <v>0.17804391217564872</v>
      </c>
      <c r="AA68" s="287">
        <v>0.1484029484029484</v>
      </c>
      <c r="AB68" s="287">
        <v>0.1889799635701275</v>
      </c>
      <c r="AC68" s="289">
        <v>0.18837412587412589</v>
      </c>
      <c r="AD68" s="288">
        <v>0.16375000000000001</v>
      </c>
      <c r="AE68" s="287">
        <v>0.18474374255065554</v>
      </c>
      <c r="AF68" s="287">
        <v>0.18895887365690997</v>
      </c>
      <c r="AG68" s="289">
        <v>0.17511346444780634</v>
      </c>
      <c r="AH68" s="293">
        <f>AH46/$AH$42</f>
        <v>0.17542503863987635</v>
      </c>
      <c r="AI68" s="294">
        <f>AI46/$AI$42</f>
        <v>0.1700375872561303</v>
      </c>
      <c r="AJ68" s="294">
        <f>AJ46/$AJ$42</f>
        <v>0.18222058281077094</v>
      </c>
      <c r="AK68" s="295">
        <f>AK46/$AK$42</f>
        <v>0.17250276446737928</v>
      </c>
      <c r="AL68" s="287">
        <f t="shared" si="10"/>
        <v>0.16128000000000001</v>
      </c>
      <c r="AM68" s="287">
        <f t="shared" si="10"/>
        <v>0.16559391456992392</v>
      </c>
      <c r="AN68" s="287">
        <f t="shared" si="10"/>
        <v>0.18685446009389672</v>
      </c>
      <c r="AO68" s="289">
        <f t="shared" si="10"/>
        <v>0.17453936348408711</v>
      </c>
      <c r="AP68" s="287">
        <f t="shared" si="10"/>
        <v>0.18175652763648695</v>
      </c>
      <c r="AQ68" s="287">
        <f t="shared" si="10"/>
        <v>0.13179654221999498</v>
      </c>
      <c r="AR68" s="287">
        <f t="shared" si="10"/>
        <v>0.16093462851142032</v>
      </c>
      <c r="AS68" s="289">
        <f t="shared" si="10"/>
        <v>0.14520688768953996</v>
      </c>
      <c r="AT68" s="287">
        <f t="shared" si="10"/>
        <v>0.13513513513513514</v>
      </c>
      <c r="AU68" s="287">
        <f t="shared" si="10"/>
        <v>0.13615279672578445</v>
      </c>
      <c r="AV68" s="287">
        <f t="shared" si="10"/>
        <v>0.14605831533477323</v>
      </c>
      <c r="AW68" s="289">
        <v>0.15188470066518847</v>
      </c>
      <c r="AX68" s="287">
        <v>0.14281705948372614</v>
      </c>
      <c r="AY68" s="287">
        <v>0.1344058121432278</v>
      </c>
    </row>
    <row r="69" spans="1:51" ht="13">
      <c r="A69" s="265" t="s">
        <v>355</v>
      </c>
      <c r="B69" s="287">
        <v>0.16271018793273986</v>
      </c>
      <c r="C69" s="287">
        <v>0.17451104100946371</v>
      </c>
      <c r="D69" s="287">
        <v>0.17772945754177158</v>
      </c>
      <c r="E69" s="287">
        <v>0.1712364744195819</v>
      </c>
      <c r="F69" s="287">
        <v>0.16797851652930826</v>
      </c>
      <c r="G69" s="287">
        <v>0.16886426592797785</v>
      </c>
      <c r="H69" s="287">
        <f>+H47/H$42</f>
        <v>0.17981381675649191</v>
      </c>
      <c r="I69" s="287">
        <f>I47/$I$42</f>
        <v>0.19868591523227835</v>
      </c>
      <c r="J69" s="287">
        <f t="shared" si="9"/>
        <v>0.22046687102098561</v>
      </c>
      <c r="K69" s="287">
        <f t="shared" si="11"/>
        <v>0.19439890710382512</v>
      </c>
      <c r="L69" s="287">
        <f>L47/$L$42</f>
        <v>0.17277522315390859</v>
      </c>
      <c r="M69" s="277"/>
      <c r="N69" s="287">
        <v>0.16936603424340582</v>
      </c>
      <c r="O69" s="287">
        <v>0.17936438833260776</v>
      </c>
      <c r="P69" s="287">
        <v>0.16300794021485288</v>
      </c>
      <c r="Q69" s="287">
        <v>0.19915848527349228</v>
      </c>
      <c r="R69" s="288">
        <v>0.17371937639198218</v>
      </c>
      <c r="S69" s="287">
        <v>0.1733278955954323</v>
      </c>
      <c r="T69" s="287">
        <v>0.16414777497900923</v>
      </c>
      <c r="U69" s="287">
        <v>0.17377049180327869</v>
      </c>
      <c r="V69" s="288">
        <v>0.1765834932821497</v>
      </c>
      <c r="W69" s="287">
        <v>0.16267942583732056</v>
      </c>
      <c r="X69" s="287">
        <v>0.16094032549728751</v>
      </c>
      <c r="Y69" s="287">
        <v>0.17299240910906913</v>
      </c>
      <c r="Z69" s="288">
        <v>0.15169660678642716</v>
      </c>
      <c r="AA69" s="287">
        <v>0.18034398034398033</v>
      </c>
      <c r="AB69" s="287">
        <v>0.17167577413479052</v>
      </c>
      <c r="AC69" s="289">
        <v>0.17482517482517482</v>
      </c>
      <c r="AD69" s="288">
        <v>0.17185500000000001</v>
      </c>
      <c r="AE69" s="287">
        <v>0.1613031386571315</v>
      </c>
      <c r="AF69" s="287">
        <v>0.17747313819933308</v>
      </c>
      <c r="AG69" s="289">
        <v>0.20688350983358547</v>
      </c>
      <c r="AH69" s="293">
        <f>AH47/$AH$42</f>
        <v>0.19899536321483771</v>
      </c>
      <c r="AI69" s="294">
        <f>AI47/$AI$42</f>
        <v>0.20762484338643278</v>
      </c>
      <c r="AJ69" s="294">
        <f>AJ47/$AJ$42</f>
        <v>0.18959793434157138</v>
      </c>
      <c r="AK69" s="295">
        <f>AK47/$AK$42</f>
        <v>0.19830446000737192</v>
      </c>
      <c r="AL69" s="287">
        <f t="shared" si="10"/>
        <v>0.1968</v>
      </c>
      <c r="AM69" s="287">
        <f t="shared" si="10"/>
        <v>0.22791105909888823</v>
      </c>
      <c r="AN69" s="287">
        <f t="shared" si="10"/>
        <v>0.22128325508607199</v>
      </c>
      <c r="AO69" s="289">
        <f t="shared" si="10"/>
        <v>0.23584589614740367</v>
      </c>
      <c r="AP69" s="287">
        <f t="shared" si="10"/>
        <v>0.22651746354696509</v>
      </c>
      <c r="AQ69" s="287">
        <f t="shared" si="10"/>
        <v>0.17364069155600101</v>
      </c>
      <c r="AR69" s="287">
        <f t="shared" si="10"/>
        <v>0.19217642425833553</v>
      </c>
      <c r="AS69" s="289">
        <f t="shared" si="10"/>
        <v>0.19352351580570548</v>
      </c>
      <c r="AT69" s="287">
        <f t="shared" si="10"/>
        <v>0.17370768827079508</v>
      </c>
      <c r="AU69" s="287">
        <f t="shared" si="10"/>
        <v>0.17298772169167803</v>
      </c>
      <c r="AV69" s="287">
        <f t="shared" si="10"/>
        <v>0.16441684665226783</v>
      </c>
      <c r="AW69" s="289">
        <v>0.18015521064301551</v>
      </c>
      <c r="AX69" s="287">
        <v>0.1638608305274972</v>
      </c>
      <c r="AY69" s="287">
        <v>0.16813700051894137</v>
      </c>
    </row>
    <row r="70" spans="1:51" ht="13">
      <c r="A70" s="265"/>
      <c r="B70" s="265"/>
      <c r="C70" s="265"/>
      <c r="D70" s="265"/>
      <c r="E70" s="265"/>
      <c r="F70" s="265"/>
      <c r="G70" s="265"/>
      <c r="H70" s="265"/>
      <c r="I70" s="265"/>
      <c r="J70" s="265"/>
      <c r="K70" s="265"/>
      <c r="L70" s="265"/>
      <c r="M70" s="277"/>
      <c r="N70" s="265"/>
      <c r="O70" s="265"/>
      <c r="P70" s="265"/>
      <c r="Q70" s="265"/>
      <c r="R70" s="296"/>
      <c r="S70" s="265"/>
      <c r="T70" s="265"/>
      <c r="U70" s="265"/>
      <c r="V70" s="296"/>
      <c r="W70" s="265"/>
      <c r="X70" s="265"/>
      <c r="Y70" s="265"/>
      <c r="Z70" s="296"/>
      <c r="AA70" s="265"/>
      <c r="AB70" s="287"/>
      <c r="AC70" s="289"/>
      <c r="AD70" s="287"/>
      <c r="AE70" s="265"/>
      <c r="AF70" s="265"/>
      <c r="AG70" s="289"/>
      <c r="AH70" s="287"/>
      <c r="AI70" s="265"/>
      <c r="AJ70" s="265"/>
      <c r="AK70" s="289"/>
      <c r="AL70" s="287"/>
      <c r="AM70" s="265"/>
      <c r="AN70" s="265"/>
      <c r="AO70" s="289"/>
      <c r="AP70" s="287"/>
      <c r="AQ70" s="265"/>
      <c r="AR70" s="265"/>
      <c r="AS70" s="289"/>
      <c r="AT70" s="287"/>
      <c r="AU70" s="265"/>
      <c r="AV70" s="265"/>
      <c r="AW70" s="289"/>
      <c r="AX70" s="287"/>
      <c r="AY70" s="265"/>
    </row>
    <row r="71" spans="1:51" ht="13">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5"/>
      <c r="AM71" s="265"/>
      <c r="AN71" s="265"/>
      <c r="AO71" s="265"/>
      <c r="AP71" s="265"/>
      <c r="AQ71" s="265"/>
      <c r="AR71" s="265"/>
      <c r="AS71" s="265"/>
      <c r="AT71" s="265"/>
      <c r="AU71" s="265"/>
      <c r="AW71" s="265"/>
      <c r="AX71" s="265"/>
      <c r="AY71" s="265"/>
    </row>
    <row r="72" spans="1:51" ht="13">
      <c r="A72" s="297" t="s">
        <v>358</v>
      </c>
      <c r="B72" s="298"/>
      <c r="C72" s="299"/>
      <c r="D72" s="300"/>
      <c r="E72" s="300"/>
      <c r="F72" s="298"/>
      <c r="G72" s="298"/>
      <c r="H72" s="298"/>
      <c r="I72" s="298"/>
      <c r="J72" s="298"/>
      <c r="K72" s="298"/>
      <c r="L72" s="298"/>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W72" s="265"/>
      <c r="AX72" s="265"/>
      <c r="AY72" s="265"/>
    </row>
    <row r="73" spans="1:51" ht="13">
      <c r="A73" s="285" t="s">
        <v>359</v>
      </c>
      <c r="B73" s="301"/>
      <c r="C73" s="301"/>
      <c r="D73" s="301"/>
      <c r="E73" s="301"/>
      <c r="F73" s="301">
        <f t="shared" ref="F73:L73" si="12">SUM(F74:F76)</f>
        <v>8941</v>
      </c>
      <c r="G73" s="301">
        <f t="shared" si="12"/>
        <v>7731</v>
      </c>
      <c r="H73" s="301">
        <f t="shared" si="12"/>
        <v>8856</v>
      </c>
      <c r="I73" s="302">
        <f t="shared" si="12"/>
        <v>12813.712785259837</v>
      </c>
      <c r="J73" s="302">
        <f t="shared" si="12"/>
        <v>15428</v>
      </c>
      <c r="K73" s="302">
        <f t="shared" si="12"/>
        <v>17795</v>
      </c>
      <c r="L73" s="302">
        <f t="shared" si="12"/>
        <v>17808</v>
      </c>
      <c r="M73" s="265"/>
      <c r="N73" s="303"/>
      <c r="O73" s="304"/>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5"/>
      <c r="AQ73" s="265"/>
      <c r="AR73" s="265"/>
      <c r="AS73" s="265"/>
      <c r="AT73" s="265"/>
      <c r="AU73" s="265"/>
      <c r="AW73" s="265"/>
      <c r="AX73" s="265"/>
      <c r="AY73" s="265"/>
    </row>
    <row r="74" spans="1:51" ht="13">
      <c r="A74" s="265" t="s">
        <v>360</v>
      </c>
      <c r="B74" s="304"/>
      <c r="C74" s="304"/>
      <c r="D74" s="304"/>
      <c r="E74" s="304"/>
      <c r="F74" s="304">
        <v>4123</v>
      </c>
      <c r="G74" s="304">
        <v>3299</v>
      </c>
      <c r="H74" s="304">
        <v>3653</v>
      </c>
      <c r="I74" s="304">
        <v>5332.6370679466063</v>
      </c>
      <c r="J74" s="304">
        <v>6313</v>
      </c>
      <c r="K74" s="304">
        <v>8293</v>
      </c>
      <c r="L74" s="304">
        <v>8803</v>
      </c>
      <c r="M74" s="265"/>
      <c r="N74" s="304"/>
      <c r="O74" s="304"/>
      <c r="P74" s="265"/>
      <c r="Q74" s="265"/>
      <c r="R74" s="265"/>
      <c r="S74" s="265"/>
      <c r="T74" s="265"/>
      <c r="U74" s="265"/>
      <c r="V74" s="265"/>
      <c r="W74" s="265"/>
      <c r="X74" s="265"/>
      <c r="Y74" s="265"/>
      <c r="Z74" s="265"/>
      <c r="AA74" s="265"/>
      <c r="AB74" s="265"/>
      <c r="AC74" s="265"/>
      <c r="AD74" s="265"/>
      <c r="AE74" s="265"/>
      <c r="AF74" s="265"/>
      <c r="AG74" s="265"/>
      <c r="AH74" s="265"/>
      <c r="AI74" s="265"/>
      <c r="AJ74" s="265"/>
      <c r="AK74" s="265"/>
      <c r="AL74" s="265"/>
      <c r="AM74" s="265"/>
      <c r="AN74" s="265"/>
      <c r="AO74" s="265"/>
      <c r="AP74" s="265"/>
      <c r="AQ74" s="265"/>
      <c r="AR74" s="265"/>
      <c r="AS74" s="265"/>
      <c r="AT74" s="265"/>
      <c r="AU74" s="265"/>
      <c r="AW74" s="265"/>
      <c r="AX74" s="265"/>
      <c r="AY74" s="265"/>
    </row>
    <row r="75" spans="1:51" ht="13">
      <c r="A75" s="265" t="s">
        <v>361</v>
      </c>
      <c r="B75" s="304"/>
      <c r="C75" s="304"/>
      <c r="D75" s="304"/>
      <c r="E75" s="304"/>
      <c r="F75" s="304">
        <v>3213</v>
      </c>
      <c r="G75" s="304">
        <v>2961.9999999999995</v>
      </c>
      <c r="H75" s="304">
        <v>3526</v>
      </c>
      <c r="I75" s="304">
        <v>4876.3044898889284</v>
      </c>
      <c r="J75" s="304">
        <v>6585</v>
      </c>
      <c r="K75" s="304">
        <v>6905</v>
      </c>
      <c r="L75" s="304">
        <v>6360</v>
      </c>
      <c r="M75" s="265"/>
      <c r="N75" s="304"/>
      <c r="O75" s="304"/>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W75" s="265"/>
      <c r="AX75" s="265"/>
      <c r="AY75" s="265"/>
    </row>
    <row r="76" spans="1:51" ht="13">
      <c r="A76" s="265" t="s">
        <v>362</v>
      </c>
      <c r="B76" s="304"/>
      <c r="C76" s="304"/>
      <c r="D76" s="304"/>
      <c r="E76" s="304"/>
      <c r="F76" s="304">
        <v>1605</v>
      </c>
      <c r="G76" s="304">
        <v>1470</v>
      </c>
      <c r="H76" s="304">
        <v>1677</v>
      </c>
      <c r="I76" s="304">
        <v>2604.7712274243027</v>
      </c>
      <c r="J76" s="304">
        <v>2530</v>
      </c>
      <c r="K76" s="304">
        <v>2597</v>
      </c>
      <c r="L76" s="304">
        <v>2645</v>
      </c>
      <c r="M76" s="265"/>
      <c r="N76" s="304"/>
      <c r="O76" s="304"/>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W76" s="265"/>
      <c r="AX76" s="265"/>
      <c r="AY76" s="265"/>
    </row>
    <row r="77" spans="1:51" ht="13">
      <c r="A77" s="265"/>
      <c r="B77" s="304"/>
      <c r="C77" s="304"/>
      <c r="D77" s="304"/>
      <c r="E77" s="304"/>
      <c r="F77" s="304"/>
      <c r="G77" s="304"/>
      <c r="H77" s="304">
        <v>0</v>
      </c>
      <c r="I77" s="304"/>
      <c r="J77" s="304"/>
      <c r="K77" s="304"/>
      <c r="L77" s="304"/>
      <c r="M77" s="265"/>
      <c r="N77" s="304"/>
      <c r="O77" s="304"/>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W77" s="265"/>
      <c r="AX77" s="265"/>
      <c r="AY77" s="265"/>
    </row>
    <row r="78" spans="1:51" ht="13">
      <c r="A78" s="285" t="s">
        <v>352</v>
      </c>
      <c r="B78" s="301"/>
      <c r="C78" s="301"/>
      <c r="D78" s="301"/>
      <c r="E78" s="301"/>
      <c r="F78" s="301">
        <v>6380</v>
      </c>
      <c r="G78" s="301">
        <v>4636</v>
      </c>
      <c r="H78" s="301">
        <v>5297.0000000000009</v>
      </c>
      <c r="I78" s="301">
        <v>6845.2045232223627</v>
      </c>
      <c r="J78" s="301">
        <v>8471</v>
      </c>
      <c r="K78" s="301">
        <v>7760</v>
      </c>
      <c r="L78" s="301">
        <v>7808</v>
      </c>
      <c r="M78" s="265"/>
      <c r="N78" s="304"/>
      <c r="O78" s="304"/>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W78" s="265"/>
      <c r="AX78" s="265"/>
      <c r="AY78" s="265"/>
    </row>
    <row r="79" spans="1:51" ht="13">
      <c r="A79" s="265" t="s">
        <v>363</v>
      </c>
      <c r="B79" s="304"/>
      <c r="C79" s="304"/>
      <c r="D79" s="304"/>
      <c r="E79" s="304"/>
      <c r="F79" s="304">
        <v>2564</v>
      </c>
      <c r="G79" s="304">
        <v>2013</v>
      </c>
      <c r="H79" s="304">
        <v>2323</v>
      </c>
      <c r="I79" s="304">
        <v>2869.9747868270888</v>
      </c>
      <c r="J79" s="304">
        <v>4040</v>
      </c>
      <c r="K79" s="304">
        <v>3250</v>
      </c>
      <c r="L79" s="304">
        <v>3619</v>
      </c>
      <c r="M79" s="265"/>
      <c r="N79" s="304"/>
      <c r="O79" s="304"/>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W79" s="265"/>
      <c r="AX79" s="265"/>
      <c r="AY79" s="265"/>
    </row>
    <row r="80" spans="1:51" ht="13">
      <c r="A80" s="265" t="s">
        <v>364</v>
      </c>
      <c r="B80" s="304"/>
      <c r="C80" s="304"/>
      <c r="D80" s="304"/>
      <c r="E80" s="304"/>
      <c r="F80" s="304">
        <v>1483</v>
      </c>
      <c r="G80" s="304">
        <v>982.99999999999989</v>
      </c>
      <c r="H80" s="304">
        <v>1083</v>
      </c>
      <c r="I80" s="304">
        <v>1288.0641560114236</v>
      </c>
      <c r="J80" s="304">
        <v>1638</v>
      </c>
      <c r="K80" s="304">
        <v>1819</v>
      </c>
      <c r="L80" s="304">
        <v>1897</v>
      </c>
      <c r="M80" s="265"/>
      <c r="N80" s="304"/>
      <c r="O80" s="304"/>
      <c r="P80" s="265"/>
      <c r="Q80" s="265"/>
      <c r="R80" s="265"/>
      <c r="S80" s="265"/>
      <c r="T80" s="265"/>
      <c r="U80" s="265"/>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W80" s="265"/>
      <c r="AX80" s="265"/>
      <c r="AY80" s="265"/>
    </row>
    <row r="81" spans="1:51" ht="13">
      <c r="A81" s="265" t="s">
        <v>365</v>
      </c>
      <c r="B81" s="304"/>
      <c r="C81" s="304"/>
      <c r="D81" s="304"/>
      <c r="E81" s="304"/>
      <c r="F81" s="304">
        <v>1044</v>
      </c>
      <c r="G81" s="304">
        <v>949</v>
      </c>
      <c r="H81" s="304">
        <v>947</v>
      </c>
      <c r="I81" s="304">
        <v>1359.6665697587744</v>
      </c>
      <c r="J81" s="304">
        <v>1463</v>
      </c>
      <c r="K81" s="304">
        <v>1409</v>
      </c>
      <c r="L81" s="304">
        <v>1276</v>
      </c>
      <c r="M81" s="265"/>
      <c r="N81" s="304"/>
      <c r="O81" s="304"/>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c r="AW81" s="265"/>
      <c r="AX81" s="265"/>
      <c r="AY81" s="265"/>
    </row>
    <row r="82" spans="1:51" ht="13">
      <c r="A82" s="265" t="s">
        <v>366</v>
      </c>
      <c r="B82" s="304"/>
      <c r="C82" s="304"/>
      <c r="D82" s="304"/>
      <c r="E82" s="304"/>
      <c r="F82" s="304">
        <v>0</v>
      </c>
      <c r="G82" s="304">
        <v>0</v>
      </c>
      <c r="H82" s="304">
        <v>0</v>
      </c>
      <c r="I82" s="304">
        <v>0</v>
      </c>
      <c r="J82" s="304">
        <v>267</v>
      </c>
      <c r="K82" s="304">
        <v>333</v>
      </c>
      <c r="L82" s="304">
        <v>211</v>
      </c>
      <c r="M82" s="265"/>
      <c r="N82" s="304"/>
      <c r="O82" s="304"/>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c r="AW82" s="265"/>
      <c r="AX82" s="265"/>
      <c r="AY82" s="265"/>
    </row>
    <row r="83" spans="1:51" ht="13">
      <c r="A83" s="265" t="s">
        <v>367</v>
      </c>
      <c r="B83" s="304"/>
      <c r="C83" s="304"/>
      <c r="D83" s="304"/>
      <c r="E83" s="304"/>
      <c r="F83" s="304">
        <v>0</v>
      </c>
      <c r="G83" s="304">
        <v>0</v>
      </c>
      <c r="H83" s="304">
        <v>0</v>
      </c>
      <c r="I83" s="304">
        <v>487</v>
      </c>
      <c r="J83" s="304">
        <v>213</v>
      </c>
      <c r="K83" s="304">
        <v>19</v>
      </c>
      <c r="L83" s="304">
        <v>3</v>
      </c>
      <c r="M83" s="265"/>
      <c r="N83" s="304"/>
      <c r="O83" s="304"/>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c r="AW83" s="265"/>
      <c r="AX83" s="265"/>
      <c r="AY83" s="265"/>
    </row>
    <row r="84" spans="1:51" ht="13">
      <c r="A84" s="265" t="s">
        <v>368</v>
      </c>
      <c r="B84" s="304"/>
      <c r="C84" s="304"/>
      <c r="D84" s="304"/>
      <c r="E84" s="304"/>
      <c r="F84" s="304">
        <v>1289</v>
      </c>
      <c r="G84" s="304">
        <v>691</v>
      </c>
      <c r="H84" s="304">
        <v>944</v>
      </c>
      <c r="I84" s="304">
        <v>840</v>
      </c>
      <c r="J84" s="304">
        <v>850</v>
      </c>
      <c r="K84" s="304">
        <v>930</v>
      </c>
      <c r="L84" s="304">
        <f>+L78-SUM(L79:L83)</f>
        <v>802</v>
      </c>
      <c r="M84" s="304"/>
      <c r="N84" s="304"/>
      <c r="O84" s="304"/>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c r="AW84" s="265"/>
      <c r="AX84" s="265"/>
      <c r="AY84" s="265"/>
    </row>
    <row r="85" spans="1:51" ht="13">
      <c r="A85" s="265"/>
      <c r="B85" s="304"/>
      <c r="C85" s="304"/>
      <c r="D85" s="304"/>
      <c r="E85" s="304"/>
      <c r="F85" s="304"/>
      <c r="G85" s="304"/>
      <c r="H85" s="304"/>
      <c r="I85" s="304"/>
      <c r="J85" s="304"/>
      <c r="K85" s="304"/>
      <c r="L85" s="304"/>
      <c r="M85" s="304"/>
      <c r="N85" s="304"/>
      <c r="O85" s="304"/>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W85" s="265"/>
      <c r="AX85" s="265"/>
      <c r="AY85" s="265"/>
    </row>
    <row r="86" spans="1:51" ht="13">
      <c r="A86" s="285" t="s">
        <v>369</v>
      </c>
      <c r="B86" s="301"/>
      <c r="C86" s="301"/>
      <c r="D86" s="301"/>
      <c r="E86" s="301"/>
      <c r="F86" s="301">
        <f t="shared" ref="F86:J86" si="13">SUM(F87:F96)</f>
        <v>9431</v>
      </c>
      <c r="G86" s="301">
        <f t="shared" si="13"/>
        <v>9834</v>
      </c>
      <c r="H86" s="301">
        <f t="shared" si="13"/>
        <v>8817</v>
      </c>
      <c r="I86" s="301">
        <f t="shared" si="13"/>
        <v>8327.0918001631926</v>
      </c>
      <c r="J86" s="301">
        <f t="shared" si="13"/>
        <v>8626</v>
      </c>
      <c r="K86" s="301">
        <f>SUM(K87:K96)-454</f>
        <v>8719</v>
      </c>
      <c r="L86" s="301">
        <v>8270</v>
      </c>
      <c r="M86" s="304"/>
      <c r="N86" s="304"/>
      <c r="O86" s="304"/>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W86" s="265"/>
      <c r="AX86" s="265"/>
      <c r="AY86" s="265"/>
    </row>
    <row r="87" spans="1:51" ht="13">
      <c r="A87" s="265" t="s">
        <v>370</v>
      </c>
      <c r="B87" s="304"/>
      <c r="C87" s="304"/>
      <c r="D87" s="304"/>
      <c r="E87" s="304"/>
      <c r="F87" s="304">
        <v>1179</v>
      </c>
      <c r="G87" s="304">
        <v>1098</v>
      </c>
      <c r="H87" s="304">
        <v>1234</v>
      </c>
      <c r="I87" s="304">
        <v>1247.4662313352308</v>
      </c>
      <c r="J87" s="304">
        <v>1405</v>
      </c>
      <c r="K87" s="304">
        <v>1468</v>
      </c>
      <c r="L87" s="304">
        <v>1655</v>
      </c>
      <c r="M87" s="304"/>
      <c r="N87" s="304"/>
      <c r="O87" s="304"/>
      <c r="P87" s="265"/>
      <c r="Q87" s="265"/>
      <c r="R87" s="265"/>
      <c r="S87" s="265"/>
      <c r="T87" s="265"/>
      <c r="U87" s="265"/>
      <c r="V87" s="265"/>
      <c r="W87" s="265"/>
      <c r="X87" s="265"/>
      <c r="Y87" s="265"/>
      <c r="Z87" s="265"/>
      <c r="AA87" s="265"/>
      <c r="AB87" s="265"/>
      <c r="AC87" s="265"/>
      <c r="AD87" s="265"/>
      <c r="AE87" s="265"/>
      <c r="AF87" s="265"/>
      <c r="AG87" s="265"/>
      <c r="AH87" s="265"/>
      <c r="AI87" s="265"/>
      <c r="AJ87" s="265"/>
      <c r="AK87" s="265"/>
      <c r="AL87" s="265"/>
      <c r="AM87" s="265"/>
      <c r="AN87" s="265"/>
      <c r="AO87" s="265"/>
      <c r="AP87" s="265"/>
      <c r="AQ87" s="265"/>
      <c r="AR87" s="265"/>
      <c r="AS87" s="265"/>
      <c r="AT87" s="265"/>
      <c r="AU87" s="265"/>
      <c r="AW87" s="265"/>
      <c r="AX87" s="265"/>
      <c r="AY87" s="265"/>
    </row>
    <row r="88" spans="1:51" ht="13">
      <c r="A88" s="265" t="s">
        <v>371</v>
      </c>
      <c r="B88" s="304"/>
      <c r="C88" s="304"/>
      <c r="D88" s="304"/>
      <c r="E88" s="304"/>
      <c r="F88" s="304">
        <v>0</v>
      </c>
      <c r="G88" s="304">
        <v>530</v>
      </c>
      <c r="H88" s="304">
        <v>563</v>
      </c>
      <c r="I88" s="304">
        <v>786.38061856460752</v>
      </c>
      <c r="J88" s="304">
        <v>896</v>
      </c>
      <c r="K88" s="304">
        <v>1386</v>
      </c>
      <c r="L88" s="304">
        <v>1099</v>
      </c>
      <c r="M88" s="304"/>
      <c r="N88" s="304"/>
      <c r="O88" s="304"/>
      <c r="P88" s="265"/>
      <c r="Q88" s="265"/>
      <c r="R88" s="265"/>
      <c r="S88" s="265"/>
      <c r="T88" s="265"/>
      <c r="U88" s="265"/>
      <c r="V88" s="265"/>
      <c r="W88" s="265"/>
      <c r="X88" s="265"/>
      <c r="Y88" s="265"/>
      <c r="Z88" s="265"/>
      <c r="AA88" s="265"/>
      <c r="AB88" s="265"/>
      <c r="AC88" s="265"/>
      <c r="AD88" s="265"/>
      <c r="AE88" s="265"/>
      <c r="AF88" s="265"/>
      <c r="AG88" s="265"/>
      <c r="AH88" s="265"/>
      <c r="AI88" s="265"/>
      <c r="AJ88" s="265"/>
      <c r="AK88" s="265"/>
      <c r="AL88" s="265"/>
      <c r="AM88" s="265"/>
      <c r="AN88" s="265"/>
      <c r="AO88" s="265"/>
      <c r="AP88" s="265"/>
      <c r="AQ88" s="265"/>
      <c r="AR88" s="265"/>
      <c r="AS88" s="265"/>
      <c r="AT88" s="265"/>
      <c r="AU88" s="265"/>
      <c r="AW88" s="265"/>
      <c r="AX88" s="265"/>
      <c r="AY88" s="265"/>
    </row>
    <row r="89" spans="1:51" ht="12.75" customHeight="1">
      <c r="A89" s="265" t="s">
        <v>372</v>
      </c>
      <c r="B89" s="304"/>
      <c r="C89" s="304"/>
      <c r="D89" s="304"/>
      <c r="E89" s="304"/>
      <c r="F89" s="304">
        <v>0</v>
      </c>
      <c r="G89" s="304">
        <v>322</v>
      </c>
      <c r="H89" s="304">
        <v>366.99999999999994</v>
      </c>
      <c r="I89" s="304">
        <v>424.2380602085392</v>
      </c>
      <c r="J89" s="304">
        <v>489</v>
      </c>
      <c r="K89" s="304">
        <v>565</v>
      </c>
      <c r="L89" s="304">
        <v>623</v>
      </c>
      <c r="M89" s="304"/>
      <c r="N89" s="304"/>
      <c r="O89" s="304"/>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W89" s="265"/>
      <c r="AX89" s="265"/>
      <c r="AY89" s="265"/>
    </row>
    <row r="90" spans="1:51" ht="13">
      <c r="A90" s="265" t="s">
        <v>373</v>
      </c>
      <c r="B90" s="304"/>
      <c r="C90" s="304"/>
      <c r="D90" s="304"/>
      <c r="E90" s="304"/>
      <c r="F90" s="304">
        <v>576</v>
      </c>
      <c r="G90" s="304">
        <v>520</v>
      </c>
      <c r="H90" s="304">
        <v>517</v>
      </c>
      <c r="I90" s="304">
        <v>638.56300232250715</v>
      </c>
      <c r="J90" s="304">
        <v>976</v>
      </c>
      <c r="K90" s="304">
        <v>558</v>
      </c>
      <c r="L90" s="304">
        <v>470</v>
      </c>
      <c r="M90" s="304"/>
      <c r="N90" s="304"/>
      <c r="O90" s="304"/>
      <c r="P90" s="265"/>
      <c r="Q90" s="265"/>
      <c r="R90" s="265"/>
      <c r="S90" s="265"/>
      <c r="T90" s="265"/>
      <c r="U90" s="265"/>
      <c r="V90" s="265"/>
      <c r="W90" s="265"/>
      <c r="X90" s="265"/>
      <c r="Y90" s="265"/>
      <c r="Z90" s="265"/>
      <c r="AA90" s="265"/>
      <c r="AB90" s="265"/>
      <c r="AC90" s="265"/>
      <c r="AD90" s="265"/>
      <c r="AE90" s="265"/>
      <c r="AF90" s="265"/>
      <c r="AG90" s="265"/>
      <c r="AH90" s="265"/>
      <c r="AI90" s="265"/>
      <c r="AJ90" s="265"/>
      <c r="AK90" s="265"/>
      <c r="AL90" s="265"/>
      <c r="AM90" s="265"/>
      <c r="AN90" s="265"/>
      <c r="AO90" s="265"/>
      <c r="AP90" s="265"/>
      <c r="AQ90" s="265"/>
      <c r="AR90" s="265"/>
      <c r="AS90" s="265"/>
      <c r="AT90" s="265"/>
      <c r="AU90" s="265"/>
      <c r="AW90" s="265"/>
      <c r="AX90" s="265"/>
      <c r="AY90" s="265"/>
    </row>
    <row r="91" spans="1:51" ht="12.75" customHeight="1">
      <c r="A91" s="265" t="s">
        <v>374</v>
      </c>
      <c r="B91" s="304"/>
      <c r="C91" s="304"/>
      <c r="D91" s="304"/>
      <c r="E91" s="304"/>
      <c r="F91" s="304">
        <v>607</v>
      </c>
      <c r="G91" s="304">
        <v>492</v>
      </c>
      <c r="H91" s="304">
        <v>537</v>
      </c>
      <c r="I91" s="304">
        <v>578.9990897676829</v>
      </c>
      <c r="J91" s="304">
        <v>590</v>
      </c>
      <c r="K91" s="304">
        <v>546</v>
      </c>
      <c r="L91" s="304">
        <v>586</v>
      </c>
      <c r="M91" s="304"/>
      <c r="N91" s="304"/>
      <c r="O91" s="304"/>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65"/>
      <c r="AP91" s="265"/>
      <c r="AQ91" s="265"/>
      <c r="AR91" s="265"/>
      <c r="AS91" s="265"/>
      <c r="AT91" s="265"/>
      <c r="AU91" s="265"/>
      <c r="AW91" s="265"/>
      <c r="AX91" s="265"/>
      <c r="AY91" s="265"/>
    </row>
    <row r="92" spans="1:51" ht="13">
      <c r="A92" s="265" t="s">
        <v>375</v>
      </c>
      <c r="B92" s="304"/>
      <c r="C92" s="304"/>
      <c r="D92" s="304"/>
      <c r="E92" s="304"/>
      <c r="F92" s="304">
        <v>0</v>
      </c>
      <c r="G92" s="304">
        <v>304</v>
      </c>
      <c r="H92" s="304">
        <v>378</v>
      </c>
      <c r="I92" s="304">
        <v>515.49829019650065</v>
      </c>
      <c r="J92" s="304">
        <v>622</v>
      </c>
      <c r="K92" s="304">
        <v>466</v>
      </c>
      <c r="L92" s="304">
        <v>377</v>
      </c>
      <c r="M92" s="304"/>
      <c r="N92" s="304"/>
      <c r="O92" s="304"/>
      <c r="P92" s="265"/>
      <c r="Q92" s="265"/>
      <c r="R92" s="265"/>
      <c r="S92" s="265"/>
      <c r="T92" s="265"/>
      <c r="U92" s="265"/>
      <c r="V92" s="265"/>
      <c r="W92" s="265"/>
      <c r="X92" s="265"/>
      <c r="Y92" s="265"/>
      <c r="Z92" s="265"/>
      <c r="AA92" s="265"/>
      <c r="AB92" s="265"/>
      <c r="AC92" s="265"/>
      <c r="AD92" s="265"/>
      <c r="AE92" s="265"/>
      <c r="AF92" s="265"/>
      <c r="AG92" s="265"/>
      <c r="AH92" s="265"/>
      <c r="AI92" s="265"/>
      <c r="AJ92" s="265"/>
      <c r="AK92" s="265"/>
      <c r="AL92" s="265"/>
      <c r="AM92" s="265"/>
      <c r="AN92" s="265"/>
      <c r="AO92" s="265"/>
      <c r="AP92" s="265"/>
      <c r="AQ92" s="265"/>
      <c r="AR92" s="265"/>
      <c r="AS92" s="265"/>
      <c r="AT92" s="265"/>
      <c r="AU92" s="265"/>
      <c r="AW92" s="265"/>
      <c r="AX92" s="265"/>
      <c r="AY92" s="265"/>
    </row>
    <row r="93" spans="1:51" ht="12.75" customHeight="1">
      <c r="A93" s="265" t="s">
        <v>376</v>
      </c>
      <c r="B93" s="304"/>
      <c r="C93" s="304"/>
      <c r="D93" s="304"/>
      <c r="E93" s="304"/>
      <c r="F93" s="304">
        <v>0</v>
      </c>
      <c r="G93" s="304">
        <v>0</v>
      </c>
      <c r="H93" s="304">
        <v>0</v>
      </c>
      <c r="I93" s="304">
        <v>0</v>
      </c>
      <c r="J93" s="304">
        <v>437</v>
      </c>
      <c r="K93" s="304">
        <v>390</v>
      </c>
      <c r="L93" s="304">
        <v>306</v>
      </c>
      <c r="M93" s="304"/>
      <c r="N93" s="304"/>
      <c r="O93" s="304"/>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5"/>
      <c r="AR93" s="265"/>
      <c r="AS93" s="265"/>
      <c r="AT93" s="265"/>
      <c r="AU93" s="265"/>
      <c r="AW93" s="265"/>
      <c r="AX93" s="265"/>
      <c r="AY93" s="265"/>
    </row>
    <row r="94" spans="1:51" ht="13">
      <c r="A94" s="265" t="s">
        <v>377</v>
      </c>
      <c r="B94" s="304"/>
      <c r="C94" s="304"/>
      <c r="D94" s="304"/>
      <c r="E94" s="304"/>
      <c r="F94" s="304">
        <v>519</v>
      </c>
      <c r="G94" s="304">
        <v>456</v>
      </c>
      <c r="H94" s="304">
        <v>319</v>
      </c>
      <c r="I94" s="304">
        <v>291.31474834807568</v>
      </c>
      <c r="J94" s="304">
        <v>0</v>
      </c>
      <c r="K94" s="304">
        <v>454</v>
      </c>
      <c r="L94" s="304">
        <v>326</v>
      </c>
      <c r="M94" s="304"/>
      <c r="N94" s="304"/>
      <c r="O94" s="304"/>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c r="AW94" s="265"/>
      <c r="AX94" s="265"/>
      <c r="AY94" s="265"/>
    </row>
    <row r="95" spans="1:51" ht="13">
      <c r="A95" s="265" t="s">
        <v>378</v>
      </c>
      <c r="B95" s="304"/>
      <c r="C95" s="304"/>
      <c r="D95" s="304"/>
      <c r="E95" s="304"/>
      <c r="F95" s="304">
        <v>2957.9999999999995</v>
      </c>
      <c r="G95" s="304">
        <v>2559</v>
      </c>
      <c r="H95" s="304">
        <v>2421</v>
      </c>
      <c r="I95" s="304">
        <v>1249.0323261179196</v>
      </c>
      <c r="J95" s="304">
        <v>0</v>
      </c>
      <c r="K95" s="304">
        <v>0</v>
      </c>
      <c r="L95" s="304">
        <v>0</v>
      </c>
      <c r="M95" s="304"/>
      <c r="N95" s="304"/>
      <c r="O95" s="304"/>
      <c r="P95" s="265"/>
      <c r="Q95" s="265"/>
      <c r="R95" s="265"/>
      <c r="S95" s="265"/>
      <c r="T95" s="265"/>
      <c r="U95" s="265"/>
      <c r="V95" s="265"/>
      <c r="W95" s="265"/>
      <c r="X95" s="265"/>
      <c r="Y95" s="265"/>
      <c r="Z95" s="265"/>
      <c r="AA95" s="265"/>
      <c r="AB95" s="265"/>
      <c r="AC95" s="265"/>
      <c r="AD95" s="265"/>
      <c r="AE95" s="265"/>
      <c r="AF95" s="265"/>
      <c r="AG95" s="265"/>
      <c r="AH95" s="265"/>
      <c r="AI95" s="265"/>
      <c r="AJ95" s="265"/>
      <c r="AK95" s="265"/>
      <c r="AL95" s="265"/>
      <c r="AM95" s="265"/>
      <c r="AN95" s="265"/>
      <c r="AO95" s="265"/>
      <c r="AP95" s="265"/>
      <c r="AQ95" s="265"/>
      <c r="AR95" s="265"/>
      <c r="AS95" s="265"/>
      <c r="AT95" s="265"/>
      <c r="AU95" s="265"/>
      <c r="AW95" s="265"/>
      <c r="AX95" s="265"/>
      <c r="AY95" s="265"/>
    </row>
    <row r="96" spans="1:51" ht="13">
      <c r="A96" s="265" t="s">
        <v>368</v>
      </c>
      <c r="B96" s="304"/>
      <c r="C96" s="304"/>
      <c r="D96" s="304"/>
      <c r="E96" s="304"/>
      <c r="F96" s="304">
        <v>3592</v>
      </c>
      <c r="G96" s="304">
        <v>3553</v>
      </c>
      <c r="H96" s="304">
        <v>2481</v>
      </c>
      <c r="I96" s="304">
        <v>2595.5994333021276</v>
      </c>
      <c r="J96" s="304">
        <v>3211</v>
      </c>
      <c r="K96" s="304">
        <v>3340</v>
      </c>
      <c r="L96" s="304">
        <f>+L86-SUM(L87:L95)</f>
        <v>2828</v>
      </c>
      <c r="M96" s="304"/>
      <c r="N96" s="304"/>
      <c r="O96" s="304"/>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W96" s="265"/>
      <c r="AX96" s="265"/>
      <c r="AY96" s="265"/>
    </row>
    <row r="97" spans="1:51" ht="13">
      <c r="A97" s="265"/>
      <c r="B97" s="304"/>
      <c r="C97" s="304"/>
      <c r="D97" s="304"/>
      <c r="E97" s="304"/>
      <c r="F97" s="304"/>
      <c r="G97" s="304"/>
      <c r="H97" s="304"/>
      <c r="I97" s="304"/>
      <c r="J97" s="304"/>
      <c r="K97" s="304"/>
      <c r="L97" s="304"/>
      <c r="M97" s="304"/>
      <c r="N97" s="304"/>
      <c r="O97" s="304"/>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c r="AN97" s="265"/>
      <c r="AO97" s="265"/>
      <c r="AP97" s="265"/>
      <c r="AQ97" s="265"/>
      <c r="AR97" s="265"/>
      <c r="AS97" s="265"/>
      <c r="AT97" s="265"/>
      <c r="AU97" s="265"/>
      <c r="AW97" s="265"/>
      <c r="AX97" s="265"/>
      <c r="AY97" s="265"/>
    </row>
    <row r="98" spans="1:51" ht="13">
      <c r="A98" s="285" t="s">
        <v>379</v>
      </c>
      <c r="B98" s="301"/>
      <c r="C98" s="301"/>
      <c r="D98" s="301"/>
      <c r="E98" s="301"/>
      <c r="F98" s="301">
        <v>5432</v>
      </c>
      <c r="G98" s="301">
        <v>5020</v>
      </c>
      <c r="H98" s="301">
        <v>5489</v>
      </c>
      <c r="I98" s="301">
        <v>7757.0578959144341</v>
      </c>
      <c r="J98" s="301">
        <v>9900</v>
      </c>
      <c r="K98" s="301">
        <v>10832</v>
      </c>
      <c r="L98" s="301">
        <v>9961</v>
      </c>
      <c r="M98" s="304"/>
      <c r="N98" s="304"/>
      <c r="O98" s="304"/>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W98" s="265"/>
      <c r="AX98" s="265"/>
      <c r="AY98" s="265"/>
    </row>
    <row r="99" spans="1:51" ht="13">
      <c r="A99" s="265" t="s">
        <v>380</v>
      </c>
      <c r="B99" s="304"/>
      <c r="C99" s="304"/>
      <c r="D99" s="304"/>
      <c r="E99" s="304"/>
      <c r="F99" s="304">
        <v>2482</v>
      </c>
      <c r="G99" s="304">
        <v>2125</v>
      </c>
      <c r="H99" s="304">
        <v>2460</v>
      </c>
      <c r="I99" s="304">
        <v>3510.6582043927729</v>
      </c>
      <c r="J99" s="304">
        <v>4042</v>
      </c>
      <c r="K99" s="304">
        <v>4309</v>
      </c>
      <c r="L99" s="304">
        <v>4017</v>
      </c>
      <c r="M99" s="304"/>
      <c r="N99" s="304"/>
      <c r="O99" s="304"/>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65"/>
      <c r="AP99" s="265"/>
      <c r="AQ99" s="265"/>
      <c r="AR99" s="265"/>
      <c r="AS99" s="265"/>
      <c r="AT99" s="265"/>
      <c r="AU99" s="265"/>
      <c r="AW99" s="265"/>
      <c r="AX99" s="265"/>
      <c r="AY99" s="265"/>
    </row>
    <row r="100" spans="1:51" ht="13">
      <c r="A100" s="265" t="s">
        <v>381</v>
      </c>
      <c r="B100" s="304"/>
      <c r="C100" s="304"/>
      <c r="D100" s="304"/>
      <c r="E100" s="304"/>
      <c r="F100" s="304">
        <v>521</v>
      </c>
      <c r="G100" s="304">
        <v>540</v>
      </c>
      <c r="H100" s="304">
        <v>493</v>
      </c>
      <c r="I100" s="304">
        <v>1038.9655455360555</v>
      </c>
      <c r="J100" s="304">
        <v>1745</v>
      </c>
      <c r="K100" s="304">
        <v>2472</v>
      </c>
      <c r="L100" s="304">
        <v>1494</v>
      </c>
      <c r="M100" s="304"/>
      <c r="N100" s="304"/>
      <c r="O100" s="304"/>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c r="AN100" s="265"/>
      <c r="AO100" s="265"/>
      <c r="AP100" s="265"/>
      <c r="AQ100" s="265"/>
      <c r="AR100" s="265"/>
      <c r="AS100" s="265"/>
      <c r="AT100" s="265"/>
      <c r="AU100" s="265"/>
      <c r="AW100" s="265"/>
      <c r="AX100" s="265"/>
      <c r="AY100" s="265"/>
    </row>
    <row r="101" spans="1:51" ht="13">
      <c r="A101" s="265" t="s">
        <v>382</v>
      </c>
      <c r="B101" s="304"/>
      <c r="C101" s="304"/>
      <c r="D101" s="304"/>
      <c r="E101" s="304"/>
      <c r="F101" s="304">
        <v>0</v>
      </c>
      <c r="G101" s="304">
        <v>481</v>
      </c>
      <c r="H101" s="304">
        <v>632</v>
      </c>
      <c r="I101" s="304">
        <v>766.27388424156857</v>
      </c>
      <c r="J101" s="304">
        <v>817</v>
      </c>
      <c r="K101" s="304">
        <v>1072</v>
      </c>
      <c r="L101" s="304">
        <v>1028</v>
      </c>
      <c r="M101" s="304"/>
      <c r="N101" s="304"/>
      <c r="O101" s="304"/>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65"/>
      <c r="AK101" s="265"/>
      <c r="AL101" s="265"/>
      <c r="AM101" s="265"/>
      <c r="AN101" s="265"/>
      <c r="AO101" s="265"/>
      <c r="AP101" s="265"/>
      <c r="AQ101" s="265"/>
      <c r="AR101" s="265"/>
      <c r="AS101" s="265"/>
      <c r="AT101" s="265"/>
      <c r="AU101" s="265"/>
      <c r="AW101" s="265"/>
      <c r="AX101" s="265"/>
      <c r="AY101" s="265"/>
    </row>
    <row r="102" spans="1:51" ht="13">
      <c r="A102" s="265" t="s">
        <v>383</v>
      </c>
      <c r="B102" s="304"/>
      <c r="C102" s="304"/>
      <c r="D102" s="304"/>
      <c r="E102" s="304"/>
      <c r="F102" s="304">
        <v>0</v>
      </c>
      <c r="G102" s="304">
        <v>0</v>
      </c>
      <c r="H102" s="304">
        <v>0</v>
      </c>
      <c r="I102" s="304">
        <v>0</v>
      </c>
      <c r="J102" s="304">
        <v>443</v>
      </c>
      <c r="K102" s="304">
        <v>430</v>
      </c>
      <c r="L102" s="304">
        <v>583</v>
      </c>
      <c r="M102" s="304"/>
      <c r="N102" s="304"/>
      <c r="O102" s="304"/>
      <c r="P102" s="265"/>
      <c r="Q102" s="265"/>
      <c r="R102" s="265"/>
      <c r="S102" s="265"/>
      <c r="T102" s="265"/>
      <c r="U102" s="265"/>
      <c r="V102" s="265"/>
      <c r="W102" s="265"/>
      <c r="X102" s="265"/>
      <c r="Y102" s="265"/>
      <c r="Z102" s="265"/>
      <c r="AA102" s="265"/>
      <c r="AB102" s="265"/>
      <c r="AC102" s="265"/>
      <c r="AD102" s="265"/>
      <c r="AE102" s="265"/>
      <c r="AF102" s="265"/>
      <c r="AG102" s="265"/>
      <c r="AH102" s="265"/>
      <c r="AI102" s="265"/>
      <c r="AJ102" s="265"/>
      <c r="AK102" s="265"/>
      <c r="AL102" s="265"/>
      <c r="AM102" s="265"/>
      <c r="AN102" s="265"/>
      <c r="AO102" s="265"/>
      <c r="AP102" s="265"/>
      <c r="AQ102" s="265"/>
      <c r="AR102" s="265"/>
      <c r="AS102" s="265"/>
      <c r="AT102" s="265"/>
      <c r="AU102" s="265"/>
      <c r="AW102" s="265"/>
      <c r="AX102" s="265"/>
      <c r="AY102" s="265"/>
    </row>
    <row r="103" spans="1:51" ht="13">
      <c r="A103" s="265" t="s">
        <v>368</v>
      </c>
      <c r="B103" s="304"/>
      <c r="C103" s="304"/>
      <c r="D103" s="304"/>
      <c r="E103" s="304"/>
      <c r="F103" s="304">
        <v>2429</v>
      </c>
      <c r="G103" s="304">
        <v>2354.9999999999995</v>
      </c>
      <c r="H103" s="304">
        <v>1904</v>
      </c>
      <c r="I103" s="304">
        <v>2441.1602617440367</v>
      </c>
      <c r="J103" s="304">
        <v>2853</v>
      </c>
      <c r="K103" s="304">
        <v>2549</v>
      </c>
      <c r="L103" s="304">
        <f>+L98-SUM(L99:L102)</f>
        <v>2839</v>
      </c>
      <c r="M103" s="304"/>
      <c r="N103" s="304"/>
      <c r="O103" s="304"/>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5"/>
      <c r="AP103" s="265"/>
      <c r="AQ103" s="265"/>
      <c r="AR103" s="265"/>
      <c r="AS103" s="265"/>
      <c r="AT103" s="265"/>
      <c r="AU103" s="265"/>
      <c r="AW103" s="265"/>
      <c r="AX103" s="265"/>
      <c r="AY103" s="265"/>
    </row>
    <row r="104" spans="1:51" ht="13">
      <c r="A104" s="265"/>
      <c r="B104" s="304"/>
      <c r="C104" s="304"/>
      <c r="D104" s="304"/>
      <c r="E104" s="304"/>
      <c r="F104" s="304"/>
      <c r="G104" s="304">
        <v>0</v>
      </c>
      <c r="H104" s="304">
        <v>0</v>
      </c>
      <c r="I104" s="304">
        <v>0</v>
      </c>
      <c r="J104" s="304"/>
      <c r="K104" s="304"/>
      <c r="L104" s="304"/>
      <c r="M104" s="304"/>
      <c r="N104" s="304"/>
      <c r="O104" s="304"/>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65"/>
      <c r="AP104" s="265"/>
      <c r="AQ104" s="265"/>
      <c r="AR104" s="265"/>
      <c r="AS104" s="265"/>
      <c r="AT104" s="265"/>
      <c r="AU104" s="265"/>
      <c r="AW104" s="265"/>
      <c r="AX104" s="265"/>
      <c r="AY104" s="265"/>
    </row>
    <row r="105" spans="1:51" ht="13">
      <c r="A105" s="285" t="s">
        <v>384</v>
      </c>
      <c r="B105" s="301"/>
      <c r="C105" s="301"/>
      <c r="D105" s="301"/>
      <c r="E105" s="301"/>
      <c r="F105" s="301">
        <v>10665</v>
      </c>
      <c r="G105" s="301">
        <v>10056.999999999998</v>
      </c>
      <c r="H105" s="301">
        <v>11186</v>
      </c>
      <c r="I105" s="301">
        <v>13950.932995440176</v>
      </c>
      <c r="J105" s="301">
        <v>17918</v>
      </c>
      <c r="K105" s="301">
        <v>18498</v>
      </c>
      <c r="L105" s="301">
        <v>18151</v>
      </c>
      <c r="M105" s="304"/>
      <c r="N105" s="304"/>
      <c r="O105" s="304"/>
      <c r="P105" s="265"/>
      <c r="Q105" s="265"/>
      <c r="R105" s="265"/>
      <c r="S105" s="265"/>
      <c r="T105" s="265"/>
      <c r="U105" s="265"/>
      <c r="V105" s="265"/>
      <c r="W105" s="265"/>
      <c r="X105" s="265"/>
      <c r="Y105" s="265"/>
      <c r="Z105" s="265"/>
      <c r="AA105" s="265"/>
      <c r="AB105" s="265"/>
      <c r="AC105" s="265"/>
      <c r="AD105" s="265"/>
      <c r="AE105" s="265"/>
      <c r="AF105" s="265"/>
      <c r="AG105" s="265"/>
      <c r="AH105" s="265"/>
      <c r="AI105" s="265"/>
      <c r="AJ105" s="265"/>
      <c r="AK105" s="265"/>
      <c r="AL105" s="265"/>
      <c r="AM105" s="265"/>
      <c r="AN105" s="265"/>
      <c r="AO105" s="265"/>
      <c r="AP105" s="265"/>
      <c r="AQ105" s="265"/>
      <c r="AR105" s="265"/>
      <c r="AS105" s="265"/>
      <c r="AT105" s="265"/>
      <c r="AU105" s="265"/>
      <c r="AW105" s="265"/>
      <c r="AX105" s="265"/>
      <c r="AY105" s="265"/>
    </row>
    <row r="106" spans="1:51" ht="13">
      <c r="A106" s="265" t="s">
        <v>385</v>
      </c>
      <c r="B106" s="304"/>
      <c r="C106" s="304"/>
      <c r="D106" s="304"/>
      <c r="E106" s="304"/>
      <c r="F106" s="304">
        <v>4465</v>
      </c>
      <c r="G106" s="304">
        <v>4568</v>
      </c>
      <c r="H106" s="304">
        <v>4801</v>
      </c>
      <c r="I106" s="304">
        <v>6055.9670354451137</v>
      </c>
      <c r="J106" s="304">
        <v>10300</v>
      </c>
      <c r="K106" s="304">
        <v>10444</v>
      </c>
      <c r="L106" s="304">
        <v>10461</v>
      </c>
      <c r="M106" s="304"/>
      <c r="N106" s="304"/>
      <c r="O106" s="304"/>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5"/>
      <c r="AP106" s="265"/>
      <c r="AQ106" s="265"/>
      <c r="AR106" s="265"/>
      <c r="AS106" s="265"/>
      <c r="AT106" s="265"/>
      <c r="AU106" s="265"/>
      <c r="AW106" s="265"/>
      <c r="AX106" s="265"/>
      <c r="AY106" s="265"/>
    </row>
    <row r="107" spans="1:51" ht="13">
      <c r="A107" s="265" t="s">
        <v>386</v>
      </c>
      <c r="B107" s="304"/>
      <c r="C107" s="304"/>
      <c r="D107" s="304"/>
      <c r="E107" s="304"/>
      <c r="F107" s="304">
        <v>1791</v>
      </c>
      <c r="G107" s="304">
        <v>1881</v>
      </c>
      <c r="H107" s="304">
        <v>2216</v>
      </c>
      <c r="I107" s="304">
        <v>2453.7340884550081</v>
      </c>
      <c r="J107" s="304">
        <v>2372</v>
      </c>
      <c r="K107" s="304">
        <v>2812</v>
      </c>
      <c r="L107" s="304">
        <v>2750</v>
      </c>
      <c r="M107" s="304"/>
      <c r="N107" s="304"/>
      <c r="O107" s="304"/>
      <c r="P107" s="265"/>
      <c r="Q107" s="265"/>
      <c r="R107" s="265"/>
      <c r="S107" s="265"/>
      <c r="T107" s="265"/>
      <c r="U107" s="265"/>
      <c r="V107" s="265"/>
      <c r="W107" s="265"/>
      <c r="X107" s="265"/>
      <c r="Y107" s="265"/>
      <c r="Z107" s="265"/>
      <c r="AA107" s="265"/>
      <c r="AB107" s="265"/>
      <c r="AC107" s="265"/>
      <c r="AD107" s="265"/>
      <c r="AE107" s="265"/>
      <c r="AF107" s="265"/>
      <c r="AG107" s="265"/>
      <c r="AH107" s="265"/>
      <c r="AI107" s="265"/>
      <c r="AJ107" s="265"/>
      <c r="AK107" s="265"/>
      <c r="AL107" s="265"/>
      <c r="AM107" s="265"/>
      <c r="AN107" s="265"/>
      <c r="AO107" s="265"/>
      <c r="AP107" s="265"/>
      <c r="AQ107" s="265"/>
      <c r="AR107" s="265"/>
      <c r="AS107" s="265"/>
      <c r="AT107" s="265"/>
      <c r="AU107" s="265"/>
      <c r="AW107" s="265"/>
      <c r="AX107" s="265"/>
      <c r="AY107" s="265"/>
    </row>
    <row r="108" spans="1:51" ht="13">
      <c r="A108" s="265" t="s">
        <v>387</v>
      </c>
      <c r="B108" s="304"/>
      <c r="C108" s="304"/>
      <c r="D108" s="304"/>
      <c r="E108" s="304"/>
      <c r="F108" s="304">
        <v>1388</v>
      </c>
      <c r="G108" s="304">
        <v>1174</v>
      </c>
      <c r="H108" s="304">
        <v>1553.9999999999998</v>
      </c>
      <c r="I108" s="304">
        <v>1637.6668759142742</v>
      </c>
      <c r="J108" s="304">
        <v>1588</v>
      </c>
      <c r="K108" s="304">
        <v>1777</v>
      </c>
      <c r="L108" s="304">
        <v>1690</v>
      </c>
      <c r="M108" s="304"/>
      <c r="N108" s="304"/>
      <c r="O108" s="304"/>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5"/>
      <c r="AP108" s="265"/>
      <c r="AQ108" s="265"/>
      <c r="AR108" s="265"/>
      <c r="AS108" s="265"/>
      <c r="AT108" s="265"/>
      <c r="AU108" s="265"/>
      <c r="AW108" s="265"/>
      <c r="AX108" s="265"/>
      <c r="AY108" s="265"/>
    </row>
    <row r="109" spans="1:51" ht="13">
      <c r="A109" s="265" t="s">
        <v>388</v>
      </c>
      <c r="B109" s="304"/>
      <c r="C109" s="304"/>
      <c r="D109" s="304"/>
      <c r="E109" s="304"/>
      <c r="F109" s="304">
        <v>770</v>
      </c>
      <c r="G109" s="304">
        <v>634</v>
      </c>
      <c r="H109" s="304">
        <v>801</v>
      </c>
      <c r="I109" s="304">
        <v>933.21484169715234</v>
      </c>
      <c r="J109" s="304">
        <v>997</v>
      </c>
      <c r="K109" s="304">
        <v>990</v>
      </c>
      <c r="L109" s="304">
        <v>994</v>
      </c>
      <c r="M109" s="304"/>
      <c r="N109" s="304"/>
      <c r="O109" s="304"/>
      <c r="P109" s="265"/>
      <c r="Q109" s="265"/>
      <c r="R109" s="265"/>
      <c r="S109" s="265"/>
      <c r="T109" s="265"/>
      <c r="U109" s="265"/>
      <c r="V109" s="265"/>
      <c r="W109" s="265"/>
      <c r="X109" s="265"/>
      <c r="Y109" s="265"/>
      <c r="Z109" s="265"/>
      <c r="AA109" s="265"/>
      <c r="AB109" s="265"/>
      <c r="AC109" s="265"/>
      <c r="AD109" s="265"/>
      <c r="AE109" s="265"/>
      <c r="AF109" s="265"/>
      <c r="AG109" s="265"/>
      <c r="AH109" s="265"/>
      <c r="AI109" s="265"/>
      <c r="AJ109" s="265"/>
      <c r="AK109" s="265"/>
      <c r="AL109" s="265"/>
      <c r="AM109" s="265"/>
      <c r="AN109" s="265"/>
      <c r="AO109" s="265"/>
      <c r="AP109" s="265"/>
      <c r="AQ109" s="265"/>
      <c r="AR109" s="265"/>
      <c r="AS109" s="265"/>
      <c r="AT109" s="265"/>
      <c r="AU109" s="265"/>
      <c r="AW109" s="265"/>
      <c r="AX109" s="265"/>
      <c r="AY109" s="265"/>
    </row>
    <row r="110" spans="1:51" ht="13">
      <c r="A110" s="265" t="s">
        <v>389</v>
      </c>
      <c r="B110" s="304"/>
      <c r="C110" s="304"/>
      <c r="D110" s="304"/>
      <c r="E110" s="304"/>
      <c r="F110" s="304">
        <v>0</v>
      </c>
      <c r="G110" s="304">
        <v>0</v>
      </c>
      <c r="H110" s="304">
        <v>0</v>
      </c>
      <c r="I110" s="304">
        <v>0</v>
      </c>
      <c r="J110" s="304">
        <v>877</v>
      </c>
      <c r="K110" s="304">
        <v>740</v>
      </c>
      <c r="L110" s="304">
        <v>563</v>
      </c>
      <c r="M110" s="304"/>
      <c r="N110" s="304"/>
      <c r="O110" s="304"/>
      <c r="P110" s="265"/>
      <c r="Q110" s="265"/>
      <c r="R110" s="265"/>
      <c r="S110" s="265"/>
      <c r="T110" s="265"/>
      <c r="U110" s="265"/>
      <c r="V110" s="265"/>
      <c r="W110" s="265"/>
      <c r="X110" s="265"/>
      <c r="Y110" s="265"/>
      <c r="Z110" s="265"/>
      <c r="AA110" s="265"/>
      <c r="AB110" s="265"/>
      <c r="AC110" s="265"/>
      <c r="AD110" s="265"/>
      <c r="AE110" s="265"/>
      <c r="AF110" s="265"/>
      <c r="AG110" s="265"/>
      <c r="AH110" s="265"/>
      <c r="AI110" s="265"/>
      <c r="AJ110" s="265"/>
      <c r="AK110" s="265"/>
      <c r="AL110" s="265"/>
      <c r="AM110" s="265"/>
      <c r="AN110" s="265"/>
      <c r="AO110" s="265"/>
      <c r="AP110" s="265"/>
      <c r="AQ110" s="265"/>
      <c r="AR110" s="265"/>
      <c r="AS110" s="265"/>
      <c r="AT110" s="265"/>
      <c r="AU110" s="265"/>
      <c r="AW110" s="265"/>
      <c r="AX110" s="265"/>
      <c r="AY110" s="265"/>
    </row>
    <row r="111" spans="1:51" ht="13">
      <c r="A111" s="265" t="s">
        <v>390</v>
      </c>
      <c r="B111" s="304"/>
      <c r="C111" s="304"/>
      <c r="D111" s="304"/>
      <c r="E111" s="304"/>
      <c r="F111" s="304">
        <v>0</v>
      </c>
      <c r="G111" s="304">
        <v>0</v>
      </c>
      <c r="H111" s="304">
        <v>0</v>
      </c>
      <c r="I111" s="304">
        <v>0</v>
      </c>
      <c r="J111" s="304">
        <v>644</v>
      </c>
      <c r="K111" s="304">
        <v>699</v>
      </c>
      <c r="L111" s="304">
        <v>812</v>
      </c>
      <c r="M111" s="304"/>
      <c r="N111" s="304"/>
      <c r="O111" s="304"/>
      <c r="P111" s="265"/>
      <c r="Q111" s="265"/>
      <c r="R111" s="265"/>
      <c r="S111" s="265"/>
      <c r="T111" s="265"/>
      <c r="U111" s="265"/>
      <c r="V111" s="265"/>
      <c r="W111" s="265"/>
      <c r="X111" s="265"/>
      <c r="Y111" s="265"/>
      <c r="Z111" s="265"/>
      <c r="AA111" s="265"/>
      <c r="AB111" s="265"/>
      <c r="AC111" s="265"/>
      <c r="AD111" s="265"/>
      <c r="AE111" s="265"/>
      <c r="AF111" s="265"/>
      <c r="AG111" s="265"/>
      <c r="AH111" s="265"/>
      <c r="AI111" s="265"/>
      <c r="AJ111" s="265"/>
      <c r="AK111" s="265"/>
      <c r="AL111" s="265"/>
      <c r="AM111" s="265"/>
      <c r="AN111" s="265"/>
      <c r="AO111" s="265"/>
      <c r="AP111" s="265"/>
      <c r="AQ111" s="265"/>
      <c r="AR111" s="265"/>
      <c r="AS111" s="265"/>
      <c r="AT111" s="265"/>
      <c r="AU111" s="265"/>
      <c r="AW111" s="265"/>
      <c r="AX111" s="265"/>
      <c r="AY111" s="265"/>
    </row>
    <row r="112" spans="1:51" ht="13">
      <c r="A112" s="265" t="s">
        <v>391</v>
      </c>
      <c r="B112" s="304"/>
      <c r="C112" s="304"/>
      <c r="D112" s="304"/>
      <c r="E112" s="304"/>
      <c r="F112" s="304">
        <v>0</v>
      </c>
      <c r="G112" s="304">
        <v>0</v>
      </c>
      <c r="H112" s="304">
        <v>0</v>
      </c>
      <c r="I112" s="304">
        <v>0</v>
      </c>
      <c r="J112" s="304">
        <v>254</v>
      </c>
      <c r="K112" s="304">
        <v>333</v>
      </c>
      <c r="L112" s="304">
        <v>231</v>
      </c>
      <c r="M112" s="304"/>
      <c r="N112" s="304"/>
      <c r="O112" s="304"/>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65"/>
      <c r="AK112" s="265"/>
      <c r="AL112" s="265"/>
      <c r="AM112" s="265"/>
      <c r="AN112" s="265"/>
      <c r="AO112" s="265"/>
      <c r="AP112" s="265"/>
      <c r="AQ112" s="265"/>
      <c r="AR112" s="265"/>
      <c r="AS112" s="265"/>
      <c r="AT112" s="265"/>
      <c r="AU112" s="265"/>
      <c r="AW112" s="265"/>
      <c r="AX112" s="265"/>
      <c r="AY112" s="265"/>
    </row>
    <row r="113" spans="1:51" ht="13">
      <c r="A113" s="265" t="s">
        <v>392</v>
      </c>
      <c r="B113" s="304"/>
      <c r="C113" s="304"/>
      <c r="D113" s="304"/>
      <c r="E113" s="304"/>
      <c r="F113" s="304">
        <v>0</v>
      </c>
      <c r="G113" s="304">
        <v>0</v>
      </c>
      <c r="H113" s="304">
        <v>0</v>
      </c>
      <c r="I113" s="304">
        <v>0</v>
      </c>
      <c r="J113" s="304">
        <v>162</v>
      </c>
      <c r="K113" s="304">
        <v>138</v>
      </c>
      <c r="L113" s="304">
        <v>105</v>
      </c>
      <c r="M113" s="304"/>
      <c r="N113" s="304"/>
      <c r="O113" s="304"/>
      <c r="P113" s="265"/>
      <c r="Q113" s="265"/>
      <c r="R113" s="265"/>
      <c r="S113" s="265"/>
      <c r="T113" s="265"/>
      <c r="U113" s="265"/>
      <c r="V113" s="265"/>
      <c r="W113" s="265"/>
      <c r="X113" s="265"/>
      <c r="Y113" s="265"/>
      <c r="Z113" s="265"/>
      <c r="AA113" s="265"/>
      <c r="AB113" s="265"/>
      <c r="AC113" s="265"/>
      <c r="AD113" s="265"/>
      <c r="AE113" s="265"/>
      <c r="AF113" s="265"/>
      <c r="AG113" s="265"/>
      <c r="AH113" s="265"/>
      <c r="AI113" s="265"/>
      <c r="AJ113" s="265"/>
      <c r="AK113" s="265"/>
      <c r="AL113" s="265"/>
      <c r="AM113" s="265"/>
      <c r="AN113" s="265"/>
      <c r="AO113" s="265"/>
      <c r="AP113" s="265"/>
      <c r="AQ113" s="265"/>
      <c r="AR113" s="265"/>
      <c r="AS113" s="265"/>
      <c r="AT113" s="265"/>
      <c r="AU113" s="265"/>
      <c r="AW113" s="265"/>
      <c r="AX113" s="265"/>
      <c r="AY113" s="265"/>
    </row>
    <row r="114" spans="1:51" ht="13">
      <c r="A114" s="265" t="s">
        <v>368</v>
      </c>
      <c r="B114" s="304"/>
      <c r="C114" s="304"/>
      <c r="D114" s="304"/>
      <c r="E114" s="304"/>
      <c r="F114" s="304">
        <v>2251</v>
      </c>
      <c r="G114" s="304">
        <v>1800</v>
      </c>
      <c r="H114" s="304">
        <v>1814</v>
      </c>
      <c r="I114" s="304">
        <v>2870.3501539286272</v>
      </c>
      <c r="J114" s="304">
        <v>724</v>
      </c>
      <c r="K114" s="304">
        <v>565</v>
      </c>
      <c r="L114" s="304">
        <f>+L105-SUM(L106:L113)</f>
        <v>545</v>
      </c>
      <c r="M114" s="304"/>
      <c r="N114" s="304"/>
      <c r="O114" s="304"/>
      <c r="P114" s="265"/>
      <c r="Q114" s="265"/>
      <c r="R114" s="265"/>
      <c r="S114" s="265"/>
      <c r="T114" s="265"/>
      <c r="U114" s="265"/>
      <c r="V114" s="265"/>
      <c r="W114" s="265"/>
      <c r="X114" s="265"/>
      <c r="Y114" s="265"/>
      <c r="Z114" s="265"/>
      <c r="AA114" s="265"/>
      <c r="AB114" s="265"/>
      <c r="AC114" s="265"/>
      <c r="AD114" s="265"/>
      <c r="AE114" s="265"/>
      <c r="AF114" s="265"/>
      <c r="AG114" s="265"/>
      <c r="AH114" s="265"/>
      <c r="AI114" s="265"/>
      <c r="AJ114" s="265"/>
      <c r="AK114" s="265"/>
      <c r="AL114" s="265"/>
      <c r="AM114" s="265"/>
      <c r="AN114" s="265"/>
      <c r="AO114" s="265"/>
      <c r="AP114" s="265"/>
      <c r="AQ114" s="265"/>
      <c r="AR114" s="265"/>
      <c r="AS114" s="265"/>
      <c r="AT114" s="265"/>
      <c r="AU114" s="265"/>
      <c r="AW114" s="265"/>
      <c r="AX114" s="265"/>
      <c r="AY114" s="265"/>
    </row>
    <row r="115" spans="1:51" ht="13">
      <c r="A115" s="265"/>
      <c r="B115" s="304"/>
      <c r="C115" s="304"/>
      <c r="D115" s="304"/>
      <c r="E115" s="304"/>
      <c r="F115" s="304"/>
      <c r="G115" s="304"/>
      <c r="H115" s="304">
        <v>0</v>
      </c>
      <c r="I115" s="304"/>
      <c r="J115" s="304"/>
      <c r="K115" s="304"/>
      <c r="L115" s="304"/>
      <c r="M115" s="304"/>
      <c r="N115" s="304"/>
      <c r="O115" s="304"/>
      <c r="P115" s="265"/>
      <c r="Q115" s="265"/>
      <c r="R115" s="265"/>
      <c r="S115" s="265"/>
      <c r="T115" s="265"/>
      <c r="U115" s="265"/>
      <c r="V115" s="265"/>
      <c r="W115" s="265"/>
      <c r="X115" s="265"/>
      <c r="Y115" s="265"/>
      <c r="Z115" s="265"/>
      <c r="AA115" s="265"/>
      <c r="AB115" s="265"/>
      <c r="AC115" s="265"/>
      <c r="AD115" s="265"/>
      <c r="AE115" s="265"/>
      <c r="AF115" s="265"/>
      <c r="AG115" s="265"/>
      <c r="AH115" s="265"/>
      <c r="AI115" s="265"/>
      <c r="AJ115" s="265"/>
      <c r="AK115" s="265"/>
      <c r="AL115" s="265"/>
      <c r="AM115" s="265"/>
      <c r="AN115" s="265"/>
      <c r="AO115" s="265"/>
      <c r="AP115" s="265"/>
      <c r="AQ115" s="265"/>
      <c r="AR115" s="265"/>
      <c r="AS115" s="265"/>
      <c r="AT115" s="265"/>
      <c r="AU115" s="265"/>
      <c r="AW115" s="265"/>
      <c r="AX115" s="265"/>
      <c r="AY115" s="265"/>
    </row>
    <row r="116" spans="1:51" ht="13">
      <c r="A116" s="285" t="s">
        <v>393</v>
      </c>
      <c r="B116" s="301"/>
      <c r="C116" s="301"/>
      <c r="D116" s="301"/>
      <c r="E116" s="301"/>
      <c r="F116" s="301">
        <f t="shared" ref="F116:L116" si="14">F73+F78+F86+F98+F105</f>
        <v>40849</v>
      </c>
      <c r="G116" s="301">
        <f t="shared" si="14"/>
        <v>37278</v>
      </c>
      <c r="H116" s="301">
        <f t="shared" si="14"/>
        <v>39645</v>
      </c>
      <c r="I116" s="301">
        <f t="shared" si="14"/>
        <v>49694</v>
      </c>
      <c r="J116" s="301">
        <f t="shared" si="14"/>
        <v>60343</v>
      </c>
      <c r="K116" s="301">
        <f t="shared" si="14"/>
        <v>63604</v>
      </c>
      <c r="L116" s="301">
        <f t="shared" si="14"/>
        <v>61998</v>
      </c>
      <c r="M116" s="304"/>
      <c r="N116" s="304"/>
      <c r="O116" s="304"/>
      <c r="P116" s="265"/>
      <c r="Q116" s="265"/>
      <c r="R116" s="265"/>
      <c r="S116" s="265"/>
      <c r="T116" s="265"/>
      <c r="U116" s="265"/>
      <c r="V116" s="265"/>
      <c r="W116" s="265"/>
      <c r="X116" s="265"/>
      <c r="Y116" s="265"/>
      <c r="Z116" s="265"/>
      <c r="AA116" s="265"/>
      <c r="AB116" s="265"/>
      <c r="AC116" s="265"/>
      <c r="AD116" s="265"/>
      <c r="AE116" s="265"/>
      <c r="AF116" s="265"/>
      <c r="AG116" s="265"/>
      <c r="AH116" s="265"/>
      <c r="AI116" s="265"/>
      <c r="AJ116" s="265"/>
      <c r="AK116" s="265"/>
      <c r="AL116" s="265"/>
      <c r="AM116" s="265"/>
      <c r="AN116" s="265"/>
      <c r="AO116" s="265"/>
      <c r="AP116" s="265"/>
      <c r="AQ116" s="265"/>
      <c r="AR116" s="265"/>
      <c r="AS116" s="265"/>
      <c r="AT116" s="265"/>
      <c r="AU116" s="265"/>
      <c r="AW116" s="265"/>
      <c r="AX116" s="265"/>
      <c r="AY116" s="265"/>
    </row>
    <row r="117" spans="1:51" ht="13">
      <c r="A117" s="285"/>
      <c r="B117" s="285"/>
      <c r="C117" s="285"/>
      <c r="D117" s="285"/>
      <c r="E117" s="285"/>
      <c r="F117" s="305"/>
      <c r="G117" s="301"/>
      <c r="H117" s="305"/>
      <c r="I117" s="305"/>
      <c r="J117" s="301"/>
      <c r="K117" s="301"/>
      <c r="L117" s="301"/>
      <c r="M117" s="265"/>
      <c r="N117" s="265"/>
      <c r="O117" s="265"/>
      <c r="P117" s="265"/>
      <c r="Q117" s="265"/>
      <c r="R117" s="265"/>
      <c r="S117" s="265"/>
      <c r="T117" s="265"/>
      <c r="U117" s="265"/>
      <c r="V117" s="265"/>
      <c r="W117" s="265"/>
      <c r="X117" s="265"/>
      <c r="Y117" s="265"/>
      <c r="Z117" s="265"/>
      <c r="AA117" s="265"/>
      <c r="AB117" s="265"/>
      <c r="AC117" s="265"/>
      <c r="AD117" s="265"/>
      <c r="AE117" s="265"/>
      <c r="AF117" s="265"/>
      <c r="AG117" s="265"/>
      <c r="AH117" s="265"/>
      <c r="AI117" s="265"/>
      <c r="AJ117" s="265"/>
      <c r="AK117" s="265"/>
      <c r="AL117" s="265"/>
      <c r="AM117" s="265"/>
      <c r="AN117" s="265"/>
      <c r="AO117" s="265"/>
      <c r="AP117" s="265"/>
      <c r="AQ117" s="265"/>
      <c r="AR117" s="265"/>
      <c r="AS117" s="265"/>
      <c r="AT117" s="265"/>
      <c r="AU117" s="265"/>
      <c r="AW117" s="265"/>
      <c r="AX117" s="265"/>
      <c r="AY117" s="265"/>
    </row>
    <row r="118" spans="1:51" ht="13">
      <c r="A118" s="297" t="s">
        <v>357</v>
      </c>
      <c r="B118" s="298"/>
      <c r="C118" s="299"/>
      <c r="D118" s="300"/>
      <c r="E118" s="300"/>
      <c r="F118" s="298"/>
      <c r="G118" s="298"/>
      <c r="H118" s="298"/>
      <c r="I118" s="298"/>
      <c r="J118" s="298"/>
      <c r="K118" s="298"/>
      <c r="L118" s="298"/>
      <c r="M118" s="265"/>
      <c r="N118" s="265"/>
      <c r="O118" s="265"/>
      <c r="P118" s="265"/>
      <c r="Q118" s="265"/>
      <c r="R118" s="265"/>
      <c r="S118" s="265"/>
      <c r="T118" s="265"/>
      <c r="U118" s="265"/>
      <c r="V118" s="265"/>
      <c r="W118" s="265"/>
      <c r="X118" s="265"/>
      <c r="Y118" s="265"/>
      <c r="Z118" s="265"/>
      <c r="AA118" s="265"/>
      <c r="AB118" s="265"/>
      <c r="AC118" s="265"/>
      <c r="AD118" s="265"/>
      <c r="AE118" s="265"/>
      <c r="AF118" s="265"/>
      <c r="AG118" s="265"/>
      <c r="AH118" s="265"/>
      <c r="AI118" s="265"/>
      <c r="AJ118" s="265"/>
      <c r="AK118" s="265"/>
      <c r="AL118" s="265"/>
      <c r="AM118" s="265"/>
      <c r="AN118" s="265"/>
      <c r="AO118" s="265"/>
      <c r="AP118" s="265"/>
      <c r="AQ118" s="265"/>
      <c r="AR118" s="265"/>
      <c r="AS118" s="265"/>
      <c r="AT118" s="265"/>
      <c r="AU118" s="265"/>
      <c r="AW118" s="265"/>
      <c r="AX118" s="265"/>
      <c r="AY118" s="265"/>
    </row>
    <row r="119" spans="1:51" ht="13">
      <c r="A119" s="285" t="s">
        <v>359</v>
      </c>
      <c r="B119" s="285"/>
      <c r="C119" s="285"/>
      <c r="D119" s="285"/>
      <c r="E119" s="285"/>
      <c r="F119" s="306">
        <f>F73/$F$116</f>
        <v>0.21887928713065191</v>
      </c>
      <c r="G119" s="306">
        <f>G73/$G$116</f>
        <v>0.2073877353935297</v>
      </c>
      <c r="H119" s="306">
        <f>H73/$H$116</f>
        <v>0.22338251986379115</v>
      </c>
      <c r="I119" s="306">
        <f>I73/$I$116</f>
        <v>0.25785231185374163</v>
      </c>
      <c r="J119" s="306">
        <f>J73/$J$116</f>
        <v>0.25567174320136554</v>
      </c>
      <c r="K119" s="306">
        <f t="shared" ref="K119:L122" si="15">K73/K$116</f>
        <v>0.27977800138356079</v>
      </c>
      <c r="L119" s="306">
        <f t="shared" si="15"/>
        <v>0.28723507209909999</v>
      </c>
      <c r="M119" s="265"/>
      <c r="N119" s="307"/>
      <c r="O119" s="265"/>
      <c r="P119" s="265"/>
      <c r="Q119" s="265"/>
      <c r="R119" s="265"/>
      <c r="S119" s="265"/>
      <c r="T119" s="265"/>
      <c r="U119" s="265"/>
      <c r="V119" s="265"/>
      <c r="W119" s="265"/>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W119" s="265"/>
      <c r="AX119" s="265"/>
      <c r="AY119" s="265"/>
    </row>
    <row r="120" spans="1:51" ht="13">
      <c r="A120" s="265" t="s">
        <v>360</v>
      </c>
      <c r="B120" s="265"/>
      <c r="C120" s="265"/>
      <c r="D120" s="265"/>
      <c r="E120" s="265"/>
      <c r="F120" s="287">
        <f>F74/$F$116</f>
        <v>0.10093270337095156</v>
      </c>
      <c r="G120" s="287">
        <f>G74/$G$116</f>
        <v>8.8497236976232629E-2</v>
      </c>
      <c r="H120" s="287">
        <f>H74/$H$116</f>
        <v>9.2142767057636521E-2</v>
      </c>
      <c r="I120" s="287">
        <f>I74/$I$116</f>
        <v>0.10730947534806226</v>
      </c>
      <c r="J120" s="287">
        <f>J74/$J$116</f>
        <v>0.1046185970203669</v>
      </c>
      <c r="K120" s="287">
        <f t="shared" si="15"/>
        <v>0.1303848814539966</v>
      </c>
      <c r="L120" s="287">
        <f t="shared" si="15"/>
        <v>0.14198845124036258</v>
      </c>
      <c r="M120" s="265"/>
      <c r="N120" s="287"/>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W120" s="265"/>
      <c r="AX120" s="265"/>
      <c r="AY120" s="265"/>
    </row>
    <row r="121" spans="1:51" ht="13">
      <c r="A121" s="265" t="s">
        <v>361</v>
      </c>
      <c r="B121" s="265"/>
      <c r="C121" s="265"/>
      <c r="D121" s="265"/>
      <c r="E121" s="265"/>
      <c r="F121" s="287">
        <f>F75/$F$116</f>
        <v>7.865553624323729E-2</v>
      </c>
      <c r="G121" s="287">
        <f>G75/$G$116</f>
        <v>7.9457052416975149E-2</v>
      </c>
      <c r="H121" s="287">
        <f>H75/$H$116</f>
        <v>8.893933661243536E-2</v>
      </c>
      <c r="I121" s="287">
        <f>I75/$I$116</f>
        <v>9.8126624741194685E-2</v>
      </c>
      <c r="J121" s="287">
        <f>J75/$J$116</f>
        <v>0.10912616210662381</v>
      </c>
      <c r="K121" s="287">
        <f t="shared" si="15"/>
        <v>0.10856235456889504</v>
      </c>
      <c r="L121" s="287">
        <f t="shared" si="15"/>
        <v>0.10258395432110713</v>
      </c>
      <c r="M121" s="265"/>
      <c r="N121" s="287"/>
      <c r="O121" s="265"/>
      <c r="P121" s="265"/>
      <c r="Q121" s="265"/>
      <c r="R121" s="265"/>
      <c r="S121" s="265"/>
      <c r="T121" s="265"/>
      <c r="U121" s="265"/>
      <c r="V121" s="265"/>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W121" s="265"/>
      <c r="AX121" s="265"/>
      <c r="AY121" s="265"/>
    </row>
    <row r="122" spans="1:51" ht="13">
      <c r="A122" s="265" t="s">
        <v>362</v>
      </c>
      <c r="B122" s="265"/>
      <c r="C122" s="265"/>
      <c r="D122" s="265"/>
      <c r="E122" s="265"/>
      <c r="F122" s="287">
        <f>F76/$F$116</f>
        <v>3.9291047516463069E-2</v>
      </c>
      <c r="G122" s="287">
        <f>G76/$G$116</f>
        <v>3.9433446000321906E-2</v>
      </c>
      <c r="H122" s="287">
        <f>H76/$H$116</f>
        <v>4.2300416193719256E-2</v>
      </c>
      <c r="I122" s="287">
        <f>I76/$I$116</f>
        <v>5.2416211764484702E-2</v>
      </c>
      <c r="J122" s="287">
        <f>J76/$J$116</f>
        <v>4.1926984074374826E-2</v>
      </c>
      <c r="K122" s="287">
        <f t="shared" si="15"/>
        <v>4.0830765360669138E-2</v>
      </c>
      <c r="L122" s="287">
        <f t="shared" si="15"/>
        <v>4.2662666537630248E-2</v>
      </c>
      <c r="M122" s="265"/>
      <c r="N122" s="287"/>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W122" s="265"/>
      <c r="AX122" s="265"/>
      <c r="AY122" s="265"/>
    </row>
    <row r="123" spans="1:51" ht="13">
      <c r="A123" s="265"/>
      <c r="B123" s="265" t="s">
        <v>302</v>
      </c>
      <c r="C123" s="265"/>
      <c r="D123" s="265"/>
      <c r="E123" s="265"/>
      <c r="F123" s="287"/>
      <c r="G123" s="287"/>
      <c r="H123" s="287"/>
      <c r="I123" s="287"/>
      <c r="J123" s="287"/>
      <c r="K123" s="287"/>
      <c r="L123" s="287"/>
      <c r="M123" s="265"/>
      <c r="N123" s="265"/>
      <c r="O123" s="265"/>
      <c r="P123" s="265"/>
      <c r="Q123" s="265"/>
      <c r="R123" s="265"/>
      <c r="S123" s="265"/>
      <c r="T123" s="265"/>
      <c r="U123" s="265"/>
      <c r="V123" s="265"/>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W123" s="265"/>
      <c r="AX123" s="265"/>
      <c r="AY123" s="265"/>
    </row>
    <row r="124" spans="1:51" ht="13">
      <c r="A124" s="285" t="s">
        <v>352</v>
      </c>
      <c r="B124" s="285"/>
      <c r="C124" s="285"/>
      <c r="D124" s="285"/>
      <c r="E124" s="285"/>
      <c r="F124" s="306">
        <f t="shared" ref="F124:F130" si="16">F78/$F$116</f>
        <v>0.15618497392837033</v>
      </c>
      <c r="G124" s="306">
        <f t="shared" ref="G124:G130" si="17">G78/$G$116</f>
        <v>0.12436289500509684</v>
      </c>
      <c r="H124" s="306">
        <f t="shared" ref="H124:H130" si="18">H78/$H$116</f>
        <v>0.13361079581283897</v>
      </c>
      <c r="I124" s="306">
        <f t="shared" ref="I124:I130" si="19">I78/$I$116</f>
        <v>0.13774710273317428</v>
      </c>
      <c r="J124" s="306">
        <f t="shared" ref="J124:J130" si="20">J78/$J$116</f>
        <v>0.14038082296206686</v>
      </c>
      <c r="K124" s="306">
        <f t="shared" ref="K124:L130" si="21">K78/K$116</f>
        <v>0.12200490535186466</v>
      </c>
      <c r="L124" s="306">
        <f t="shared" si="21"/>
        <v>0.12593954643698183</v>
      </c>
      <c r="M124" s="265"/>
      <c r="N124" s="265"/>
      <c r="O124" s="265"/>
      <c r="P124" s="265"/>
      <c r="Q124" s="265"/>
      <c r="R124" s="265"/>
      <c r="S124" s="265"/>
      <c r="T124" s="265"/>
      <c r="U124" s="265"/>
      <c r="V124" s="265"/>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W124" s="265"/>
      <c r="AX124" s="265"/>
      <c r="AY124" s="265"/>
    </row>
    <row r="125" spans="1:51" ht="13">
      <c r="A125" s="265" t="s">
        <v>363</v>
      </c>
      <c r="B125" s="265"/>
      <c r="C125" s="265"/>
      <c r="D125" s="265"/>
      <c r="E125" s="265"/>
      <c r="F125" s="287">
        <f t="shared" si="16"/>
        <v>6.2767754412592719E-2</v>
      </c>
      <c r="G125" s="287">
        <f t="shared" si="17"/>
        <v>5.3999678094318368E-2</v>
      </c>
      <c r="H125" s="287">
        <f t="shared" si="18"/>
        <v>5.8595030899230675E-2</v>
      </c>
      <c r="I125" s="287">
        <f t="shared" si="19"/>
        <v>5.7752943752305885E-2</v>
      </c>
      <c r="J125" s="287">
        <f t="shared" si="20"/>
        <v>6.6950599075286277E-2</v>
      </c>
      <c r="K125" s="287">
        <f t="shared" si="21"/>
        <v>5.1097415256902083E-2</v>
      </c>
      <c r="L125" s="287">
        <f t="shared" si="21"/>
        <v>5.8372850737120549E-2</v>
      </c>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W125" s="265"/>
      <c r="AX125" s="265"/>
      <c r="AY125" s="265"/>
    </row>
    <row r="126" spans="1:51" ht="13">
      <c r="A126" s="265" t="s">
        <v>364</v>
      </c>
      <c r="B126" s="265"/>
      <c r="C126" s="265"/>
      <c r="D126" s="265"/>
      <c r="E126" s="265"/>
      <c r="F126" s="287">
        <f t="shared" si="16"/>
        <v>3.6304438297143138E-2</v>
      </c>
      <c r="G126" s="287">
        <f t="shared" si="17"/>
        <v>2.6369440420623422E-2</v>
      </c>
      <c r="H126" s="287">
        <f t="shared" si="18"/>
        <v>2.7317442300416193E-2</v>
      </c>
      <c r="I126" s="287">
        <f t="shared" si="19"/>
        <v>2.5919912987713279E-2</v>
      </c>
      <c r="J126" s="287">
        <f t="shared" si="20"/>
        <v>2.7144822100326468E-2</v>
      </c>
      <c r="K126" s="287">
        <f t="shared" si="21"/>
        <v>2.8598830262247656E-2</v>
      </c>
      <c r="L126" s="287">
        <f t="shared" si="21"/>
        <v>3.059776121810381E-2</v>
      </c>
      <c r="M126" s="265"/>
      <c r="N126" s="265"/>
      <c r="O126" s="265"/>
      <c r="P126" s="265"/>
      <c r="Q126" s="265"/>
      <c r="R126" s="265"/>
      <c r="S126" s="265"/>
      <c r="T126" s="265"/>
      <c r="U126" s="265"/>
      <c r="V126" s="265"/>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W126" s="265"/>
      <c r="AX126" s="265"/>
      <c r="AY126" s="265"/>
    </row>
    <row r="127" spans="1:51" ht="13">
      <c r="A127" s="265" t="s">
        <v>365</v>
      </c>
      <c r="B127" s="265"/>
      <c r="C127" s="265"/>
      <c r="D127" s="265"/>
      <c r="E127" s="265"/>
      <c r="F127" s="287">
        <f t="shared" si="16"/>
        <v>2.5557541188278785E-2</v>
      </c>
      <c r="G127" s="287">
        <f t="shared" si="17"/>
        <v>2.5457374322656795E-2</v>
      </c>
      <c r="H127" s="287">
        <f t="shared" si="18"/>
        <v>2.3886997099255895E-2</v>
      </c>
      <c r="I127" s="287">
        <f t="shared" si="19"/>
        <v>2.7360779364888604E-2</v>
      </c>
      <c r="J127" s="287">
        <f t="shared" si="20"/>
        <v>2.4244734269095007E-2</v>
      </c>
      <c r="K127" s="287">
        <f t="shared" si="21"/>
        <v>2.2152694799069242E-2</v>
      </c>
      <c r="L127" s="287">
        <f t="shared" si="21"/>
        <v>2.0581309074486274E-2</v>
      </c>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W127" s="265"/>
      <c r="AX127" s="265"/>
      <c r="AY127" s="265"/>
    </row>
    <row r="128" spans="1:51" ht="12.75" customHeight="1">
      <c r="A128" s="265" t="s">
        <v>366</v>
      </c>
      <c r="B128" s="265"/>
      <c r="C128" s="265"/>
      <c r="D128" s="265"/>
      <c r="E128" s="265"/>
      <c r="F128" s="287">
        <f t="shared" si="16"/>
        <v>0</v>
      </c>
      <c r="G128" s="287">
        <f t="shared" si="17"/>
        <v>0</v>
      </c>
      <c r="H128" s="287">
        <f t="shared" si="18"/>
        <v>0</v>
      </c>
      <c r="I128" s="287">
        <f t="shared" si="19"/>
        <v>0</v>
      </c>
      <c r="J128" s="287">
        <f t="shared" si="20"/>
        <v>4.4247054339359992E-3</v>
      </c>
      <c r="K128" s="287">
        <f t="shared" si="21"/>
        <v>5.2355197786302749E-3</v>
      </c>
      <c r="L128" s="287">
        <f t="shared" si="21"/>
        <v>3.4033355914706927E-3</v>
      </c>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65"/>
      <c r="AK128" s="265"/>
      <c r="AL128" s="265"/>
      <c r="AM128" s="265"/>
      <c r="AN128" s="265"/>
      <c r="AO128" s="265"/>
      <c r="AP128" s="265"/>
      <c r="AQ128" s="265"/>
      <c r="AR128" s="265"/>
      <c r="AS128" s="265"/>
      <c r="AT128" s="265"/>
      <c r="AU128" s="265"/>
      <c r="AW128" s="265"/>
      <c r="AX128" s="265"/>
      <c r="AY128" s="265"/>
    </row>
    <row r="129" spans="1:51" ht="12.75" customHeight="1">
      <c r="A129" s="265" t="s">
        <v>394</v>
      </c>
      <c r="B129" s="265"/>
      <c r="C129" s="265"/>
      <c r="D129" s="265"/>
      <c r="E129" s="265"/>
      <c r="F129" s="287">
        <f t="shared" si="16"/>
        <v>0</v>
      </c>
      <c r="G129" s="287">
        <f t="shared" si="17"/>
        <v>0</v>
      </c>
      <c r="H129" s="287">
        <f t="shared" si="18"/>
        <v>0</v>
      </c>
      <c r="I129" s="287">
        <f t="shared" si="19"/>
        <v>9.7999758522155592E-3</v>
      </c>
      <c r="J129" s="287">
        <f t="shared" si="20"/>
        <v>3.5298211888702916E-3</v>
      </c>
      <c r="K129" s="287">
        <f t="shared" si="21"/>
        <v>2.9872335073265834E-4</v>
      </c>
      <c r="L129" s="287">
        <f t="shared" si="21"/>
        <v>4.838865769863544E-5</v>
      </c>
      <c r="M129" s="265"/>
      <c r="N129" s="265"/>
      <c r="O129" s="265"/>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W129" s="265"/>
      <c r="AX129" s="265"/>
      <c r="AY129" s="265"/>
    </row>
    <row r="130" spans="1:51" ht="13">
      <c r="A130" s="265" t="s">
        <v>368</v>
      </c>
      <c r="B130" s="265"/>
      <c r="C130" s="265"/>
      <c r="D130" s="265"/>
      <c r="E130" s="265"/>
      <c r="F130" s="287">
        <f t="shared" si="16"/>
        <v>3.1555240030355702E-2</v>
      </c>
      <c r="G130" s="287">
        <f t="shared" si="17"/>
        <v>1.8536402167498255E-2</v>
      </c>
      <c r="H130" s="287">
        <f t="shared" si="18"/>
        <v>2.3811325513936183E-2</v>
      </c>
      <c r="I130" s="287">
        <f t="shared" si="19"/>
        <v>1.6903449108544293E-2</v>
      </c>
      <c r="J130" s="287">
        <f t="shared" si="20"/>
        <v>1.4086140894552807E-2</v>
      </c>
      <c r="K130" s="287">
        <f t="shared" si="21"/>
        <v>1.462172190428275E-2</v>
      </c>
      <c r="L130" s="287">
        <f t="shared" si="21"/>
        <v>1.2935901158101875E-2</v>
      </c>
      <c r="M130" s="265"/>
      <c r="N130" s="265"/>
      <c r="O130" s="265"/>
      <c r="P130" s="265"/>
      <c r="Q130" s="265"/>
      <c r="R130" s="265"/>
      <c r="S130" s="265"/>
      <c r="T130" s="265"/>
      <c r="U130" s="265"/>
      <c r="V130" s="265"/>
      <c r="W130" s="265"/>
      <c r="X130" s="265"/>
      <c r="Y130" s="265"/>
      <c r="Z130" s="265"/>
      <c r="AA130" s="265"/>
      <c r="AB130" s="265"/>
      <c r="AC130" s="265"/>
      <c r="AD130" s="265"/>
      <c r="AE130" s="265"/>
      <c r="AF130" s="265"/>
      <c r="AG130" s="265"/>
      <c r="AH130" s="265"/>
      <c r="AI130" s="265"/>
      <c r="AJ130" s="265"/>
      <c r="AK130" s="265"/>
      <c r="AL130" s="265"/>
      <c r="AM130" s="265"/>
      <c r="AN130" s="265"/>
      <c r="AO130" s="265"/>
      <c r="AP130" s="265"/>
      <c r="AQ130" s="265"/>
      <c r="AR130" s="265"/>
      <c r="AS130" s="265"/>
      <c r="AT130" s="265"/>
      <c r="AU130" s="265"/>
      <c r="AW130" s="265"/>
      <c r="AX130" s="265"/>
      <c r="AY130" s="265"/>
    </row>
    <row r="131" spans="1:51" ht="13">
      <c r="A131" s="265"/>
      <c r="B131" s="265"/>
      <c r="C131" s="265"/>
      <c r="D131" s="265"/>
      <c r="E131" s="265"/>
      <c r="F131" s="287"/>
      <c r="G131" s="287"/>
      <c r="H131" s="287"/>
      <c r="I131" s="287"/>
      <c r="J131" s="287"/>
      <c r="K131" s="287"/>
      <c r="L131" s="287"/>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W131" s="265"/>
      <c r="AX131" s="265"/>
      <c r="AY131" s="265"/>
    </row>
    <row r="132" spans="1:51" ht="13">
      <c r="A132" s="285" t="s">
        <v>369</v>
      </c>
      <c r="B132" s="285"/>
      <c r="C132" s="285"/>
      <c r="D132" s="285"/>
      <c r="E132" s="285"/>
      <c r="F132" s="306">
        <f t="shared" ref="F132:F142" si="22">F86/$F$116</f>
        <v>0.23087468481480575</v>
      </c>
      <c r="G132" s="306">
        <f t="shared" ref="G132:G142" si="23">G86/$G$116</f>
        <v>0.26380170610011267</v>
      </c>
      <c r="H132" s="306">
        <f t="shared" ref="H132:H142" si="24">H86/$H$116</f>
        <v>0.22239878925463488</v>
      </c>
      <c r="I132" s="306">
        <f t="shared" ref="I132:I142" si="25">I86/$I$116</f>
        <v>0.16756734817408928</v>
      </c>
      <c r="J132" s="306">
        <f t="shared" ref="J132:J142" si="26">J86/$J$116</f>
        <v>0.14294947218401471</v>
      </c>
      <c r="K132" s="306">
        <f t="shared" ref="K132:L142" si="27">K86/K$116</f>
        <v>0.13708257342305516</v>
      </c>
      <c r="L132" s="306">
        <f t="shared" si="27"/>
        <v>0.13339139972257169</v>
      </c>
      <c r="M132" s="265"/>
      <c r="N132" s="265"/>
      <c r="O132" s="265"/>
      <c r="P132" s="265"/>
      <c r="Q132" s="265"/>
      <c r="R132" s="265"/>
      <c r="S132" s="265"/>
      <c r="T132" s="265"/>
      <c r="U132" s="265"/>
      <c r="V132" s="265"/>
      <c r="W132" s="265"/>
      <c r="X132" s="265"/>
      <c r="Y132" s="265"/>
      <c r="Z132" s="265"/>
      <c r="AA132" s="265"/>
      <c r="AB132" s="265"/>
      <c r="AC132" s="265"/>
      <c r="AD132" s="265"/>
      <c r="AE132" s="265"/>
      <c r="AF132" s="265"/>
      <c r="AG132" s="265"/>
      <c r="AH132" s="265"/>
      <c r="AI132" s="265"/>
      <c r="AJ132" s="265"/>
      <c r="AK132" s="265"/>
      <c r="AL132" s="265"/>
      <c r="AM132" s="265"/>
      <c r="AN132" s="265"/>
      <c r="AO132" s="265"/>
      <c r="AP132" s="265"/>
      <c r="AQ132" s="265"/>
      <c r="AR132" s="265"/>
      <c r="AS132" s="265"/>
      <c r="AT132" s="265"/>
      <c r="AU132" s="265"/>
      <c r="AW132" s="265"/>
      <c r="AX132" s="265"/>
      <c r="AY132" s="265"/>
    </row>
    <row r="133" spans="1:51" ht="13">
      <c r="A133" s="265" t="s">
        <v>370</v>
      </c>
      <c r="B133" s="265"/>
      <c r="C133" s="265"/>
      <c r="D133" s="265"/>
      <c r="E133" s="265"/>
      <c r="F133" s="287">
        <f t="shared" si="22"/>
        <v>2.886239565228035E-2</v>
      </c>
      <c r="G133" s="287">
        <f t="shared" si="23"/>
        <v>2.94543698696282E-2</v>
      </c>
      <c r="H133" s="287">
        <f t="shared" si="24"/>
        <v>3.1126245428175055E-2</v>
      </c>
      <c r="I133" s="287">
        <f t="shared" si="25"/>
        <v>2.510295470952692E-2</v>
      </c>
      <c r="J133" s="287">
        <f t="shared" si="26"/>
        <v>2.3283562302172579E-2</v>
      </c>
      <c r="K133" s="287">
        <f t="shared" si="27"/>
        <v>2.3080309414502231E-2</v>
      </c>
      <c r="L133" s="287">
        <f t="shared" si="27"/>
        <v>2.6694409497080553E-2</v>
      </c>
      <c r="M133" s="265"/>
      <c r="N133" s="265"/>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5"/>
      <c r="AK133" s="265"/>
      <c r="AL133" s="265"/>
      <c r="AM133" s="265"/>
      <c r="AN133" s="265"/>
      <c r="AO133" s="265"/>
      <c r="AP133" s="265"/>
      <c r="AQ133" s="265"/>
      <c r="AR133" s="265"/>
      <c r="AS133" s="265"/>
      <c r="AT133" s="265"/>
      <c r="AU133" s="265"/>
      <c r="AW133" s="265"/>
      <c r="AX133" s="265"/>
      <c r="AY133" s="265"/>
    </row>
    <row r="134" spans="1:51" ht="13">
      <c r="A134" s="265" t="s">
        <v>371</v>
      </c>
      <c r="B134" s="265"/>
      <c r="C134" s="265"/>
      <c r="D134" s="265"/>
      <c r="E134" s="265"/>
      <c r="F134" s="287">
        <f t="shared" si="22"/>
        <v>0</v>
      </c>
      <c r="G134" s="287">
        <f t="shared" si="23"/>
        <v>1.4217500938891571E-2</v>
      </c>
      <c r="H134" s="287">
        <f t="shared" si="24"/>
        <v>1.4201034178332702E-2</v>
      </c>
      <c r="I134" s="287">
        <f t="shared" si="25"/>
        <v>1.5824458054586217E-2</v>
      </c>
      <c r="J134" s="287">
        <f t="shared" si="26"/>
        <v>1.4848449695905076E-2</v>
      </c>
      <c r="K134" s="287">
        <f t="shared" si="27"/>
        <v>2.1791082321866551E-2</v>
      </c>
      <c r="L134" s="287">
        <f t="shared" si="27"/>
        <v>1.7726378270266782E-2</v>
      </c>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65"/>
      <c r="AK134" s="265"/>
      <c r="AL134" s="265"/>
      <c r="AM134" s="265"/>
      <c r="AN134" s="265"/>
      <c r="AO134" s="265"/>
      <c r="AP134" s="265"/>
      <c r="AQ134" s="265"/>
      <c r="AR134" s="265"/>
      <c r="AS134" s="265"/>
      <c r="AT134" s="265"/>
      <c r="AU134" s="265"/>
      <c r="AW134" s="265"/>
      <c r="AX134" s="265"/>
      <c r="AY134" s="265"/>
    </row>
    <row r="135" spans="1:51" ht="12.75" customHeight="1">
      <c r="A135" s="265" t="s">
        <v>372</v>
      </c>
      <c r="B135" s="265"/>
      <c r="C135" s="265"/>
      <c r="D135" s="265"/>
      <c r="E135" s="265"/>
      <c r="F135" s="287">
        <f t="shared" si="22"/>
        <v>0</v>
      </c>
      <c r="G135" s="287">
        <f t="shared" si="23"/>
        <v>8.6378024572133696E-3</v>
      </c>
      <c r="H135" s="287">
        <f t="shared" si="24"/>
        <v>9.2571572707781553E-3</v>
      </c>
      <c r="I135" s="287">
        <f t="shared" si="25"/>
        <v>8.5370076912411798E-3</v>
      </c>
      <c r="J135" s="287">
        <f t="shared" si="26"/>
        <v>8.1036739969839091E-3</v>
      </c>
      <c r="K135" s="287">
        <f t="shared" si="27"/>
        <v>8.8830891138922084E-3</v>
      </c>
      <c r="L135" s="287">
        <f t="shared" si="27"/>
        <v>1.004871124874996E-2</v>
      </c>
      <c r="M135" s="265"/>
      <c r="N135" s="265"/>
      <c r="O135" s="265"/>
      <c r="P135" s="265"/>
      <c r="Q135" s="265"/>
      <c r="R135" s="265"/>
      <c r="S135" s="265"/>
      <c r="T135" s="265"/>
      <c r="U135" s="265"/>
      <c r="V135" s="265"/>
      <c r="W135" s="265"/>
      <c r="X135" s="265"/>
      <c r="Y135" s="265"/>
      <c r="Z135" s="265"/>
      <c r="AA135" s="265"/>
      <c r="AB135" s="265"/>
      <c r="AC135" s="265"/>
      <c r="AD135" s="265"/>
      <c r="AE135" s="265"/>
      <c r="AF135" s="265"/>
      <c r="AG135" s="265"/>
      <c r="AH135" s="265"/>
      <c r="AI135" s="265"/>
      <c r="AJ135" s="265"/>
      <c r="AK135" s="265"/>
      <c r="AL135" s="265"/>
      <c r="AM135" s="265"/>
      <c r="AN135" s="265"/>
      <c r="AO135" s="265"/>
      <c r="AP135" s="265"/>
      <c r="AQ135" s="265"/>
      <c r="AR135" s="265"/>
      <c r="AS135" s="265"/>
      <c r="AT135" s="265"/>
      <c r="AU135" s="265"/>
      <c r="AW135" s="265"/>
      <c r="AX135" s="265"/>
      <c r="AY135" s="265"/>
    </row>
    <row r="136" spans="1:51" ht="13">
      <c r="A136" s="265" t="s">
        <v>373</v>
      </c>
      <c r="B136" s="265"/>
      <c r="C136" s="265"/>
      <c r="D136" s="265"/>
      <c r="E136" s="265"/>
      <c r="F136" s="287">
        <f t="shared" si="22"/>
        <v>1.4100712379740019E-2</v>
      </c>
      <c r="G136" s="287">
        <f t="shared" si="23"/>
        <v>1.3949246204195504E-2</v>
      </c>
      <c r="H136" s="287">
        <f t="shared" si="24"/>
        <v>1.3040736536763778E-2</v>
      </c>
      <c r="I136" s="287">
        <f t="shared" si="25"/>
        <v>1.2849901443283036E-2</v>
      </c>
      <c r="J136" s="287">
        <f t="shared" si="26"/>
        <v>1.6174204133039459E-2</v>
      </c>
      <c r="K136" s="287">
        <f t="shared" si="27"/>
        <v>8.7730331425696501E-3</v>
      </c>
      <c r="L136" s="287">
        <f t="shared" si="27"/>
        <v>7.5808897061195521E-3</v>
      </c>
      <c r="M136" s="265"/>
      <c r="N136" s="265"/>
      <c r="O136" s="265"/>
      <c r="P136" s="265"/>
      <c r="Q136" s="265"/>
      <c r="R136" s="265"/>
      <c r="S136" s="265"/>
      <c r="T136" s="265"/>
      <c r="U136" s="265"/>
      <c r="V136" s="265"/>
      <c r="W136" s="265"/>
      <c r="X136" s="265"/>
      <c r="Y136" s="265"/>
      <c r="Z136" s="265"/>
      <c r="AA136" s="265"/>
      <c r="AB136" s="265"/>
      <c r="AC136" s="265"/>
      <c r="AD136" s="265"/>
      <c r="AE136" s="265"/>
      <c r="AF136" s="265"/>
      <c r="AG136" s="265"/>
      <c r="AH136" s="265"/>
      <c r="AI136" s="265"/>
      <c r="AJ136" s="265"/>
      <c r="AK136" s="265"/>
      <c r="AL136" s="265"/>
      <c r="AM136" s="265"/>
      <c r="AN136" s="265"/>
      <c r="AO136" s="265"/>
      <c r="AP136" s="265"/>
      <c r="AQ136" s="265"/>
      <c r="AR136" s="265"/>
      <c r="AS136" s="265"/>
      <c r="AT136" s="265"/>
      <c r="AU136" s="265"/>
      <c r="AW136" s="265"/>
      <c r="AX136" s="265"/>
      <c r="AY136" s="265"/>
    </row>
    <row r="137" spans="1:51" ht="13">
      <c r="A137" s="265" t="s">
        <v>374</v>
      </c>
      <c r="B137" s="265"/>
      <c r="C137" s="265"/>
      <c r="D137" s="265"/>
      <c r="E137" s="265"/>
      <c r="F137" s="287">
        <f t="shared" si="22"/>
        <v>1.4859604886288525E-2</v>
      </c>
      <c r="G137" s="287">
        <f t="shared" si="23"/>
        <v>1.3198132947046515E-2</v>
      </c>
      <c r="H137" s="287">
        <f t="shared" si="24"/>
        <v>1.3545213772228528E-2</v>
      </c>
      <c r="I137" s="287">
        <f t="shared" si="25"/>
        <v>1.1651287675930351E-2</v>
      </c>
      <c r="J137" s="287">
        <f t="shared" si="26"/>
        <v>9.7774389738660653E-3</v>
      </c>
      <c r="K137" s="287">
        <f t="shared" si="27"/>
        <v>8.5843657631595495E-3</v>
      </c>
      <c r="L137" s="287">
        <f t="shared" si="27"/>
        <v>9.4519178038001226E-3</v>
      </c>
      <c r="M137" s="265"/>
      <c r="N137" s="265"/>
      <c r="O137" s="265"/>
      <c r="P137" s="265"/>
      <c r="Q137" s="265"/>
      <c r="R137" s="265"/>
      <c r="S137" s="265"/>
      <c r="T137" s="265"/>
      <c r="U137" s="265"/>
      <c r="V137" s="265"/>
      <c r="W137" s="265"/>
      <c r="X137" s="265"/>
      <c r="Y137" s="265"/>
      <c r="Z137" s="265"/>
      <c r="AA137" s="265"/>
      <c r="AB137" s="265"/>
      <c r="AC137" s="265"/>
      <c r="AD137" s="265"/>
      <c r="AE137" s="265"/>
      <c r="AF137" s="265"/>
      <c r="AG137" s="265"/>
      <c r="AH137" s="265"/>
      <c r="AI137" s="265"/>
      <c r="AJ137" s="265"/>
      <c r="AK137" s="265"/>
      <c r="AL137" s="265"/>
      <c r="AM137" s="265"/>
      <c r="AN137" s="265"/>
      <c r="AO137" s="265"/>
      <c r="AP137" s="265"/>
      <c r="AQ137" s="265"/>
      <c r="AR137" s="265"/>
      <c r="AS137" s="265"/>
      <c r="AT137" s="265"/>
      <c r="AU137" s="265"/>
      <c r="AW137" s="265"/>
      <c r="AX137" s="265"/>
      <c r="AY137" s="265"/>
    </row>
    <row r="138" spans="1:51" ht="12.75" customHeight="1">
      <c r="A138" s="265" t="s">
        <v>375</v>
      </c>
      <c r="B138" s="265"/>
      <c r="C138" s="265"/>
      <c r="D138" s="265"/>
      <c r="E138" s="265"/>
      <c r="F138" s="287">
        <f t="shared" si="22"/>
        <v>0</v>
      </c>
      <c r="G138" s="287">
        <f t="shared" si="23"/>
        <v>8.1549439347604492E-3</v>
      </c>
      <c r="H138" s="287">
        <f t="shared" si="24"/>
        <v>9.5346197502837685E-3</v>
      </c>
      <c r="I138" s="287">
        <f t="shared" si="25"/>
        <v>1.0373451326045412E-2</v>
      </c>
      <c r="J138" s="287">
        <f t="shared" si="26"/>
        <v>1.0307740748719818E-2</v>
      </c>
      <c r="K138" s="287">
        <f t="shared" si="27"/>
        <v>7.3265832337588831E-3</v>
      </c>
      <c r="L138" s="287">
        <f t="shared" si="27"/>
        <v>6.0808413174618537E-3</v>
      </c>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65"/>
      <c r="AK138" s="265"/>
      <c r="AL138" s="265"/>
      <c r="AM138" s="265"/>
      <c r="AN138" s="265"/>
      <c r="AO138" s="265"/>
      <c r="AP138" s="265"/>
      <c r="AQ138" s="265"/>
      <c r="AR138" s="265"/>
      <c r="AS138" s="265"/>
      <c r="AT138" s="265"/>
      <c r="AU138" s="265"/>
      <c r="AW138" s="265"/>
      <c r="AX138" s="265"/>
      <c r="AY138" s="265"/>
    </row>
    <row r="139" spans="1:51" ht="12.75" customHeight="1">
      <c r="A139" s="265" t="s">
        <v>376</v>
      </c>
      <c r="B139" s="265"/>
      <c r="C139" s="265"/>
      <c r="D139" s="265"/>
      <c r="E139" s="265"/>
      <c r="F139" s="287">
        <f t="shared" si="22"/>
        <v>0</v>
      </c>
      <c r="G139" s="287">
        <f t="shared" si="23"/>
        <v>0</v>
      </c>
      <c r="H139" s="287">
        <f t="shared" si="24"/>
        <v>0</v>
      </c>
      <c r="I139" s="287">
        <f t="shared" si="25"/>
        <v>0</v>
      </c>
      <c r="J139" s="287">
        <f t="shared" si="26"/>
        <v>7.2419336128465607E-3</v>
      </c>
      <c r="K139" s="287">
        <f t="shared" si="27"/>
        <v>6.13168983082825E-3</v>
      </c>
      <c r="L139" s="287">
        <f t="shared" si="27"/>
        <v>4.9356430852608149E-3</v>
      </c>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265"/>
      <c r="AW139" s="265"/>
      <c r="AX139" s="265"/>
      <c r="AY139" s="265"/>
    </row>
    <row r="140" spans="1:51" ht="13">
      <c r="A140" s="265" t="s">
        <v>377</v>
      </c>
      <c r="B140" s="265"/>
      <c r="C140" s="265"/>
      <c r="D140" s="265"/>
      <c r="E140" s="265"/>
      <c r="F140" s="287">
        <f t="shared" si="22"/>
        <v>1.2705329383828245E-2</v>
      </c>
      <c r="G140" s="287">
        <f t="shared" si="23"/>
        <v>1.2232415902140673E-2</v>
      </c>
      <c r="H140" s="287">
        <f t="shared" si="24"/>
        <v>8.0464119056627564E-3</v>
      </c>
      <c r="I140" s="287">
        <f t="shared" si="25"/>
        <v>5.8621714562739104E-3</v>
      </c>
      <c r="J140" s="287">
        <f t="shared" si="26"/>
        <v>0</v>
      </c>
      <c r="K140" s="287">
        <f t="shared" si="27"/>
        <v>7.1379158543487834E-3</v>
      </c>
      <c r="L140" s="287">
        <f t="shared" si="27"/>
        <v>5.2582341365850511E-3</v>
      </c>
      <c r="M140" s="265"/>
      <c r="N140" s="265"/>
      <c r="O140" s="265"/>
      <c r="P140" s="265"/>
      <c r="Q140" s="265"/>
      <c r="R140" s="265"/>
      <c r="S140" s="265"/>
      <c r="T140" s="265"/>
      <c r="U140" s="265"/>
      <c r="V140" s="265"/>
      <c r="W140" s="265"/>
      <c r="X140" s="265"/>
      <c r="Y140" s="265"/>
      <c r="Z140" s="265"/>
      <c r="AA140" s="265"/>
      <c r="AB140" s="265"/>
      <c r="AC140" s="265"/>
      <c r="AD140" s="265"/>
      <c r="AE140" s="265"/>
      <c r="AF140" s="265"/>
      <c r="AG140" s="265"/>
      <c r="AH140" s="265"/>
      <c r="AI140" s="265"/>
      <c r="AJ140" s="265"/>
      <c r="AK140" s="265"/>
      <c r="AL140" s="265"/>
      <c r="AM140" s="265"/>
      <c r="AN140" s="265"/>
      <c r="AO140" s="265"/>
      <c r="AP140" s="265"/>
      <c r="AQ140" s="265"/>
      <c r="AR140" s="265"/>
      <c r="AS140" s="265"/>
      <c r="AT140" s="265"/>
      <c r="AU140" s="265"/>
      <c r="AW140" s="265"/>
      <c r="AX140" s="265"/>
      <c r="AY140" s="265"/>
    </row>
    <row r="141" spans="1:51" ht="13">
      <c r="A141" s="265" t="s">
        <v>378</v>
      </c>
      <c r="B141" s="265"/>
      <c r="C141" s="265"/>
      <c r="D141" s="265"/>
      <c r="E141" s="265"/>
      <c r="F141" s="287">
        <f t="shared" si="22"/>
        <v>7.2413033366789878E-2</v>
      </c>
      <c r="G141" s="287">
        <f t="shared" si="23"/>
        <v>6.8646386608723645E-2</v>
      </c>
      <c r="H141" s="287">
        <f t="shared" si="24"/>
        <v>6.1066969353007948E-2</v>
      </c>
      <c r="I141" s="287">
        <f t="shared" si="25"/>
        <v>2.5134469475548753E-2</v>
      </c>
      <c r="J141" s="287">
        <f t="shared" si="26"/>
        <v>0</v>
      </c>
      <c r="K141" s="287">
        <f t="shared" si="27"/>
        <v>0</v>
      </c>
      <c r="L141" s="287">
        <f t="shared" si="27"/>
        <v>0</v>
      </c>
      <c r="M141" s="265"/>
      <c r="N141" s="265"/>
      <c r="O141" s="265"/>
      <c r="P141" s="265"/>
      <c r="Q141" s="265"/>
      <c r="R141" s="265"/>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5"/>
      <c r="AN141" s="265"/>
      <c r="AO141" s="265"/>
      <c r="AP141" s="265"/>
      <c r="AQ141" s="265"/>
      <c r="AR141" s="265"/>
      <c r="AS141" s="265"/>
      <c r="AT141" s="265"/>
      <c r="AU141" s="265"/>
      <c r="AW141" s="265"/>
      <c r="AX141" s="265"/>
      <c r="AY141" s="265"/>
    </row>
    <row r="142" spans="1:51" ht="13">
      <c r="A142" s="265" t="s">
        <v>368</v>
      </c>
      <c r="B142" s="265"/>
      <c r="C142" s="265"/>
      <c r="D142" s="265"/>
      <c r="E142" s="265"/>
      <c r="F142" s="287">
        <f t="shared" si="22"/>
        <v>8.7933609145878722E-2</v>
      </c>
      <c r="G142" s="287">
        <f t="shared" si="23"/>
        <v>9.5310907237512746E-2</v>
      </c>
      <c r="H142" s="287">
        <f t="shared" si="24"/>
        <v>6.2580401059402199E-2</v>
      </c>
      <c r="I142" s="287">
        <f t="shared" si="25"/>
        <v>5.2231646341653469E-2</v>
      </c>
      <c r="J142" s="287">
        <f t="shared" si="26"/>
        <v>5.321246872048125E-2</v>
      </c>
      <c r="K142" s="287">
        <f t="shared" si="27"/>
        <v>5.2512420602477829E-2</v>
      </c>
      <c r="L142" s="287">
        <f t="shared" si="27"/>
        <v>4.5614374657247006E-2</v>
      </c>
      <c r="M142" s="265"/>
      <c r="N142" s="265"/>
      <c r="O142" s="265"/>
      <c r="P142" s="265"/>
      <c r="Q142" s="265"/>
      <c r="R142" s="265"/>
      <c r="S142" s="265"/>
      <c r="T142" s="265"/>
      <c r="U142" s="265"/>
      <c r="V142" s="265"/>
      <c r="W142" s="265"/>
      <c r="X142" s="265"/>
      <c r="Y142" s="265"/>
      <c r="Z142" s="265"/>
      <c r="AA142" s="265"/>
      <c r="AB142" s="265"/>
      <c r="AC142" s="265"/>
      <c r="AD142" s="265"/>
      <c r="AE142" s="265"/>
      <c r="AF142" s="265"/>
      <c r="AG142" s="265"/>
      <c r="AH142" s="265"/>
      <c r="AI142" s="265"/>
      <c r="AJ142" s="265"/>
      <c r="AK142" s="265"/>
      <c r="AL142" s="265"/>
      <c r="AM142" s="265"/>
      <c r="AN142" s="265"/>
      <c r="AO142" s="265"/>
      <c r="AP142" s="265"/>
      <c r="AQ142" s="265"/>
      <c r="AR142" s="265"/>
      <c r="AS142" s="265"/>
      <c r="AT142" s="265"/>
      <c r="AU142" s="265"/>
      <c r="AW142" s="265"/>
      <c r="AX142" s="265"/>
      <c r="AY142" s="265"/>
    </row>
    <row r="143" spans="1:51" ht="13">
      <c r="A143" s="265"/>
      <c r="B143" s="265" t="s">
        <v>302</v>
      </c>
      <c r="C143" s="265"/>
      <c r="D143" s="265"/>
      <c r="E143" s="265"/>
      <c r="F143" s="287"/>
      <c r="G143" s="287"/>
      <c r="H143" s="287"/>
      <c r="I143" s="287"/>
      <c r="J143" s="287"/>
      <c r="K143" s="287"/>
      <c r="L143" s="287"/>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c r="AU143" s="265"/>
      <c r="AW143" s="265"/>
      <c r="AX143" s="265"/>
      <c r="AY143" s="265"/>
    </row>
    <row r="144" spans="1:51" ht="13">
      <c r="A144" s="285" t="s">
        <v>379</v>
      </c>
      <c r="B144" s="285"/>
      <c r="C144" s="285"/>
      <c r="D144" s="285"/>
      <c r="E144" s="285"/>
      <c r="F144" s="306">
        <f t="shared" ref="F144:F149" si="28">F98/$F$116</f>
        <v>0.13297755147004822</v>
      </c>
      <c r="G144" s="306">
        <f t="shared" ref="G144:G149" si="29">G98/$G$116</f>
        <v>0.13466387681742584</v>
      </c>
      <c r="H144" s="306">
        <f t="shared" ref="H144:H149" si="30">H98/$H$116</f>
        <v>0.13845377727330055</v>
      </c>
      <c r="I144" s="306">
        <f t="shared" ref="I144:I149" si="31">I98/$I$116</f>
        <v>0.15609646830431106</v>
      </c>
      <c r="J144" s="306">
        <f t="shared" ref="J144:J149" si="32">J98/$J$116</f>
        <v>0.16406211159537976</v>
      </c>
      <c r="K144" s="306">
        <f t="shared" ref="K144:L149" si="33">K98/K$116</f>
        <v>0.17030375448085025</v>
      </c>
      <c r="L144" s="306">
        <f t="shared" si="33"/>
        <v>0.16066647311203588</v>
      </c>
      <c r="M144" s="265"/>
      <c r="N144" s="265"/>
      <c r="O144" s="265"/>
      <c r="P144" s="265"/>
      <c r="Q144" s="265"/>
      <c r="R144" s="265"/>
      <c r="S144" s="265"/>
      <c r="T144" s="265"/>
      <c r="U144" s="265"/>
      <c r="V144" s="265"/>
      <c r="W144" s="265"/>
      <c r="X144" s="265"/>
      <c r="Y144" s="265"/>
      <c r="Z144" s="265"/>
      <c r="AA144" s="265"/>
      <c r="AB144" s="265"/>
      <c r="AC144" s="265"/>
      <c r="AD144" s="265"/>
      <c r="AE144" s="265"/>
      <c r="AF144" s="265"/>
      <c r="AG144" s="265"/>
      <c r="AH144" s="265"/>
      <c r="AI144" s="265"/>
      <c r="AJ144" s="265"/>
      <c r="AK144" s="265"/>
      <c r="AL144" s="265"/>
      <c r="AM144" s="265"/>
      <c r="AN144" s="265"/>
      <c r="AO144" s="265"/>
      <c r="AP144" s="265"/>
      <c r="AQ144" s="265"/>
      <c r="AR144" s="265"/>
      <c r="AS144" s="265"/>
      <c r="AT144" s="265"/>
      <c r="AU144" s="265"/>
      <c r="AW144" s="265"/>
      <c r="AX144" s="265"/>
      <c r="AY144" s="265"/>
    </row>
    <row r="145" spans="1:51" ht="13">
      <c r="A145" s="265" t="s">
        <v>380</v>
      </c>
      <c r="B145" s="265"/>
      <c r="C145" s="265"/>
      <c r="D145" s="265"/>
      <c r="E145" s="265"/>
      <c r="F145" s="287">
        <f t="shared" si="28"/>
        <v>6.0760361330754728E-2</v>
      </c>
      <c r="G145" s="287">
        <f t="shared" si="29"/>
        <v>5.7004131122914317E-2</v>
      </c>
      <c r="H145" s="287">
        <f t="shared" si="30"/>
        <v>6.205069996216421E-2</v>
      </c>
      <c r="I145" s="287">
        <f t="shared" si="31"/>
        <v>7.0645514637436568E-2</v>
      </c>
      <c r="J145" s="287">
        <f t="shared" si="32"/>
        <v>6.6983742936214646E-2</v>
      </c>
      <c r="K145" s="287">
        <f t="shared" si="33"/>
        <v>6.7747311489843406E-2</v>
      </c>
      <c r="L145" s="287">
        <f t="shared" si="33"/>
        <v>6.4792412658472853E-2</v>
      </c>
      <c r="M145" s="265"/>
      <c r="N145" s="265"/>
      <c r="O145" s="265"/>
      <c r="P145" s="265"/>
      <c r="Q145" s="265"/>
      <c r="R145" s="265"/>
      <c r="S145" s="265"/>
      <c r="T145" s="265"/>
      <c r="U145" s="265"/>
      <c r="V145" s="265"/>
      <c r="W145" s="265"/>
      <c r="X145" s="265"/>
      <c r="Y145" s="265"/>
      <c r="Z145" s="265"/>
      <c r="AA145" s="265"/>
      <c r="AB145" s="265"/>
      <c r="AC145" s="265"/>
      <c r="AD145" s="265"/>
      <c r="AE145" s="265"/>
      <c r="AF145" s="265"/>
      <c r="AG145" s="265"/>
      <c r="AH145" s="265"/>
      <c r="AI145" s="265"/>
      <c r="AJ145" s="265"/>
      <c r="AK145" s="265"/>
      <c r="AL145" s="265"/>
      <c r="AM145" s="265"/>
      <c r="AN145" s="265"/>
      <c r="AO145" s="265"/>
      <c r="AP145" s="265"/>
      <c r="AQ145" s="265"/>
      <c r="AR145" s="265"/>
      <c r="AS145" s="265"/>
      <c r="AT145" s="265"/>
      <c r="AU145" s="265"/>
      <c r="AW145" s="265"/>
      <c r="AX145" s="265"/>
      <c r="AY145" s="265"/>
    </row>
    <row r="146" spans="1:51" ht="13">
      <c r="A146" s="265" t="s">
        <v>395</v>
      </c>
      <c r="B146" s="265"/>
      <c r="C146" s="265"/>
      <c r="D146" s="265"/>
      <c r="E146" s="265"/>
      <c r="F146" s="287">
        <f t="shared" si="28"/>
        <v>1.2754290190702343E-2</v>
      </c>
      <c r="G146" s="287">
        <f t="shared" si="29"/>
        <v>1.4485755673587638E-2</v>
      </c>
      <c r="H146" s="287">
        <f t="shared" si="30"/>
        <v>1.2435363854206079E-2</v>
      </c>
      <c r="I146" s="287">
        <f t="shared" si="31"/>
        <v>2.0907263362499609E-2</v>
      </c>
      <c r="J146" s="287">
        <f t="shared" si="32"/>
        <v>2.8918018659993702E-2</v>
      </c>
      <c r="K146" s="287">
        <f t="shared" si="33"/>
        <v>3.8865480158480598E-2</v>
      </c>
      <c r="L146" s="287">
        <f t="shared" si="33"/>
        <v>2.4097551533920448E-2</v>
      </c>
      <c r="M146" s="265"/>
      <c r="N146" s="265"/>
      <c r="O146" s="265"/>
      <c r="P146" s="265"/>
      <c r="Q146" s="265"/>
      <c r="R146" s="265"/>
      <c r="S146" s="265"/>
      <c r="T146" s="265"/>
      <c r="U146" s="265"/>
      <c r="V146" s="265"/>
      <c r="W146" s="265"/>
      <c r="X146" s="265"/>
      <c r="Y146" s="265"/>
      <c r="Z146" s="265"/>
      <c r="AA146" s="265"/>
      <c r="AB146" s="265"/>
      <c r="AC146" s="265"/>
      <c r="AD146" s="265"/>
      <c r="AE146" s="265"/>
      <c r="AF146" s="265"/>
      <c r="AG146" s="265"/>
      <c r="AH146" s="265"/>
      <c r="AI146" s="265"/>
      <c r="AJ146" s="265"/>
      <c r="AK146" s="265"/>
      <c r="AL146" s="265"/>
      <c r="AM146" s="265"/>
      <c r="AN146" s="265"/>
      <c r="AO146" s="265"/>
      <c r="AP146" s="265"/>
      <c r="AQ146" s="265"/>
      <c r="AR146" s="265"/>
      <c r="AS146" s="265"/>
      <c r="AT146" s="265"/>
      <c r="AU146" s="265"/>
      <c r="AW146" s="265"/>
      <c r="AX146" s="265"/>
      <c r="AY146" s="265"/>
    </row>
    <row r="147" spans="1:51" ht="13">
      <c r="A147" s="265" t="s">
        <v>382</v>
      </c>
      <c r="B147" s="265"/>
      <c r="C147" s="265"/>
      <c r="D147" s="265"/>
      <c r="E147" s="265"/>
      <c r="F147" s="287">
        <f t="shared" si="28"/>
        <v>0</v>
      </c>
      <c r="G147" s="287">
        <f t="shared" si="29"/>
        <v>1.2903052738880842E-2</v>
      </c>
      <c r="H147" s="287">
        <f t="shared" si="30"/>
        <v>1.5941480640686088E-2</v>
      </c>
      <c r="I147" s="287">
        <f t="shared" si="31"/>
        <v>1.5419847149385612E-2</v>
      </c>
      <c r="J147" s="287">
        <f t="shared" si="32"/>
        <v>1.3539267189234873E-2</v>
      </c>
      <c r="K147" s="287">
        <f t="shared" si="33"/>
        <v>1.6854285893968934E-2</v>
      </c>
      <c r="L147" s="287">
        <f t="shared" si="33"/>
        <v>1.6581180038065742E-2</v>
      </c>
      <c r="M147" s="265"/>
      <c r="N147" s="265"/>
      <c r="O147" s="265"/>
      <c r="P147" s="265"/>
      <c r="Q147" s="265"/>
      <c r="R147" s="265"/>
      <c r="S147" s="265"/>
      <c r="T147" s="265"/>
      <c r="U147" s="265"/>
      <c r="V147" s="265"/>
      <c r="W147" s="265"/>
      <c r="X147" s="265"/>
      <c r="Y147" s="265"/>
      <c r="Z147" s="265"/>
      <c r="AA147" s="265"/>
      <c r="AB147" s="265"/>
      <c r="AC147" s="265"/>
      <c r="AD147" s="265"/>
      <c r="AE147" s="265"/>
      <c r="AF147" s="265"/>
      <c r="AG147" s="265"/>
      <c r="AH147" s="265"/>
      <c r="AI147" s="265"/>
      <c r="AJ147" s="265"/>
      <c r="AK147" s="265"/>
      <c r="AL147" s="265"/>
      <c r="AM147" s="265"/>
      <c r="AN147" s="265"/>
      <c r="AO147" s="265"/>
      <c r="AP147" s="265"/>
      <c r="AQ147" s="265"/>
      <c r="AR147" s="265"/>
      <c r="AS147" s="265"/>
      <c r="AT147" s="265"/>
      <c r="AU147" s="265"/>
      <c r="AW147" s="265"/>
      <c r="AX147" s="265"/>
      <c r="AY147" s="265"/>
    </row>
    <row r="148" spans="1:51" ht="13">
      <c r="A148" s="265" t="s">
        <v>383</v>
      </c>
      <c r="B148" s="265"/>
      <c r="C148" s="265"/>
      <c r="D148" s="265"/>
      <c r="E148" s="265"/>
      <c r="F148" s="287">
        <f t="shared" si="28"/>
        <v>0</v>
      </c>
      <c r="G148" s="287">
        <f t="shared" si="29"/>
        <v>0</v>
      </c>
      <c r="H148" s="287">
        <f t="shared" si="30"/>
        <v>0</v>
      </c>
      <c r="I148" s="287">
        <f t="shared" si="31"/>
        <v>0</v>
      </c>
      <c r="J148" s="287">
        <f t="shared" si="32"/>
        <v>7.3413651956316392E-3</v>
      </c>
      <c r="K148" s="287">
        <f t="shared" si="33"/>
        <v>6.7605810955285832E-3</v>
      </c>
      <c r="L148" s="287">
        <f t="shared" si="33"/>
        <v>9.4035291461014876E-3</v>
      </c>
      <c r="M148" s="265"/>
      <c r="N148" s="265"/>
      <c r="O148" s="265"/>
      <c r="P148" s="265"/>
      <c r="Q148" s="265"/>
      <c r="R148" s="265"/>
      <c r="S148" s="265"/>
      <c r="T148" s="265"/>
      <c r="U148" s="265"/>
      <c r="V148" s="265"/>
      <c r="W148" s="265"/>
      <c r="X148" s="265"/>
      <c r="Y148" s="265"/>
      <c r="Z148" s="265"/>
      <c r="AA148" s="265"/>
      <c r="AB148" s="265"/>
      <c r="AC148" s="265"/>
      <c r="AD148" s="265"/>
      <c r="AE148" s="265"/>
      <c r="AF148" s="265"/>
      <c r="AG148" s="265"/>
      <c r="AH148" s="265"/>
      <c r="AI148" s="265"/>
      <c r="AJ148" s="265"/>
      <c r="AK148" s="265"/>
      <c r="AL148" s="265"/>
      <c r="AM148" s="265"/>
      <c r="AN148" s="265"/>
      <c r="AO148" s="265"/>
      <c r="AP148" s="265"/>
      <c r="AQ148" s="265"/>
      <c r="AR148" s="265"/>
      <c r="AS148" s="265"/>
      <c r="AT148" s="265"/>
      <c r="AU148" s="265"/>
      <c r="AW148" s="265"/>
      <c r="AX148" s="265"/>
      <c r="AY148" s="265"/>
    </row>
    <row r="149" spans="1:51" ht="13">
      <c r="A149" s="265" t="s">
        <v>368</v>
      </c>
      <c r="B149" s="265"/>
      <c r="C149" s="265"/>
      <c r="D149" s="265"/>
      <c r="E149" s="265"/>
      <c r="F149" s="287">
        <f t="shared" si="28"/>
        <v>5.946289994859115E-2</v>
      </c>
      <c r="G149" s="287">
        <f t="shared" si="29"/>
        <v>6.3173990020923859E-2</v>
      </c>
      <c r="H149" s="287">
        <f t="shared" si="30"/>
        <v>4.8026232816244165E-2</v>
      </c>
      <c r="I149" s="287">
        <f t="shared" si="31"/>
        <v>4.9123843154989265E-2</v>
      </c>
      <c r="J149" s="287">
        <f t="shared" si="32"/>
        <v>4.7279717614304891E-2</v>
      </c>
      <c r="K149" s="287">
        <f t="shared" si="33"/>
        <v>4.0076095843028743E-2</v>
      </c>
      <c r="L149" s="287">
        <f t="shared" si="33"/>
        <v>4.5791799735475334E-2</v>
      </c>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c r="AW149" s="265"/>
      <c r="AX149" s="265"/>
      <c r="AY149" s="265"/>
    </row>
    <row r="150" spans="1:51" ht="13">
      <c r="A150" s="265"/>
      <c r="B150" s="265"/>
      <c r="C150" s="265"/>
      <c r="D150" s="265"/>
      <c r="E150" s="265"/>
      <c r="F150" s="287"/>
      <c r="G150" s="287"/>
      <c r="H150" s="287"/>
      <c r="I150" s="287"/>
      <c r="J150" s="287"/>
      <c r="K150" s="287"/>
      <c r="L150" s="287"/>
      <c r="M150" s="265"/>
      <c r="N150" s="265"/>
      <c r="O150" s="265"/>
      <c r="P150" s="265"/>
      <c r="Q150" s="265"/>
      <c r="R150" s="265"/>
      <c r="S150" s="265"/>
      <c r="T150" s="265"/>
      <c r="U150" s="265"/>
      <c r="V150" s="265"/>
      <c r="W150" s="265"/>
      <c r="X150" s="265"/>
      <c r="Y150" s="265"/>
      <c r="Z150" s="265"/>
      <c r="AA150" s="265"/>
      <c r="AB150" s="265"/>
      <c r="AC150" s="265"/>
      <c r="AD150" s="265"/>
      <c r="AE150" s="265"/>
      <c r="AF150" s="265"/>
      <c r="AG150" s="265"/>
      <c r="AH150" s="265"/>
      <c r="AI150" s="265"/>
      <c r="AJ150" s="265"/>
      <c r="AK150" s="265"/>
      <c r="AL150" s="265"/>
      <c r="AM150" s="265"/>
      <c r="AN150" s="265"/>
      <c r="AO150" s="265"/>
      <c r="AP150" s="265"/>
      <c r="AQ150" s="265"/>
      <c r="AR150" s="265"/>
      <c r="AS150" s="265"/>
      <c r="AT150" s="265"/>
      <c r="AU150" s="265"/>
      <c r="AW150" s="265"/>
      <c r="AX150" s="265"/>
      <c r="AY150" s="265"/>
    </row>
    <row r="151" spans="1:51" ht="13">
      <c r="A151" s="285" t="s">
        <v>384</v>
      </c>
      <c r="B151" s="285"/>
      <c r="C151" s="285"/>
      <c r="D151" s="285"/>
      <c r="E151" s="285"/>
      <c r="F151" s="306">
        <f t="shared" ref="F151:F160" si="34">F105/$F$116</f>
        <v>0.26108350265612379</v>
      </c>
      <c r="G151" s="306">
        <f t="shared" ref="G151:G160" si="35">G105/$G$116</f>
        <v>0.2697837866838349</v>
      </c>
      <c r="H151" s="306">
        <f t="shared" ref="H151:H160" si="36">H105/$H$116</f>
        <v>0.28215411779543448</v>
      </c>
      <c r="I151" s="306">
        <f t="shared" ref="I151:I160" si="37">I105/$I$116</f>
        <v>0.2807367689346838</v>
      </c>
      <c r="J151" s="306">
        <f t="shared" ref="J151:J160" si="38">J105/$J$116</f>
        <v>0.29693585005717316</v>
      </c>
      <c r="K151" s="306">
        <f t="shared" ref="K151:L160" si="39">K105/K$116</f>
        <v>0.29083076536066915</v>
      </c>
      <c r="L151" s="306">
        <f t="shared" si="39"/>
        <v>0.29276750862931061</v>
      </c>
      <c r="M151" s="265"/>
      <c r="N151" s="265"/>
      <c r="O151" s="265"/>
      <c r="P151" s="265"/>
      <c r="Q151" s="265"/>
      <c r="R151" s="265"/>
      <c r="S151" s="265"/>
      <c r="T151" s="265"/>
      <c r="U151" s="265"/>
      <c r="V151" s="265"/>
      <c r="W151" s="265"/>
      <c r="X151" s="265"/>
      <c r="Y151" s="265"/>
      <c r="Z151" s="265"/>
      <c r="AA151" s="265"/>
      <c r="AB151" s="265"/>
      <c r="AC151" s="265"/>
      <c r="AD151" s="265"/>
      <c r="AE151" s="265"/>
      <c r="AF151" s="265"/>
      <c r="AG151" s="265"/>
      <c r="AH151" s="265"/>
      <c r="AI151" s="265"/>
      <c r="AJ151" s="265"/>
      <c r="AK151" s="265"/>
      <c r="AL151" s="265"/>
      <c r="AM151" s="265"/>
      <c r="AN151" s="265"/>
      <c r="AO151" s="265"/>
      <c r="AP151" s="265"/>
      <c r="AQ151" s="265"/>
      <c r="AR151" s="265"/>
      <c r="AS151" s="265"/>
      <c r="AT151" s="265"/>
      <c r="AU151" s="265"/>
      <c r="AW151" s="265"/>
      <c r="AX151" s="265"/>
      <c r="AY151" s="265"/>
    </row>
    <row r="152" spans="1:51" ht="13">
      <c r="A152" s="265" t="s">
        <v>385</v>
      </c>
      <c r="B152" s="265"/>
      <c r="C152" s="265"/>
      <c r="D152" s="265"/>
      <c r="E152" s="265"/>
      <c r="F152" s="287">
        <f t="shared" si="34"/>
        <v>0.1093050013464222</v>
      </c>
      <c r="G152" s="287">
        <f t="shared" si="35"/>
        <v>0.12253876280916358</v>
      </c>
      <c r="H152" s="287">
        <f t="shared" si="36"/>
        <v>0.12109976037331316</v>
      </c>
      <c r="I152" s="287">
        <f t="shared" si="37"/>
        <v>0.12186515546031942</v>
      </c>
      <c r="J152" s="287">
        <f t="shared" si="38"/>
        <v>0.17069088378105166</v>
      </c>
      <c r="K152" s="287">
        <f t="shared" si="39"/>
        <v>0.16420350921325702</v>
      </c>
      <c r="L152" s="287">
        <f t="shared" si="39"/>
        <v>0.16873124939514178</v>
      </c>
      <c r="M152" s="265"/>
      <c r="N152" s="265"/>
      <c r="O152" s="265"/>
      <c r="P152" s="265"/>
      <c r="Q152" s="265"/>
      <c r="R152" s="265"/>
      <c r="S152" s="265"/>
      <c r="T152" s="265"/>
      <c r="U152" s="265"/>
      <c r="V152" s="265"/>
      <c r="W152" s="265"/>
      <c r="X152" s="265"/>
      <c r="Y152" s="265"/>
      <c r="Z152" s="265"/>
      <c r="AA152" s="265"/>
      <c r="AB152" s="265"/>
      <c r="AC152" s="265"/>
      <c r="AD152" s="265"/>
      <c r="AE152" s="265"/>
      <c r="AF152" s="265"/>
      <c r="AG152" s="265"/>
      <c r="AH152" s="265"/>
      <c r="AI152" s="265"/>
      <c r="AJ152" s="265"/>
      <c r="AK152" s="265"/>
      <c r="AL152" s="265"/>
      <c r="AM152" s="265"/>
      <c r="AN152" s="265"/>
      <c r="AO152" s="265"/>
      <c r="AP152" s="265"/>
      <c r="AQ152" s="265"/>
      <c r="AR152" s="265"/>
      <c r="AS152" s="265"/>
      <c r="AT152" s="265"/>
      <c r="AU152" s="265"/>
      <c r="AW152" s="265"/>
      <c r="AX152" s="265"/>
      <c r="AY152" s="265"/>
    </row>
    <row r="153" spans="1:51" ht="13">
      <c r="A153" s="265" t="s">
        <v>386</v>
      </c>
      <c r="B153" s="265"/>
      <c r="C153" s="265"/>
      <c r="D153" s="265"/>
      <c r="E153" s="265"/>
      <c r="F153" s="287">
        <f t="shared" si="34"/>
        <v>4.3844402555754121E-2</v>
      </c>
      <c r="G153" s="287">
        <f t="shared" si="35"/>
        <v>5.0458715596330278E-2</v>
      </c>
      <c r="H153" s="287">
        <f t="shared" si="36"/>
        <v>5.5896077689494263E-2</v>
      </c>
      <c r="I153" s="287">
        <f t="shared" si="37"/>
        <v>4.9376868202499459E-2</v>
      </c>
      <c r="J153" s="287">
        <f t="shared" si="38"/>
        <v>3.9308619061034417E-2</v>
      </c>
      <c r="K153" s="287">
        <f t="shared" si="39"/>
        <v>4.4211055908433432E-2</v>
      </c>
      <c r="L153" s="287">
        <f t="shared" si="39"/>
        <v>4.4356269557082488E-2</v>
      </c>
      <c r="M153" s="265"/>
      <c r="N153" s="265"/>
      <c r="O153" s="265"/>
      <c r="P153" s="265"/>
      <c r="Q153" s="265"/>
      <c r="R153" s="265"/>
      <c r="S153" s="265"/>
      <c r="T153" s="265"/>
      <c r="U153" s="265"/>
      <c r="V153" s="265"/>
      <c r="W153" s="265"/>
      <c r="X153" s="265"/>
      <c r="Y153" s="265"/>
      <c r="Z153" s="265"/>
      <c r="AA153" s="265"/>
      <c r="AB153" s="265"/>
      <c r="AC153" s="265"/>
      <c r="AD153" s="265"/>
      <c r="AE153" s="265"/>
      <c r="AF153" s="265"/>
      <c r="AG153" s="265"/>
      <c r="AH153" s="265"/>
      <c r="AI153" s="265"/>
      <c r="AJ153" s="265"/>
      <c r="AK153" s="265"/>
      <c r="AL153" s="265"/>
      <c r="AM153" s="265"/>
      <c r="AN153" s="265"/>
      <c r="AO153" s="265"/>
      <c r="AP153" s="265"/>
      <c r="AQ153" s="265"/>
      <c r="AR153" s="265"/>
      <c r="AS153" s="265"/>
      <c r="AT153" s="265"/>
      <c r="AU153" s="265"/>
      <c r="AW153" s="265"/>
      <c r="AX153" s="265"/>
      <c r="AY153" s="265"/>
    </row>
    <row r="154" spans="1:51" ht="13">
      <c r="A154" s="265" t="s">
        <v>387</v>
      </c>
      <c r="B154" s="265"/>
      <c r="C154" s="265"/>
      <c r="D154" s="265"/>
      <c r="E154" s="265"/>
      <c r="F154" s="287">
        <f t="shared" si="34"/>
        <v>3.3978799970623516E-2</v>
      </c>
      <c r="G154" s="287">
        <f t="shared" si="35"/>
        <v>3.1493105853318312E-2</v>
      </c>
      <c r="H154" s="287">
        <f t="shared" si="36"/>
        <v>3.9197881195611045E-2</v>
      </c>
      <c r="I154" s="287">
        <f t="shared" si="37"/>
        <v>3.2955022254482921E-2</v>
      </c>
      <c r="J154" s="287">
        <f t="shared" si="38"/>
        <v>2.6316225577117477E-2</v>
      </c>
      <c r="K154" s="287">
        <f t="shared" si="39"/>
        <v>2.7938494434312306E-2</v>
      </c>
      <c r="L154" s="287">
        <f t="shared" si="39"/>
        <v>2.7258943836897965E-2</v>
      </c>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5"/>
      <c r="AK154" s="265"/>
      <c r="AL154" s="265"/>
      <c r="AM154" s="265"/>
      <c r="AN154" s="265"/>
      <c r="AO154" s="265"/>
      <c r="AP154" s="265"/>
      <c r="AQ154" s="265"/>
      <c r="AR154" s="265"/>
      <c r="AS154" s="265"/>
      <c r="AT154" s="265"/>
      <c r="AU154" s="265"/>
      <c r="AW154" s="265"/>
      <c r="AX154" s="265"/>
      <c r="AY154" s="265"/>
    </row>
    <row r="155" spans="1:51" ht="13">
      <c r="A155" s="265" t="s">
        <v>388</v>
      </c>
      <c r="B155" s="265"/>
      <c r="C155" s="265"/>
      <c r="D155" s="265"/>
      <c r="E155" s="265"/>
      <c r="F155" s="287">
        <f t="shared" si="34"/>
        <v>1.8849910646527454E-2</v>
      </c>
      <c r="G155" s="287">
        <f t="shared" si="35"/>
        <v>1.7007350179730672E-2</v>
      </c>
      <c r="H155" s="287">
        <f t="shared" si="36"/>
        <v>2.0204313280363224E-2</v>
      </c>
      <c r="I155" s="287">
        <f t="shared" si="37"/>
        <v>1.8779225695197656E-2</v>
      </c>
      <c r="J155" s="287">
        <f t="shared" si="38"/>
        <v>1.6522214672787233E-2</v>
      </c>
      <c r="K155" s="287">
        <f t="shared" si="39"/>
        <v>1.5565058801333249E-2</v>
      </c>
      <c r="L155" s="287">
        <f t="shared" si="39"/>
        <v>1.6032775250814542E-2</v>
      </c>
      <c r="M155" s="265"/>
      <c r="N155" s="265"/>
      <c r="O155" s="265"/>
      <c r="P155" s="265"/>
      <c r="Q155" s="265"/>
      <c r="R155" s="265"/>
      <c r="S155" s="265"/>
      <c r="T155" s="265"/>
      <c r="U155" s="265"/>
      <c r="V155" s="265"/>
      <c r="W155" s="265"/>
      <c r="X155" s="265"/>
      <c r="Y155" s="265"/>
      <c r="Z155" s="265"/>
      <c r="AA155" s="265"/>
      <c r="AB155" s="265"/>
      <c r="AC155" s="265"/>
      <c r="AD155" s="265"/>
      <c r="AE155" s="265"/>
      <c r="AF155" s="265"/>
      <c r="AG155" s="265"/>
      <c r="AH155" s="265"/>
      <c r="AI155" s="265"/>
      <c r="AJ155" s="265"/>
      <c r="AK155" s="265"/>
      <c r="AL155" s="265"/>
      <c r="AM155" s="265"/>
      <c r="AN155" s="265"/>
      <c r="AO155" s="265"/>
      <c r="AP155" s="265"/>
      <c r="AQ155" s="265"/>
      <c r="AR155" s="265"/>
      <c r="AS155" s="265"/>
      <c r="AT155" s="265"/>
      <c r="AU155" s="265"/>
      <c r="AW155" s="265"/>
      <c r="AX155" s="265"/>
      <c r="AY155" s="265"/>
    </row>
    <row r="156" spans="1:51" ht="13">
      <c r="A156" s="265" t="s">
        <v>389</v>
      </c>
      <c r="B156" s="265"/>
      <c r="C156" s="265"/>
      <c r="D156" s="265"/>
      <c r="E156" s="265"/>
      <c r="F156" s="287">
        <f t="shared" si="34"/>
        <v>0</v>
      </c>
      <c r="G156" s="287">
        <f t="shared" si="35"/>
        <v>0</v>
      </c>
      <c r="H156" s="287">
        <f t="shared" si="36"/>
        <v>0</v>
      </c>
      <c r="I156" s="287">
        <f t="shared" si="37"/>
        <v>0</v>
      </c>
      <c r="J156" s="287">
        <f t="shared" si="38"/>
        <v>1.453358301708566E-2</v>
      </c>
      <c r="K156" s="287">
        <f t="shared" si="39"/>
        <v>1.1634488396956166E-2</v>
      </c>
      <c r="L156" s="287">
        <f t="shared" si="39"/>
        <v>9.0809380947772505E-3</v>
      </c>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W156" s="265"/>
      <c r="AX156" s="265"/>
      <c r="AY156" s="265"/>
    </row>
    <row r="157" spans="1:51" ht="13">
      <c r="A157" s="265" t="s">
        <v>390</v>
      </c>
      <c r="B157" s="265"/>
      <c r="C157" s="265"/>
      <c r="D157" s="265"/>
      <c r="E157" s="265"/>
      <c r="F157" s="287">
        <f t="shared" si="34"/>
        <v>0</v>
      </c>
      <c r="G157" s="287">
        <f t="shared" si="35"/>
        <v>0</v>
      </c>
      <c r="H157" s="287">
        <f t="shared" si="36"/>
        <v>0</v>
      </c>
      <c r="I157" s="287">
        <f t="shared" si="37"/>
        <v>0</v>
      </c>
      <c r="J157" s="287">
        <f t="shared" si="38"/>
        <v>1.0672323218931773E-2</v>
      </c>
      <c r="K157" s="287">
        <f t="shared" si="39"/>
        <v>1.0989874850638324E-2</v>
      </c>
      <c r="L157" s="287">
        <f t="shared" si="39"/>
        <v>1.3097196683763992E-2</v>
      </c>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65"/>
      <c r="AK157" s="265"/>
      <c r="AL157" s="265"/>
      <c r="AM157" s="265"/>
      <c r="AN157" s="265"/>
      <c r="AO157" s="265"/>
      <c r="AP157" s="265"/>
      <c r="AQ157" s="265"/>
      <c r="AR157" s="265"/>
      <c r="AS157" s="265"/>
      <c r="AT157" s="265"/>
      <c r="AU157" s="265"/>
      <c r="AW157" s="265"/>
      <c r="AX157" s="265"/>
      <c r="AY157" s="265"/>
    </row>
    <row r="158" spans="1:51" ht="13">
      <c r="A158" s="265" t="s">
        <v>391</v>
      </c>
      <c r="B158" s="265"/>
      <c r="C158" s="265"/>
      <c r="D158" s="265"/>
      <c r="E158" s="265"/>
      <c r="F158" s="287">
        <f t="shared" si="34"/>
        <v>0</v>
      </c>
      <c r="G158" s="287">
        <f t="shared" si="35"/>
        <v>0</v>
      </c>
      <c r="H158" s="287">
        <f t="shared" si="36"/>
        <v>0</v>
      </c>
      <c r="I158" s="287">
        <f t="shared" si="37"/>
        <v>0</v>
      </c>
      <c r="J158" s="287">
        <f t="shared" si="38"/>
        <v>4.2092703379016626E-3</v>
      </c>
      <c r="K158" s="287">
        <f t="shared" si="39"/>
        <v>5.2355197786302749E-3</v>
      </c>
      <c r="L158" s="287">
        <f t="shared" si="39"/>
        <v>3.7259266427949289E-3</v>
      </c>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W158" s="265"/>
      <c r="AX158" s="265"/>
      <c r="AY158" s="265"/>
    </row>
    <row r="159" spans="1:51" ht="13">
      <c r="A159" s="265" t="s">
        <v>392</v>
      </c>
      <c r="B159" s="265"/>
      <c r="C159" s="265"/>
      <c r="D159" s="265"/>
      <c r="E159" s="265"/>
      <c r="F159" s="287">
        <f t="shared" si="34"/>
        <v>0</v>
      </c>
      <c r="G159" s="287">
        <f t="shared" si="35"/>
        <v>0</v>
      </c>
      <c r="H159" s="287">
        <f t="shared" si="36"/>
        <v>0</v>
      </c>
      <c r="I159" s="287">
        <f t="shared" si="37"/>
        <v>0</v>
      </c>
      <c r="J159" s="287">
        <f t="shared" si="38"/>
        <v>2.6846527351971233E-3</v>
      </c>
      <c r="K159" s="287">
        <f t="shared" si="39"/>
        <v>2.1696748632161499E-3</v>
      </c>
      <c r="L159" s="287">
        <f t="shared" si="39"/>
        <v>1.6936030194522403E-3</v>
      </c>
      <c r="M159" s="265"/>
      <c r="N159" s="265"/>
      <c r="O159" s="265"/>
      <c r="P159" s="265"/>
      <c r="Q159" s="265"/>
      <c r="R159" s="265"/>
      <c r="S159" s="265"/>
      <c r="T159" s="265"/>
      <c r="U159" s="265"/>
      <c r="V159" s="265"/>
      <c r="W159" s="265"/>
      <c r="X159" s="265"/>
      <c r="Y159" s="265"/>
      <c r="Z159" s="265"/>
      <c r="AA159" s="265"/>
      <c r="AB159" s="265"/>
      <c r="AC159" s="265"/>
      <c r="AD159" s="265"/>
      <c r="AE159" s="265"/>
      <c r="AF159" s="265"/>
      <c r="AG159" s="265"/>
      <c r="AH159" s="265"/>
      <c r="AI159" s="265"/>
      <c r="AJ159" s="265"/>
      <c r="AK159" s="265"/>
      <c r="AL159" s="265"/>
      <c r="AM159" s="265"/>
      <c r="AN159" s="265"/>
      <c r="AO159" s="265"/>
      <c r="AP159" s="265"/>
      <c r="AQ159" s="265"/>
      <c r="AR159" s="265"/>
      <c r="AS159" s="265"/>
      <c r="AT159" s="265"/>
      <c r="AU159" s="265"/>
      <c r="AW159" s="265"/>
      <c r="AX159" s="265"/>
      <c r="AY159" s="265"/>
    </row>
    <row r="160" spans="1:51" ht="13">
      <c r="A160" s="265" t="s">
        <v>368</v>
      </c>
      <c r="B160" s="265"/>
      <c r="C160" s="265"/>
      <c r="D160" s="265"/>
      <c r="E160" s="265"/>
      <c r="F160" s="287">
        <f t="shared" si="34"/>
        <v>5.5105388136796496E-2</v>
      </c>
      <c r="G160" s="287">
        <f t="shared" si="35"/>
        <v>4.8285852245292131E-2</v>
      </c>
      <c r="H160" s="287">
        <f t="shared" si="36"/>
        <v>4.5756085256652791E-2</v>
      </c>
      <c r="I160" s="287">
        <f t="shared" si="37"/>
        <v>5.7760497322184308E-2</v>
      </c>
      <c r="J160" s="287">
        <f t="shared" si="38"/>
        <v>1.1998077656066156E-2</v>
      </c>
      <c r="K160" s="287">
        <f t="shared" si="39"/>
        <v>8.8830891138922084E-3</v>
      </c>
      <c r="L160" s="287">
        <f t="shared" si="39"/>
        <v>8.7906061485854385E-3</v>
      </c>
      <c r="M160" s="265"/>
      <c r="N160" s="265"/>
      <c r="O160" s="265"/>
      <c r="P160" s="265"/>
      <c r="Q160" s="265"/>
      <c r="R160" s="265"/>
      <c r="S160" s="265"/>
      <c r="T160" s="265"/>
      <c r="U160" s="265"/>
      <c r="V160" s="265"/>
      <c r="W160" s="265"/>
      <c r="X160" s="265"/>
      <c r="Y160" s="265"/>
      <c r="Z160" s="265"/>
      <c r="AA160" s="265"/>
      <c r="AB160" s="265"/>
      <c r="AC160" s="265"/>
      <c r="AD160" s="265"/>
      <c r="AE160" s="265"/>
      <c r="AF160" s="265"/>
      <c r="AG160" s="265"/>
      <c r="AH160" s="265"/>
      <c r="AI160" s="265"/>
      <c r="AJ160" s="265"/>
      <c r="AK160" s="265"/>
      <c r="AL160" s="265"/>
      <c r="AM160" s="265"/>
      <c r="AN160" s="265"/>
      <c r="AO160" s="265"/>
      <c r="AP160" s="265"/>
      <c r="AQ160" s="265"/>
      <c r="AR160" s="265"/>
      <c r="AS160" s="265"/>
      <c r="AT160" s="265"/>
      <c r="AU160" s="265"/>
      <c r="AW160" s="265"/>
      <c r="AX160" s="265"/>
      <c r="AY160" s="265"/>
    </row>
    <row r="161" spans="1:51" ht="13">
      <c r="A161" s="265"/>
      <c r="B161" s="265" t="s">
        <v>302</v>
      </c>
      <c r="C161" s="265"/>
      <c r="D161" s="265"/>
      <c r="E161" s="265"/>
      <c r="F161" s="287"/>
      <c r="G161" s="287"/>
      <c r="H161" s="287"/>
      <c r="I161" s="287"/>
      <c r="J161" s="287"/>
      <c r="K161" s="287"/>
      <c r="L161" s="287"/>
      <c r="M161" s="265"/>
      <c r="N161" s="265"/>
      <c r="O161" s="265"/>
      <c r="P161" s="265"/>
      <c r="Q161" s="265"/>
      <c r="R161" s="265"/>
      <c r="S161" s="265"/>
      <c r="T161" s="265"/>
      <c r="U161" s="265"/>
      <c r="V161" s="265"/>
      <c r="W161" s="265"/>
      <c r="X161" s="265"/>
      <c r="Y161" s="265"/>
      <c r="Z161" s="265"/>
      <c r="AA161" s="265"/>
      <c r="AB161" s="265"/>
      <c r="AC161" s="265"/>
      <c r="AD161" s="265"/>
      <c r="AE161" s="265"/>
      <c r="AF161" s="265"/>
      <c r="AG161" s="265"/>
      <c r="AH161" s="265"/>
      <c r="AI161" s="265"/>
      <c r="AJ161" s="265"/>
      <c r="AK161" s="265"/>
      <c r="AL161" s="265"/>
      <c r="AM161" s="265"/>
      <c r="AN161" s="265"/>
      <c r="AO161" s="265"/>
      <c r="AP161" s="265"/>
      <c r="AQ161" s="265"/>
      <c r="AR161" s="265"/>
      <c r="AS161" s="265"/>
      <c r="AT161" s="265"/>
      <c r="AU161" s="265"/>
      <c r="AW161" s="265"/>
      <c r="AX161" s="265"/>
      <c r="AY161" s="265"/>
    </row>
    <row r="162" spans="1:51" ht="13">
      <c r="A162" s="285" t="s">
        <v>393</v>
      </c>
      <c r="B162" s="285"/>
      <c r="C162" s="285"/>
      <c r="D162" s="285"/>
      <c r="E162" s="285"/>
      <c r="F162" s="306">
        <f>F119+F124+F132+F144+F151</f>
        <v>1</v>
      </c>
      <c r="G162" s="306">
        <f>G119+G124+G132+G144+G151</f>
        <v>1</v>
      </c>
      <c r="H162" s="306">
        <f>H119+H124+H132+H144+H151</f>
        <v>1</v>
      </c>
      <c r="I162" s="306">
        <f>I119+I124+I132+I144+I151</f>
        <v>1</v>
      </c>
      <c r="J162" s="306">
        <f>SUM(J119,J124,J132,J144,J151)</f>
        <v>1</v>
      </c>
      <c r="K162" s="306">
        <f>SUM(K119,K124,K132,K144,K151)</f>
        <v>1</v>
      </c>
      <c r="L162" s="306">
        <f>SUM(L119,L124,L132,L144,L151)</f>
        <v>1</v>
      </c>
      <c r="M162" s="265"/>
      <c r="N162" s="265"/>
      <c r="O162" s="265"/>
      <c r="P162" s="265"/>
      <c r="Q162" s="265"/>
      <c r="R162" s="265"/>
      <c r="S162" s="265"/>
      <c r="T162" s="265"/>
      <c r="U162" s="265"/>
      <c r="V162" s="265"/>
      <c r="W162" s="265"/>
      <c r="X162" s="265"/>
      <c r="Y162" s="265"/>
      <c r="Z162" s="265"/>
      <c r="AA162" s="265"/>
      <c r="AB162" s="265"/>
      <c r="AC162" s="265"/>
      <c r="AD162" s="265"/>
      <c r="AE162" s="265"/>
      <c r="AF162" s="265"/>
      <c r="AG162" s="265"/>
      <c r="AH162" s="265"/>
      <c r="AI162" s="265"/>
      <c r="AJ162" s="265"/>
      <c r="AK162" s="265"/>
      <c r="AL162" s="265"/>
      <c r="AM162" s="265"/>
      <c r="AN162" s="265"/>
      <c r="AO162" s="265"/>
      <c r="AP162" s="265"/>
      <c r="AQ162" s="265"/>
      <c r="AR162" s="265"/>
      <c r="AS162" s="265"/>
      <c r="AT162" s="265"/>
      <c r="AU162" s="265"/>
      <c r="AW162" s="265"/>
      <c r="AX162" s="265"/>
      <c r="AY162" s="265"/>
    </row>
    <row r="163" spans="1:51" ht="13">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265"/>
      <c r="AE163" s="265"/>
      <c r="AF163" s="265"/>
      <c r="AG163" s="265"/>
      <c r="AH163" s="265"/>
      <c r="AI163" s="265"/>
      <c r="AJ163" s="265"/>
      <c r="AK163" s="265"/>
      <c r="AL163" s="265"/>
      <c r="AM163" s="265"/>
      <c r="AN163" s="265"/>
      <c r="AO163" s="265"/>
      <c r="AP163" s="265"/>
      <c r="AQ163" s="265"/>
      <c r="AR163" s="265"/>
      <c r="AS163" s="265"/>
      <c r="AT163" s="265"/>
      <c r="AU163" s="265"/>
      <c r="AW163" s="265"/>
      <c r="AX163" s="265"/>
      <c r="AY163" s="265"/>
    </row>
    <row r="164" spans="1:51" ht="13">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c r="AA164" s="265"/>
      <c r="AB164" s="265"/>
      <c r="AC164" s="265"/>
      <c r="AD164" s="265"/>
      <c r="AE164" s="265"/>
      <c r="AF164" s="265"/>
      <c r="AG164" s="265"/>
      <c r="AH164" s="265"/>
      <c r="AI164" s="265"/>
      <c r="AJ164" s="265"/>
      <c r="AK164" s="265"/>
      <c r="AL164" s="265"/>
      <c r="AM164" s="265"/>
      <c r="AN164" s="265"/>
      <c r="AO164" s="265"/>
      <c r="AP164" s="265"/>
      <c r="AQ164" s="265"/>
      <c r="AR164" s="265"/>
      <c r="AS164" s="265"/>
      <c r="AT164" s="265"/>
      <c r="AU164" s="265"/>
      <c r="AW164" s="265"/>
      <c r="AX164" s="265"/>
      <c r="AY164" s="265"/>
    </row>
    <row r="165" spans="1:51" ht="13">
      <c r="A165" s="297" t="s">
        <v>378</v>
      </c>
      <c r="B165" s="298">
        <f t="shared" ref="B165:I165" si="40">B3</f>
        <v>2015</v>
      </c>
      <c r="C165" s="298">
        <f t="shared" si="40"/>
        <v>2016</v>
      </c>
      <c r="D165" s="298">
        <f t="shared" si="40"/>
        <v>2017</v>
      </c>
      <c r="E165" s="298">
        <f t="shared" si="40"/>
        <v>2018</v>
      </c>
      <c r="F165" s="298">
        <f t="shared" si="40"/>
        <v>2019</v>
      </c>
      <c r="G165" s="298">
        <f t="shared" si="40"/>
        <v>2020</v>
      </c>
      <c r="H165" s="298">
        <f t="shared" si="40"/>
        <v>2021</v>
      </c>
      <c r="I165" s="298">
        <f t="shared" si="40"/>
        <v>2022</v>
      </c>
      <c r="J165" s="298">
        <v>2023</v>
      </c>
      <c r="K165" s="298">
        <v>2024</v>
      </c>
      <c r="L165" s="270"/>
      <c r="M165" s="269"/>
      <c r="N165" s="158" t="s">
        <v>264</v>
      </c>
      <c r="O165" s="158"/>
      <c r="P165" s="158" t="s">
        <v>266</v>
      </c>
      <c r="Q165" s="159" t="s">
        <v>267</v>
      </c>
      <c r="R165" s="158" t="s">
        <v>128</v>
      </c>
      <c r="S165" s="158" t="s">
        <v>129</v>
      </c>
      <c r="T165" s="158" t="s">
        <v>130</v>
      </c>
      <c r="U165" s="159" t="s">
        <v>131</v>
      </c>
      <c r="V165" s="158" t="s">
        <v>132</v>
      </c>
      <c r="W165" s="158" t="s">
        <v>133</v>
      </c>
      <c r="X165" s="158" t="s">
        <v>134</v>
      </c>
      <c r="Y165" s="159" t="s">
        <v>135</v>
      </c>
      <c r="Z165" s="158" t="s">
        <v>136</v>
      </c>
      <c r="AA165" s="158" t="s">
        <v>137</v>
      </c>
      <c r="AB165" s="158" t="s">
        <v>138</v>
      </c>
      <c r="AC165" s="159" t="s">
        <v>139</v>
      </c>
      <c r="AD165" s="158" t="s">
        <v>140</v>
      </c>
      <c r="AE165" s="158" t="s">
        <v>141</v>
      </c>
      <c r="AF165" s="158" t="s">
        <v>142</v>
      </c>
      <c r="AG165" s="159" t="s">
        <v>143</v>
      </c>
      <c r="AH165" s="158" t="s">
        <v>144</v>
      </c>
      <c r="AI165" s="158" t="s">
        <v>144</v>
      </c>
      <c r="AJ165" s="158" t="s">
        <v>146</v>
      </c>
      <c r="AK165" s="159" t="s">
        <v>147</v>
      </c>
      <c r="AL165" s="265"/>
      <c r="AM165" s="265"/>
      <c r="AN165" s="265"/>
      <c r="AO165" s="265"/>
      <c r="AP165" s="265"/>
      <c r="AQ165" s="265"/>
      <c r="AR165" s="265"/>
      <c r="AS165" s="265"/>
      <c r="AT165" s="265"/>
      <c r="AU165" s="265"/>
      <c r="AW165" s="265"/>
      <c r="AX165" s="265"/>
      <c r="AY165" s="265"/>
    </row>
    <row r="166" spans="1:51" ht="13">
      <c r="A166" s="265" t="s">
        <v>396</v>
      </c>
      <c r="B166" s="265"/>
      <c r="C166" s="265"/>
      <c r="D166" s="265"/>
      <c r="E166" s="265"/>
      <c r="F166" s="265"/>
      <c r="G166" s="265"/>
      <c r="H166" s="304">
        <f>SUM(AD166:AG166)</f>
        <v>3311</v>
      </c>
      <c r="I166" s="265">
        <f>SUM(AH166:AK166)</f>
        <v>-610</v>
      </c>
      <c r="J166" s="304"/>
      <c r="K166" s="304"/>
      <c r="L166" s="304"/>
      <c r="M166" s="265"/>
      <c r="N166" s="265"/>
      <c r="O166" s="265"/>
      <c r="P166" s="265"/>
      <c r="Q166" s="265"/>
      <c r="R166" s="265"/>
      <c r="S166" s="265"/>
      <c r="T166" s="265"/>
      <c r="U166" s="265"/>
      <c r="V166" s="265"/>
      <c r="W166" s="265"/>
      <c r="X166" s="265"/>
      <c r="Y166" s="265"/>
      <c r="Z166" s="265"/>
      <c r="AA166" s="265"/>
      <c r="AB166" s="265"/>
      <c r="AC166" s="308"/>
      <c r="AD166" s="265">
        <f>10690-9828</f>
        <v>862</v>
      </c>
      <c r="AE166" s="265">
        <f>12245-11493</f>
        <v>752</v>
      </c>
      <c r="AF166" s="265">
        <f>12245-11493</f>
        <v>752</v>
      </c>
      <c r="AG166" s="308">
        <f>11643-10698</f>
        <v>945</v>
      </c>
      <c r="AH166" s="265">
        <f>13818-12961</f>
        <v>857</v>
      </c>
      <c r="AI166" s="265">
        <f>-13842+13377</f>
        <v>-465</v>
      </c>
      <c r="AJ166" s="265">
        <f>12322-13324</f>
        <v>-1002</v>
      </c>
      <c r="AK166" s="308"/>
      <c r="AL166" s="265"/>
      <c r="AM166" s="265"/>
      <c r="AN166" s="265"/>
      <c r="AO166" s="265"/>
      <c r="AP166" s="265"/>
      <c r="AQ166" s="265"/>
      <c r="AR166" s="265"/>
      <c r="AS166" s="265"/>
      <c r="AT166" s="265"/>
      <c r="AU166" s="265"/>
      <c r="AW166" s="265"/>
      <c r="AX166" s="265"/>
      <c r="AY166" s="265"/>
    </row>
    <row r="167" spans="1:51" ht="13">
      <c r="A167" s="265" t="s">
        <v>397</v>
      </c>
      <c r="B167" s="265"/>
      <c r="C167" s="265"/>
      <c r="D167" s="265"/>
      <c r="E167" s="265"/>
      <c r="F167" s="265"/>
      <c r="G167" s="265"/>
      <c r="H167" s="304"/>
      <c r="I167" s="265">
        <f>SUM(AH167:AK167)</f>
        <v>-550</v>
      </c>
      <c r="J167" s="304"/>
      <c r="K167" s="304"/>
      <c r="L167" s="304"/>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v>0</v>
      </c>
      <c r="AI167" s="265">
        <v>-400</v>
      </c>
      <c r="AJ167" s="265">
        <v>-150</v>
      </c>
      <c r="AK167" s="267"/>
      <c r="AL167" s="265"/>
      <c r="AM167" s="265"/>
      <c r="AN167" s="265"/>
      <c r="AO167" s="265"/>
      <c r="AP167" s="265"/>
      <c r="AQ167" s="265"/>
      <c r="AR167" s="265"/>
      <c r="AS167" s="265"/>
      <c r="AT167" s="265"/>
      <c r="AU167" s="265"/>
      <c r="AW167" s="265"/>
      <c r="AX167" s="265"/>
      <c r="AY167" s="265"/>
    </row>
    <row r="168" spans="1:51" ht="13">
      <c r="A168" s="265" t="s">
        <v>160</v>
      </c>
      <c r="B168" s="265"/>
      <c r="C168" s="265"/>
      <c r="D168" s="265"/>
      <c r="E168" s="265"/>
      <c r="F168" s="304">
        <f>F95</f>
        <v>2957.9999999999995</v>
      </c>
      <c r="G168" s="304">
        <f>G95</f>
        <v>2559</v>
      </c>
      <c r="H168" s="265">
        <v>2421</v>
      </c>
      <c r="I168" s="265">
        <v>1249</v>
      </c>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5"/>
      <c r="AQ168" s="265"/>
      <c r="AR168" s="265"/>
      <c r="AS168" s="265"/>
      <c r="AT168" s="265"/>
      <c r="AU168" s="265"/>
      <c r="AW168" s="265"/>
      <c r="AX168" s="265"/>
      <c r="AY168" s="265"/>
    </row>
    <row r="169" spans="1:51" ht="13">
      <c r="A169" s="265" t="s">
        <v>398</v>
      </c>
      <c r="B169" s="265"/>
      <c r="C169" s="265"/>
      <c r="D169" s="265"/>
      <c r="E169" s="265"/>
      <c r="F169" s="287">
        <f>F168/F116</f>
        <v>7.2413033366789878E-2</v>
      </c>
      <c r="G169" s="287">
        <f>G168/G116</f>
        <v>6.8646386608723645E-2</v>
      </c>
      <c r="H169" s="287">
        <f>H168/H116</f>
        <v>6.1066969353007948E-2</v>
      </c>
      <c r="I169" s="287">
        <f>I168/I116</f>
        <v>2.5133818972109308E-2</v>
      </c>
      <c r="J169" s="265"/>
      <c r="K169" s="265"/>
      <c r="L169" s="265"/>
      <c r="M169" s="265"/>
      <c r="N169" s="265"/>
      <c r="O169" s="265"/>
      <c r="P169" s="265"/>
      <c r="Q169" s="265"/>
      <c r="R169" s="265"/>
      <c r="S169" s="265"/>
      <c r="T169" s="265"/>
      <c r="U169" s="265"/>
      <c r="V169" s="265"/>
      <c r="W169" s="265"/>
      <c r="X169" s="265"/>
      <c r="Y169" s="265"/>
      <c r="Z169" s="265"/>
      <c r="AA169" s="265"/>
      <c r="AB169" s="265"/>
      <c r="AC169" s="265"/>
      <c r="AD169" s="265"/>
      <c r="AE169" s="265"/>
      <c r="AF169" s="265"/>
      <c r="AG169" s="265"/>
      <c r="AH169" s="265"/>
      <c r="AI169" s="265"/>
      <c r="AJ169" s="265"/>
      <c r="AK169" s="265"/>
      <c r="AL169" s="265"/>
      <c r="AM169" s="265"/>
      <c r="AN169" s="265"/>
      <c r="AO169" s="265"/>
      <c r="AP169" s="265"/>
      <c r="AQ169" s="265"/>
      <c r="AR169" s="265"/>
      <c r="AS169" s="265"/>
      <c r="AT169" s="265"/>
      <c r="AU169" s="265"/>
      <c r="AW169" s="265"/>
      <c r="AX169" s="265"/>
      <c r="AY169" s="265"/>
    </row>
  </sheetData>
  <hyperlinks>
    <hyperlink ref="A2" location="'START PAGE'!A1" display="Back to start page" xr:uid="{34452A23-0178-40AC-9BF4-DDF33E90E39E}"/>
  </hyperlinks>
  <pageMargins left="0.7" right="0.7" top="0.75" bottom="0.75" header="0.3" footer="0.3"/>
  <pageSetup paperSize="9" scale="4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A769-BA9E-46D2-93B9-A49F2EA07ABF}">
  <sheetPr>
    <tabColor rgb="FFFFCD00"/>
    <pageSetUpPr fitToPage="1"/>
  </sheetPr>
  <dimension ref="A1:AY37"/>
  <sheetViews>
    <sheetView showGridLines="0" workbookViewId="0"/>
  </sheetViews>
  <sheetFormatPr baseColWidth="10" defaultColWidth="10" defaultRowHeight="13.5" customHeight="1"/>
  <cols>
    <col min="1" max="1" width="37.6640625" bestFit="1" customWidth="1"/>
    <col min="2" max="11" width="8.5" bestFit="1" customWidth="1"/>
    <col min="12" max="13" width="8.5" customWidth="1"/>
    <col min="14" max="14" width="9.5" bestFit="1" customWidth="1"/>
    <col min="15" max="22" width="7.33203125" bestFit="1" customWidth="1"/>
    <col min="23" max="25" width="6.6640625" bestFit="1" customWidth="1"/>
    <col min="26" max="34" width="7.33203125" bestFit="1" customWidth="1"/>
    <col min="35" max="36" width="7.33203125" customWidth="1"/>
    <col min="37" max="38" width="7.33203125" bestFit="1" customWidth="1"/>
    <col min="39" max="40" width="7.33203125" customWidth="1"/>
    <col min="41" max="42" width="7.33203125" bestFit="1" customWidth="1"/>
    <col min="43" max="44" width="7.33203125" customWidth="1"/>
    <col min="45" max="46" width="7.33203125" bestFit="1" customWidth="1"/>
    <col min="47" max="48" width="7.33203125" customWidth="1"/>
    <col min="49" max="50" width="7.33203125" bestFit="1" customWidth="1"/>
    <col min="51" max="51" width="7.33203125" customWidth="1"/>
  </cols>
  <sheetData>
    <row r="1" spans="1:51" ht="17" thickBot="1">
      <c r="A1" s="15" t="s">
        <v>399</v>
      </c>
      <c r="B1" s="309" t="s">
        <v>124</v>
      </c>
      <c r="C1" s="310"/>
      <c r="D1" s="310"/>
      <c r="E1" s="310"/>
      <c r="F1" s="310"/>
      <c r="G1" s="310"/>
      <c r="H1" s="310"/>
      <c r="I1" s="310"/>
      <c r="J1" s="310"/>
      <c r="K1" s="310"/>
      <c r="L1" s="310"/>
      <c r="M1" s="311"/>
      <c r="N1" s="309" t="s">
        <v>125</v>
      </c>
      <c r="O1" s="310"/>
      <c r="P1" s="310"/>
      <c r="Q1" s="312"/>
      <c r="R1" s="310"/>
      <c r="S1" s="310"/>
      <c r="T1" s="310"/>
      <c r="U1" s="312"/>
      <c r="V1" s="309"/>
      <c r="W1" s="310"/>
      <c r="X1" s="310"/>
      <c r="Y1" s="312"/>
      <c r="Z1" s="310"/>
      <c r="AA1" s="310"/>
      <c r="AB1" s="310"/>
      <c r="AC1" s="312"/>
      <c r="AD1" s="309"/>
      <c r="AE1" s="310"/>
      <c r="AF1" s="310"/>
      <c r="AG1" s="312"/>
      <c r="AH1" s="309"/>
      <c r="AI1" s="309"/>
      <c r="AJ1" s="309"/>
      <c r="AK1" s="312"/>
      <c r="AL1" s="309"/>
      <c r="AM1" s="309"/>
      <c r="AN1" s="309"/>
      <c r="AO1" s="312"/>
      <c r="AP1" s="309"/>
      <c r="AQ1" s="309"/>
      <c r="AR1" s="309"/>
      <c r="AS1" s="312"/>
      <c r="AT1" s="309"/>
      <c r="AU1" s="309"/>
      <c r="AV1" s="309"/>
      <c r="AW1" s="312"/>
      <c r="AX1" s="309"/>
      <c r="AY1" s="309"/>
    </row>
    <row r="2" spans="1:51" ht="15" thickTop="1" thickBot="1">
      <c r="A2" s="18" t="s">
        <v>30</v>
      </c>
      <c r="B2" s="313"/>
      <c r="C2" s="313"/>
      <c r="D2" s="313"/>
      <c r="E2" s="313"/>
      <c r="F2" s="313"/>
      <c r="G2" s="313"/>
      <c r="H2" s="313"/>
      <c r="I2" s="313"/>
      <c r="J2" s="313"/>
      <c r="K2" s="313"/>
      <c r="L2" s="313"/>
      <c r="M2" s="311"/>
      <c r="N2" s="313"/>
      <c r="O2" s="313"/>
      <c r="P2" s="313"/>
      <c r="Q2" s="314"/>
      <c r="R2" s="313"/>
      <c r="S2" s="313"/>
      <c r="T2" s="313"/>
      <c r="U2" s="314"/>
      <c r="V2" s="313"/>
      <c r="W2" s="313"/>
      <c r="X2" s="313"/>
      <c r="Y2" s="314"/>
      <c r="Z2" s="313"/>
      <c r="AA2" s="313"/>
      <c r="AB2" s="313"/>
      <c r="AC2" s="314"/>
      <c r="AD2" s="313"/>
      <c r="AE2" s="313"/>
      <c r="AF2" s="313"/>
      <c r="AG2" s="314"/>
      <c r="AH2" s="313"/>
      <c r="AI2" s="313"/>
      <c r="AJ2" s="313"/>
      <c r="AK2" s="314"/>
      <c r="AL2" s="313"/>
      <c r="AM2" s="313"/>
      <c r="AN2" s="313"/>
      <c r="AO2" s="314"/>
      <c r="AP2" s="313"/>
      <c r="AQ2" s="313"/>
      <c r="AR2" s="313"/>
      <c r="AS2" s="314"/>
      <c r="AT2" s="313"/>
      <c r="AU2" s="313"/>
      <c r="AV2" s="313"/>
      <c r="AW2" s="314"/>
      <c r="AX2" s="313"/>
      <c r="AY2" s="313"/>
    </row>
    <row r="3" spans="1:51" ht="14" thickTop="1">
      <c r="A3" s="315" t="s">
        <v>400</v>
      </c>
      <c r="B3" s="316">
        <v>2015</v>
      </c>
      <c r="C3" s="316">
        <v>2016</v>
      </c>
      <c r="D3" s="317">
        <v>2017</v>
      </c>
      <c r="E3" s="317">
        <v>2018</v>
      </c>
      <c r="F3" s="317">
        <v>2019</v>
      </c>
      <c r="G3" s="317">
        <v>2020</v>
      </c>
      <c r="H3" s="317">
        <v>2021</v>
      </c>
      <c r="I3" s="317">
        <v>2022</v>
      </c>
      <c r="J3" s="317">
        <v>2023</v>
      </c>
      <c r="K3" s="317">
        <v>2024</v>
      </c>
      <c r="L3" s="317">
        <v>2025</v>
      </c>
      <c r="M3" s="318"/>
      <c r="N3" s="319" t="s">
        <v>264</v>
      </c>
      <c r="O3" s="319" t="s">
        <v>265</v>
      </c>
      <c r="P3" s="319" t="s">
        <v>266</v>
      </c>
      <c r="Q3" s="320" t="s">
        <v>267</v>
      </c>
      <c r="R3" s="319" t="s">
        <v>128</v>
      </c>
      <c r="S3" s="319" t="s">
        <v>129</v>
      </c>
      <c r="T3" s="319" t="s">
        <v>130</v>
      </c>
      <c r="U3" s="320" t="s">
        <v>131</v>
      </c>
      <c r="V3" s="319" t="s">
        <v>132</v>
      </c>
      <c r="W3" s="319" t="s">
        <v>133</v>
      </c>
      <c r="X3" s="319" t="s">
        <v>134</v>
      </c>
      <c r="Y3" s="320" t="s">
        <v>135</v>
      </c>
      <c r="Z3" s="319" t="s">
        <v>136</v>
      </c>
      <c r="AA3" s="319" t="s">
        <v>137</v>
      </c>
      <c r="AB3" s="319" t="s">
        <v>138</v>
      </c>
      <c r="AC3" s="320" t="s">
        <v>139</v>
      </c>
      <c r="AD3" s="319" t="s">
        <v>140</v>
      </c>
      <c r="AE3" s="319" t="s">
        <v>141</v>
      </c>
      <c r="AF3" s="319" t="s">
        <v>142</v>
      </c>
      <c r="AG3" s="320" t="s">
        <v>143</v>
      </c>
      <c r="AH3" s="319" t="s">
        <v>144</v>
      </c>
      <c r="AI3" s="319" t="s">
        <v>145</v>
      </c>
      <c r="AJ3" s="319" t="s">
        <v>146</v>
      </c>
      <c r="AK3" s="320" t="s">
        <v>147</v>
      </c>
      <c r="AL3" s="319" t="s">
        <v>148</v>
      </c>
      <c r="AM3" s="319" t="s">
        <v>149</v>
      </c>
      <c r="AN3" s="319" t="s">
        <v>150</v>
      </c>
      <c r="AO3" s="320" t="s">
        <v>151</v>
      </c>
      <c r="AP3" s="319" t="s">
        <v>152</v>
      </c>
      <c r="AQ3" s="319" t="s">
        <v>153</v>
      </c>
      <c r="AR3" s="319" t="s">
        <v>154</v>
      </c>
      <c r="AS3" s="320" t="s">
        <v>155</v>
      </c>
      <c r="AT3" s="319" t="s">
        <v>156</v>
      </c>
      <c r="AU3" s="319" t="s">
        <v>157</v>
      </c>
      <c r="AV3" s="319" t="s">
        <v>158</v>
      </c>
      <c r="AW3" s="320" t="s">
        <v>820</v>
      </c>
      <c r="AX3" s="319" t="s">
        <v>1275</v>
      </c>
      <c r="AY3" s="319" t="s">
        <v>1344</v>
      </c>
    </row>
    <row r="4" spans="1:51" ht="13">
      <c r="A4" s="321" t="s">
        <v>401</v>
      </c>
      <c r="B4" s="322">
        <v>3062</v>
      </c>
      <c r="C4" s="323">
        <v>3185</v>
      </c>
      <c r="D4" s="322">
        <v>3121</v>
      </c>
      <c r="E4" s="322">
        <v>3620</v>
      </c>
      <c r="F4" s="322">
        <v>4226</v>
      </c>
      <c r="G4" s="322">
        <v>4111</v>
      </c>
      <c r="H4" s="322">
        <v>7233</v>
      </c>
      <c r="I4" s="322">
        <v>13073</v>
      </c>
      <c r="J4" s="322">
        <v>15843</v>
      </c>
      <c r="K4" s="322">
        <v>25075</v>
      </c>
      <c r="L4" s="322">
        <v>21923</v>
      </c>
      <c r="M4" s="311"/>
      <c r="N4" s="322">
        <v>3233</v>
      </c>
      <c r="O4" s="322">
        <v>3136</v>
      </c>
      <c r="P4" s="323">
        <v>3076</v>
      </c>
      <c r="Q4" s="324">
        <v>3121</v>
      </c>
      <c r="R4" s="325">
        <v>3539</v>
      </c>
      <c r="S4" s="325">
        <v>3637</v>
      </c>
      <c r="T4" s="325">
        <v>3532</v>
      </c>
      <c r="U4" s="324">
        <v>3620</v>
      </c>
      <c r="V4" s="325">
        <v>3865</v>
      </c>
      <c r="W4" s="325">
        <v>4224</v>
      </c>
      <c r="X4" s="325">
        <v>4242</v>
      </c>
      <c r="Y4" s="324">
        <v>4226</v>
      </c>
      <c r="Z4" s="325">
        <v>4341</v>
      </c>
      <c r="AA4" s="325">
        <v>4206</v>
      </c>
      <c r="AB4" s="325">
        <v>4216</v>
      </c>
      <c r="AC4" s="324">
        <v>4111</v>
      </c>
      <c r="AD4" s="325">
        <v>4249</v>
      </c>
      <c r="AE4" s="325">
        <v>5963</v>
      </c>
      <c r="AF4" s="325">
        <v>6355</v>
      </c>
      <c r="AG4" s="324">
        <v>7233</v>
      </c>
      <c r="AH4" s="325">
        <v>7192</v>
      </c>
      <c r="AI4" s="325">
        <v>7653</v>
      </c>
      <c r="AJ4" s="325">
        <v>8419</v>
      </c>
      <c r="AK4" s="324">
        <v>13073</v>
      </c>
      <c r="AL4" s="325">
        <v>15966</v>
      </c>
      <c r="AM4" s="325">
        <v>16875</v>
      </c>
      <c r="AN4" s="325">
        <v>16472</v>
      </c>
      <c r="AO4" s="324">
        <v>15843</v>
      </c>
      <c r="AP4" s="325">
        <v>16184</v>
      </c>
      <c r="AQ4" s="325">
        <v>22897</v>
      </c>
      <c r="AR4" s="325">
        <v>24131</v>
      </c>
      <c r="AS4" s="324">
        <v>25075</v>
      </c>
      <c r="AT4" s="325">
        <v>22962</v>
      </c>
      <c r="AU4" s="325">
        <v>22349</v>
      </c>
      <c r="AV4" s="325">
        <v>22274</v>
      </c>
      <c r="AW4" s="324">
        <v>21923</v>
      </c>
      <c r="AX4" s="325">
        <v>22729</v>
      </c>
      <c r="AY4" s="325">
        <v>22982</v>
      </c>
    </row>
    <row r="5" spans="1:51" ht="13">
      <c r="A5" s="326" t="s">
        <v>402</v>
      </c>
      <c r="B5" s="327"/>
      <c r="C5" s="328"/>
      <c r="D5" s="327">
        <v>1638</v>
      </c>
      <c r="E5" s="327">
        <v>1876</v>
      </c>
      <c r="F5" s="327">
        <v>2185</v>
      </c>
      <c r="G5" s="327">
        <v>2049</v>
      </c>
      <c r="H5" s="327">
        <v>4089</v>
      </c>
      <c r="I5" s="327">
        <v>8275</v>
      </c>
      <c r="J5" s="327">
        <v>10223</v>
      </c>
      <c r="K5" s="327">
        <v>16700</v>
      </c>
      <c r="L5" s="327">
        <v>14531</v>
      </c>
      <c r="M5" s="329"/>
      <c r="N5" s="327"/>
      <c r="O5" s="327"/>
      <c r="P5" s="328"/>
      <c r="Q5" s="330">
        <v>1638</v>
      </c>
      <c r="R5" s="331">
        <v>1840</v>
      </c>
      <c r="S5" s="331">
        <v>1881</v>
      </c>
      <c r="T5" s="331">
        <v>1816</v>
      </c>
      <c r="U5" s="330">
        <v>1876</v>
      </c>
      <c r="V5" s="331">
        <v>2005</v>
      </c>
      <c r="W5" s="331">
        <v>2174</v>
      </c>
      <c r="X5" s="331">
        <v>2244</v>
      </c>
      <c r="Y5" s="330">
        <v>2185</v>
      </c>
      <c r="Z5" s="331">
        <v>2243</v>
      </c>
      <c r="AA5" s="331">
        <v>2129</v>
      </c>
      <c r="AB5" s="331">
        <v>2141</v>
      </c>
      <c r="AC5" s="330">
        <v>2049</v>
      </c>
      <c r="AD5" s="331">
        <v>2131</v>
      </c>
      <c r="AE5" s="331">
        <v>3204</v>
      </c>
      <c r="AF5" s="331">
        <v>3531</v>
      </c>
      <c r="AG5" s="330">
        <v>4089</v>
      </c>
      <c r="AH5" s="331">
        <v>4290</v>
      </c>
      <c r="AI5" s="331">
        <v>4642</v>
      </c>
      <c r="AJ5" s="331">
        <v>5215</v>
      </c>
      <c r="AK5" s="330">
        <v>8275</v>
      </c>
      <c r="AL5" s="331">
        <v>10079</v>
      </c>
      <c r="AM5" s="331">
        <v>10803</v>
      </c>
      <c r="AN5" s="331">
        <v>10649</v>
      </c>
      <c r="AO5" s="330">
        <v>10223</v>
      </c>
      <c r="AP5" s="331">
        <v>10497</v>
      </c>
      <c r="AQ5" s="331">
        <v>14682</v>
      </c>
      <c r="AR5" s="331">
        <v>15932</v>
      </c>
      <c r="AS5" s="330">
        <v>16700</v>
      </c>
      <c r="AT5" s="331">
        <v>15175</v>
      </c>
      <c r="AU5" s="331">
        <v>14767</v>
      </c>
      <c r="AV5" s="331">
        <v>14735</v>
      </c>
      <c r="AW5" s="330">
        <v>14531</v>
      </c>
      <c r="AX5" s="331">
        <v>15182</v>
      </c>
      <c r="AY5" s="331">
        <v>15444</v>
      </c>
    </row>
    <row r="6" spans="1:51" ht="13">
      <c r="A6" s="321" t="s">
        <v>403</v>
      </c>
      <c r="B6" s="322">
        <v>1404</v>
      </c>
      <c r="C6" s="323">
        <v>1370</v>
      </c>
      <c r="D6" s="322">
        <v>1215</v>
      </c>
      <c r="E6" s="322">
        <v>1233</v>
      </c>
      <c r="F6" s="322">
        <v>1213</v>
      </c>
      <c r="G6" s="322">
        <v>999</v>
      </c>
      <c r="H6" s="322">
        <v>1279</v>
      </c>
      <c r="I6" s="322">
        <v>1458</v>
      </c>
      <c r="J6" s="322">
        <v>1582</v>
      </c>
      <c r="K6" s="322">
        <v>1543</v>
      </c>
      <c r="L6" s="322">
        <v>1300</v>
      </c>
      <c r="M6" s="311"/>
      <c r="N6" s="322">
        <v>1279</v>
      </c>
      <c r="O6" s="322">
        <v>1271</v>
      </c>
      <c r="P6" s="323">
        <v>1220</v>
      </c>
      <c r="Q6" s="332">
        <v>1215</v>
      </c>
      <c r="R6" s="322">
        <v>1205</v>
      </c>
      <c r="S6" s="322">
        <v>1300</v>
      </c>
      <c r="T6" s="325">
        <v>1277</v>
      </c>
      <c r="U6" s="324">
        <v>1233</v>
      </c>
      <c r="V6" s="325">
        <v>1318</v>
      </c>
      <c r="W6" s="325">
        <v>1363</v>
      </c>
      <c r="X6" s="325">
        <v>1309</v>
      </c>
      <c r="Y6" s="324">
        <v>1213</v>
      </c>
      <c r="Z6" s="325">
        <v>1187</v>
      </c>
      <c r="AA6" s="325">
        <v>1165</v>
      </c>
      <c r="AB6" s="325">
        <v>1108</v>
      </c>
      <c r="AC6" s="324">
        <v>999</v>
      </c>
      <c r="AD6" s="325">
        <v>1015</v>
      </c>
      <c r="AE6" s="325">
        <v>1103</v>
      </c>
      <c r="AF6" s="325">
        <v>1118</v>
      </c>
      <c r="AG6" s="324">
        <v>1279</v>
      </c>
      <c r="AH6" s="325">
        <v>1265</v>
      </c>
      <c r="AI6" s="325">
        <v>1430</v>
      </c>
      <c r="AJ6" s="325">
        <v>1527</v>
      </c>
      <c r="AK6" s="324">
        <v>1458</v>
      </c>
      <c r="AL6" s="325">
        <v>1420</v>
      </c>
      <c r="AM6" s="325">
        <v>1597</v>
      </c>
      <c r="AN6" s="325">
        <v>1597</v>
      </c>
      <c r="AO6" s="324">
        <v>1582</v>
      </c>
      <c r="AP6" s="325">
        <v>1580</v>
      </c>
      <c r="AQ6" s="325">
        <v>1773</v>
      </c>
      <c r="AR6" s="325">
        <v>1602</v>
      </c>
      <c r="AS6" s="324">
        <v>1543</v>
      </c>
      <c r="AT6" s="325">
        <v>1396</v>
      </c>
      <c r="AU6" s="325">
        <v>1449</v>
      </c>
      <c r="AV6" s="325">
        <v>1396</v>
      </c>
      <c r="AW6" s="324">
        <v>1300</v>
      </c>
      <c r="AX6" s="325">
        <v>1327</v>
      </c>
      <c r="AY6" s="325">
        <v>1365</v>
      </c>
    </row>
    <row r="7" spans="1:51" ht="13">
      <c r="A7" s="321" t="s">
        <v>404</v>
      </c>
      <c r="B7" s="322">
        <v>2398</v>
      </c>
      <c r="C7" s="323">
        <v>2285</v>
      </c>
      <c r="D7" s="322">
        <v>2271</v>
      </c>
      <c r="E7" s="322">
        <v>2473</v>
      </c>
      <c r="F7" s="322">
        <v>4613</v>
      </c>
      <c r="G7" s="322">
        <v>4150</v>
      </c>
      <c r="H7" s="322">
        <v>4587</v>
      </c>
      <c r="I7" s="322">
        <v>5429</v>
      </c>
      <c r="J7" s="322">
        <v>6032</v>
      </c>
      <c r="K7" s="322">
        <v>7932</v>
      </c>
      <c r="L7" s="322">
        <v>7449</v>
      </c>
      <c r="M7" s="311"/>
      <c r="N7" s="322">
        <v>2290</v>
      </c>
      <c r="O7" s="322">
        <v>2273</v>
      </c>
      <c r="P7" s="323">
        <v>2213</v>
      </c>
      <c r="Q7" s="332">
        <v>2271</v>
      </c>
      <c r="R7" s="322">
        <v>2345</v>
      </c>
      <c r="S7" s="322">
        <v>2455</v>
      </c>
      <c r="T7" s="325">
        <v>2421</v>
      </c>
      <c r="U7" s="324">
        <v>2473</v>
      </c>
      <c r="V7" s="325">
        <v>4657</v>
      </c>
      <c r="W7" s="325">
        <v>4746</v>
      </c>
      <c r="X7" s="325">
        <v>4775</v>
      </c>
      <c r="Y7" s="324">
        <v>4613</v>
      </c>
      <c r="Z7" s="325">
        <v>4534</v>
      </c>
      <c r="AA7" s="325">
        <v>4364</v>
      </c>
      <c r="AB7" s="325">
        <v>4284</v>
      </c>
      <c r="AC7" s="324">
        <v>4150</v>
      </c>
      <c r="AD7" s="325">
        <v>4342</v>
      </c>
      <c r="AE7" s="325">
        <v>4452</v>
      </c>
      <c r="AF7" s="325">
        <v>4665</v>
      </c>
      <c r="AG7" s="324">
        <v>4587</v>
      </c>
      <c r="AH7" s="325">
        <v>4743</v>
      </c>
      <c r="AI7" s="325">
        <v>4909</v>
      </c>
      <c r="AJ7" s="325">
        <v>5140</v>
      </c>
      <c r="AK7" s="324">
        <v>5429</v>
      </c>
      <c r="AL7" s="325">
        <v>5754</v>
      </c>
      <c r="AM7" s="325">
        <v>5963</v>
      </c>
      <c r="AN7" s="325">
        <v>5924</v>
      </c>
      <c r="AO7" s="324">
        <v>6032</v>
      </c>
      <c r="AP7" s="325">
        <v>6334</v>
      </c>
      <c r="AQ7" s="325">
        <v>7723</v>
      </c>
      <c r="AR7" s="325">
        <v>7546</v>
      </c>
      <c r="AS7" s="324">
        <v>7932</v>
      </c>
      <c r="AT7" s="325">
        <v>7485</v>
      </c>
      <c r="AU7" s="325">
        <v>7456</v>
      </c>
      <c r="AV7" s="325">
        <v>7434</v>
      </c>
      <c r="AW7" s="324">
        <v>7449</v>
      </c>
      <c r="AX7" s="325">
        <v>7624</v>
      </c>
      <c r="AY7" s="325">
        <v>7759</v>
      </c>
    </row>
    <row r="8" spans="1:51" ht="13">
      <c r="A8" s="321" t="s">
        <v>1263</v>
      </c>
      <c r="B8" s="322">
        <v>16</v>
      </c>
      <c r="C8" s="323">
        <v>15</v>
      </c>
      <c r="D8" s="322">
        <v>94</v>
      </c>
      <c r="E8" s="322">
        <v>208</v>
      </c>
      <c r="F8" s="322">
        <v>201</v>
      </c>
      <c r="G8" s="322">
        <v>188</v>
      </c>
      <c r="H8" s="322">
        <v>106</v>
      </c>
      <c r="I8" s="322">
        <v>67</v>
      </c>
      <c r="J8" s="322">
        <v>49</v>
      </c>
      <c r="K8" s="322">
        <v>34</v>
      </c>
      <c r="L8" s="322">
        <v>29</v>
      </c>
      <c r="M8" s="311"/>
      <c r="N8" s="322">
        <v>32</v>
      </c>
      <c r="O8" s="322">
        <v>31</v>
      </c>
      <c r="P8" s="323">
        <v>95</v>
      </c>
      <c r="Q8" s="332">
        <v>94</v>
      </c>
      <c r="R8" s="322">
        <v>94</v>
      </c>
      <c r="S8" s="322">
        <v>93</v>
      </c>
      <c r="T8" s="325">
        <v>91</v>
      </c>
      <c r="U8" s="324">
        <v>208</v>
      </c>
      <c r="V8" s="325">
        <v>211</v>
      </c>
      <c r="W8" s="325">
        <v>204</v>
      </c>
      <c r="X8" s="325">
        <v>209</v>
      </c>
      <c r="Y8" s="324">
        <v>201</v>
      </c>
      <c r="Z8" s="325">
        <v>208</v>
      </c>
      <c r="AA8" s="325">
        <v>202</v>
      </c>
      <c r="AB8" s="325">
        <v>195</v>
      </c>
      <c r="AC8" s="324">
        <v>188</v>
      </c>
      <c r="AD8" s="325">
        <v>191</v>
      </c>
      <c r="AE8" s="325">
        <v>181</v>
      </c>
      <c r="AF8" s="325">
        <v>181</v>
      </c>
      <c r="AG8" s="324">
        <v>106</v>
      </c>
      <c r="AH8" s="325">
        <v>101</v>
      </c>
      <c r="AI8" s="325">
        <v>81</v>
      </c>
      <c r="AJ8" s="325">
        <v>74</v>
      </c>
      <c r="AK8" s="324">
        <v>67</v>
      </c>
      <c r="AL8" s="325">
        <v>64</v>
      </c>
      <c r="AM8" s="325">
        <v>65</v>
      </c>
      <c r="AN8" s="325">
        <v>59</v>
      </c>
      <c r="AO8" s="324">
        <v>49</v>
      </c>
      <c r="AP8" s="325">
        <v>38</v>
      </c>
      <c r="AQ8" s="325">
        <v>28</v>
      </c>
      <c r="AR8" s="325">
        <v>27</v>
      </c>
      <c r="AS8" s="324">
        <v>34</v>
      </c>
      <c r="AT8" s="325">
        <v>31</v>
      </c>
      <c r="AU8" s="325">
        <v>29</v>
      </c>
      <c r="AV8" s="325">
        <v>29</v>
      </c>
      <c r="AW8" s="324">
        <v>29</v>
      </c>
      <c r="AX8" s="325">
        <v>30</v>
      </c>
      <c r="AY8" s="325">
        <v>31</v>
      </c>
    </row>
    <row r="9" spans="1:51" ht="13">
      <c r="A9" s="321" t="s">
        <v>405</v>
      </c>
      <c r="B9" s="322">
        <v>1297</v>
      </c>
      <c r="C9" s="323">
        <v>1499</v>
      </c>
      <c r="D9" s="322">
        <v>1101</v>
      </c>
      <c r="E9" s="322">
        <v>1119</v>
      </c>
      <c r="F9" s="322">
        <v>1007</v>
      </c>
      <c r="G9" s="322">
        <v>751</v>
      </c>
      <c r="H9" s="322">
        <v>1007</v>
      </c>
      <c r="I9" s="322">
        <v>1752</v>
      </c>
      <c r="J9" s="322">
        <v>1649</v>
      </c>
      <c r="K9" s="322">
        <v>2225</v>
      </c>
      <c r="L9" s="322">
        <v>2638</v>
      </c>
      <c r="M9" s="311"/>
      <c r="N9" s="322">
        <v>1515</v>
      </c>
      <c r="O9" s="322">
        <v>1455</v>
      </c>
      <c r="P9" s="323">
        <v>1426</v>
      </c>
      <c r="Q9" s="332">
        <v>1101</v>
      </c>
      <c r="R9" s="322">
        <v>1313</v>
      </c>
      <c r="S9" s="322">
        <v>1399</v>
      </c>
      <c r="T9" s="325">
        <v>1199</v>
      </c>
      <c r="U9" s="324">
        <v>1119</v>
      </c>
      <c r="V9" s="325">
        <v>1183</v>
      </c>
      <c r="W9" s="325">
        <v>1124</v>
      </c>
      <c r="X9" s="325">
        <v>1135</v>
      </c>
      <c r="Y9" s="324">
        <v>1007</v>
      </c>
      <c r="Z9" s="325">
        <v>949</v>
      </c>
      <c r="AA9" s="325">
        <v>865</v>
      </c>
      <c r="AB9" s="325">
        <v>817</v>
      </c>
      <c r="AC9" s="324">
        <v>751</v>
      </c>
      <c r="AD9" s="325">
        <v>802</v>
      </c>
      <c r="AE9" s="325">
        <v>809</v>
      </c>
      <c r="AF9" s="325">
        <v>854</v>
      </c>
      <c r="AG9" s="324">
        <v>1007</v>
      </c>
      <c r="AH9" s="325">
        <v>1261</v>
      </c>
      <c r="AI9" s="325">
        <v>1722</v>
      </c>
      <c r="AJ9" s="325">
        <v>1898</v>
      </c>
      <c r="AK9" s="324">
        <v>1752</v>
      </c>
      <c r="AL9" s="325">
        <v>1634</v>
      </c>
      <c r="AM9" s="325">
        <v>1971</v>
      </c>
      <c r="AN9" s="325">
        <v>2118</v>
      </c>
      <c r="AO9" s="324">
        <v>1649</v>
      </c>
      <c r="AP9" s="325">
        <v>1804</v>
      </c>
      <c r="AQ9" s="325">
        <v>1764</v>
      </c>
      <c r="AR9" s="325">
        <v>2226</v>
      </c>
      <c r="AS9" s="324">
        <v>2225</v>
      </c>
      <c r="AT9" s="325">
        <v>1918</v>
      </c>
      <c r="AU9" s="325">
        <v>2286</v>
      </c>
      <c r="AV9" s="325">
        <v>2472</v>
      </c>
      <c r="AW9" s="324">
        <v>2638</v>
      </c>
      <c r="AX9" s="325">
        <v>2424</v>
      </c>
      <c r="AY9" s="325">
        <v>2588</v>
      </c>
    </row>
    <row r="10" spans="1:51" ht="13">
      <c r="A10" s="321" t="s">
        <v>406</v>
      </c>
      <c r="B10" s="322">
        <v>435</v>
      </c>
      <c r="C10" s="323">
        <v>347</v>
      </c>
      <c r="D10" s="322">
        <v>425</v>
      </c>
      <c r="E10" s="322">
        <v>543</v>
      </c>
      <c r="F10" s="322">
        <v>630</v>
      </c>
      <c r="G10" s="322">
        <v>1374</v>
      </c>
      <c r="H10" s="322">
        <v>1469</v>
      </c>
      <c r="I10" s="322">
        <v>1526</v>
      </c>
      <c r="J10" s="322">
        <v>1509</v>
      </c>
      <c r="K10" s="322">
        <v>1576</v>
      </c>
      <c r="L10" s="322">
        <v>1505</v>
      </c>
      <c r="M10" s="311"/>
      <c r="N10" s="322">
        <v>349</v>
      </c>
      <c r="O10" s="322">
        <v>377</v>
      </c>
      <c r="P10" s="323">
        <v>359</v>
      </c>
      <c r="Q10" s="332">
        <v>425</v>
      </c>
      <c r="R10" s="322">
        <v>407</v>
      </c>
      <c r="S10" s="322">
        <v>501</v>
      </c>
      <c r="T10" s="325">
        <v>526</v>
      </c>
      <c r="U10" s="324">
        <v>543</v>
      </c>
      <c r="V10" s="325">
        <v>619</v>
      </c>
      <c r="W10" s="325">
        <v>668</v>
      </c>
      <c r="X10" s="325">
        <v>717</v>
      </c>
      <c r="Y10" s="324">
        <v>630</v>
      </c>
      <c r="Z10" s="325">
        <v>1383</v>
      </c>
      <c r="AA10" s="325">
        <v>1367</v>
      </c>
      <c r="AB10" s="325">
        <v>1400</v>
      </c>
      <c r="AC10" s="324">
        <v>1374</v>
      </c>
      <c r="AD10" s="325">
        <v>1359</v>
      </c>
      <c r="AE10" s="325">
        <v>1443</v>
      </c>
      <c r="AF10" s="325">
        <v>1469</v>
      </c>
      <c r="AG10" s="324">
        <v>1469</v>
      </c>
      <c r="AH10" s="325">
        <v>1666</v>
      </c>
      <c r="AI10" s="325">
        <v>1641</v>
      </c>
      <c r="AJ10" s="325">
        <v>1820</v>
      </c>
      <c r="AK10" s="324">
        <v>1526</v>
      </c>
      <c r="AL10" s="325">
        <v>1729</v>
      </c>
      <c r="AM10" s="325">
        <v>1579</v>
      </c>
      <c r="AN10" s="325">
        <v>1535</v>
      </c>
      <c r="AO10" s="324">
        <v>1509</v>
      </c>
      <c r="AP10" s="325">
        <v>1597</v>
      </c>
      <c r="AQ10" s="325">
        <v>1600</v>
      </c>
      <c r="AR10" s="325">
        <v>1553</v>
      </c>
      <c r="AS10" s="324">
        <v>1576</v>
      </c>
      <c r="AT10" s="325">
        <v>1363</v>
      </c>
      <c r="AU10" s="325">
        <v>1437</v>
      </c>
      <c r="AV10" s="325">
        <v>1430</v>
      </c>
      <c r="AW10" s="324">
        <v>1505</v>
      </c>
      <c r="AX10" s="325">
        <v>1517</v>
      </c>
      <c r="AY10" s="325">
        <v>1684</v>
      </c>
    </row>
    <row r="11" spans="1:51" ht="13">
      <c r="A11" s="333" t="s">
        <v>407</v>
      </c>
      <c r="B11" s="334">
        <v>8612</v>
      </c>
      <c r="C11" s="335">
        <v>8701</v>
      </c>
      <c r="D11" s="334">
        <v>8227</v>
      </c>
      <c r="E11" s="334">
        <v>9196</v>
      </c>
      <c r="F11" s="334">
        <v>11890</v>
      </c>
      <c r="G11" s="334">
        <v>11573</v>
      </c>
      <c r="H11" s="334">
        <v>15681</v>
      </c>
      <c r="I11" s="334">
        <v>23305</v>
      </c>
      <c r="J11" s="334">
        <v>26664</v>
      </c>
      <c r="K11" s="334">
        <v>38385</v>
      </c>
      <c r="L11" s="334">
        <v>34844</v>
      </c>
      <c r="M11" s="311"/>
      <c r="N11" s="334">
        <v>8698</v>
      </c>
      <c r="O11" s="334">
        <v>8543</v>
      </c>
      <c r="P11" s="335">
        <v>8389</v>
      </c>
      <c r="Q11" s="336">
        <v>8227</v>
      </c>
      <c r="R11" s="334">
        <v>8903</v>
      </c>
      <c r="S11" s="334">
        <v>9385</v>
      </c>
      <c r="T11" s="334">
        <v>9046</v>
      </c>
      <c r="U11" s="336">
        <v>9196</v>
      </c>
      <c r="V11" s="334">
        <v>11853</v>
      </c>
      <c r="W11" s="334">
        <v>12329</v>
      </c>
      <c r="X11" s="334">
        <v>12387</v>
      </c>
      <c r="Y11" s="336">
        <v>11890</v>
      </c>
      <c r="Z11" s="334">
        <v>12602</v>
      </c>
      <c r="AA11" s="334">
        <v>12169</v>
      </c>
      <c r="AB11" s="334">
        <v>12020</v>
      </c>
      <c r="AC11" s="336">
        <v>11573</v>
      </c>
      <c r="AD11" s="334">
        <v>11958</v>
      </c>
      <c r="AE11" s="334">
        <v>13951</v>
      </c>
      <c r="AF11" s="334">
        <v>14642</v>
      </c>
      <c r="AG11" s="336">
        <v>15681</v>
      </c>
      <c r="AH11" s="334">
        <v>16228</v>
      </c>
      <c r="AI11" s="334">
        <v>17436</v>
      </c>
      <c r="AJ11" s="334">
        <v>18878</v>
      </c>
      <c r="AK11" s="336">
        <v>23305</v>
      </c>
      <c r="AL11" s="334">
        <v>26567</v>
      </c>
      <c r="AM11" s="334">
        <v>28050</v>
      </c>
      <c r="AN11" s="334">
        <v>27705</v>
      </c>
      <c r="AO11" s="336">
        <v>26664</v>
      </c>
      <c r="AP11" s="334">
        <v>27537</v>
      </c>
      <c r="AQ11" s="334">
        <v>35785</v>
      </c>
      <c r="AR11" s="334">
        <v>37085</v>
      </c>
      <c r="AS11" s="336">
        <v>38385</v>
      </c>
      <c r="AT11" s="334">
        <v>35155</v>
      </c>
      <c r="AU11" s="334">
        <v>35006</v>
      </c>
      <c r="AV11" s="334">
        <v>35035</v>
      </c>
      <c r="AW11" s="336">
        <v>34844</v>
      </c>
      <c r="AX11" s="334">
        <v>35651</v>
      </c>
      <c r="AY11" s="334">
        <v>36409</v>
      </c>
    </row>
    <row r="12" spans="1:51" ht="13">
      <c r="A12" s="321" t="s">
        <v>408</v>
      </c>
      <c r="B12" s="322">
        <v>7153</v>
      </c>
      <c r="C12" s="323">
        <v>7061</v>
      </c>
      <c r="D12" s="322">
        <v>8440</v>
      </c>
      <c r="E12" s="322">
        <v>10516</v>
      </c>
      <c r="F12" s="322">
        <v>10508</v>
      </c>
      <c r="G12" s="322">
        <v>8930</v>
      </c>
      <c r="H12" s="322">
        <v>11861</v>
      </c>
      <c r="I12" s="322">
        <v>16945</v>
      </c>
      <c r="J12" s="322">
        <v>18747</v>
      </c>
      <c r="K12" s="322">
        <v>19191</v>
      </c>
      <c r="L12" s="322">
        <v>18100</v>
      </c>
      <c r="M12" s="311"/>
      <c r="N12" s="322">
        <v>7655</v>
      </c>
      <c r="O12" s="322">
        <v>7945</v>
      </c>
      <c r="P12" s="323">
        <v>7934</v>
      </c>
      <c r="Q12" s="332">
        <v>8440</v>
      </c>
      <c r="R12" s="322">
        <v>9746</v>
      </c>
      <c r="S12" s="322">
        <v>10664</v>
      </c>
      <c r="T12" s="322">
        <v>10789</v>
      </c>
      <c r="U12" s="332">
        <v>10516</v>
      </c>
      <c r="V12" s="322">
        <v>11207</v>
      </c>
      <c r="W12" s="322">
        <v>11285</v>
      </c>
      <c r="X12" s="322">
        <v>11392</v>
      </c>
      <c r="Y12" s="332">
        <v>10508</v>
      </c>
      <c r="Z12" s="322">
        <v>10933</v>
      </c>
      <c r="AA12" s="322">
        <v>10531</v>
      </c>
      <c r="AB12" s="322">
        <v>9821</v>
      </c>
      <c r="AC12" s="332">
        <v>8930</v>
      </c>
      <c r="AD12" s="322">
        <v>9808</v>
      </c>
      <c r="AE12" s="322">
        <v>10271</v>
      </c>
      <c r="AF12" s="322">
        <v>11199</v>
      </c>
      <c r="AG12" s="332">
        <v>11861</v>
      </c>
      <c r="AH12" s="322">
        <v>13245</v>
      </c>
      <c r="AI12" s="322">
        <v>15119</v>
      </c>
      <c r="AJ12" s="322">
        <v>16634</v>
      </c>
      <c r="AK12" s="332">
        <v>16945</v>
      </c>
      <c r="AL12" s="322">
        <v>18930</v>
      </c>
      <c r="AM12" s="322">
        <v>20157</v>
      </c>
      <c r="AN12" s="322">
        <v>20031</v>
      </c>
      <c r="AO12" s="332">
        <v>18747</v>
      </c>
      <c r="AP12" s="322">
        <v>20592</v>
      </c>
      <c r="AQ12" s="322">
        <v>21373</v>
      </c>
      <c r="AR12" s="322">
        <v>20202</v>
      </c>
      <c r="AS12" s="332">
        <v>19191</v>
      </c>
      <c r="AT12" s="322">
        <v>18273</v>
      </c>
      <c r="AU12" s="322">
        <v>18018</v>
      </c>
      <c r="AV12" s="322">
        <v>18262</v>
      </c>
      <c r="AW12" s="332">
        <v>18100</v>
      </c>
      <c r="AX12" s="322">
        <v>20576</v>
      </c>
      <c r="AY12" s="322">
        <v>22652</v>
      </c>
    </row>
    <row r="13" spans="1:51" ht="13">
      <c r="A13" s="321" t="s">
        <v>409</v>
      </c>
      <c r="B13" s="322">
        <v>5203</v>
      </c>
      <c r="C13" s="323">
        <v>5701</v>
      </c>
      <c r="D13" s="322">
        <v>6271</v>
      </c>
      <c r="E13" s="322">
        <v>8005</v>
      </c>
      <c r="F13" s="322">
        <v>7287</v>
      </c>
      <c r="G13" s="322">
        <v>6045</v>
      </c>
      <c r="H13" s="322">
        <v>7174</v>
      </c>
      <c r="I13" s="322">
        <v>9581</v>
      </c>
      <c r="J13" s="322">
        <v>10455</v>
      </c>
      <c r="K13" s="322">
        <v>12424</v>
      </c>
      <c r="L13" s="322">
        <v>11155</v>
      </c>
      <c r="M13" s="311"/>
      <c r="N13" s="322">
        <v>5944</v>
      </c>
      <c r="O13" s="322">
        <v>5857</v>
      </c>
      <c r="P13" s="323">
        <v>5707</v>
      </c>
      <c r="Q13" s="332">
        <v>6271</v>
      </c>
      <c r="R13" s="322">
        <v>6909</v>
      </c>
      <c r="S13" s="322">
        <v>7898</v>
      </c>
      <c r="T13" s="322">
        <v>7821</v>
      </c>
      <c r="U13" s="332">
        <v>8005</v>
      </c>
      <c r="V13" s="322">
        <v>8501</v>
      </c>
      <c r="W13" s="322">
        <v>8757</v>
      </c>
      <c r="X13" s="322">
        <v>8068</v>
      </c>
      <c r="Y13" s="332">
        <v>7287</v>
      </c>
      <c r="Z13" s="322">
        <v>7300</v>
      </c>
      <c r="AA13" s="322">
        <v>6139</v>
      </c>
      <c r="AB13" s="322">
        <v>6197</v>
      </c>
      <c r="AC13" s="332">
        <v>6045</v>
      </c>
      <c r="AD13" s="322">
        <v>6391</v>
      </c>
      <c r="AE13" s="322">
        <v>6669</v>
      </c>
      <c r="AF13" s="322">
        <v>6765</v>
      </c>
      <c r="AG13" s="332">
        <v>7174</v>
      </c>
      <c r="AH13" s="322">
        <v>8225</v>
      </c>
      <c r="AI13" s="322">
        <v>8381</v>
      </c>
      <c r="AJ13" s="322">
        <v>9174</v>
      </c>
      <c r="AK13" s="332">
        <v>9581</v>
      </c>
      <c r="AL13" s="322">
        <v>10088</v>
      </c>
      <c r="AM13" s="322">
        <v>11082</v>
      </c>
      <c r="AN13" s="322">
        <v>10832</v>
      </c>
      <c r="AO13" s="332">
        <v>10455</v>
      </c>
      <c r="AP13" s="322">
        <v>10607</v>
      </c>
      <c r="AQ13" s="322">
        <v>11271</v>
      </c>
      <c r="AR13" s="322">
        <v>10883</v>
      </c>
      <c r="AS13" s="332">
        <v>12424</v>
      </c>
      <c r="AT13" s="322">
        <v>11382</v>
      </c>
      <c r="AU13" s="322">
        <v>11790</v>
      </c>
      <c r="AV13" s="322">
        <v>11343</v>
      </c>
      <c r="AW13" s="332">
        <v>11155</v>
      </c>
      <c r="AX13" s="322">
        <v>11099</v>
      </c>
      <c r="AY13" s="322">
        <v>11956</v>
      </c>
    </row>
    <row r="14" spans="1:51" ht="13">
      <c r="A14" s="321" t="s">
        <v>410</v>
      </c>
      <c r="B14" s="322">
        <v>919</v>
      </c>
      <c r="C14" s="323">
        <v>877</v>
      </c>
      <c r="D14" s="322">
        <v>1362</v>
      </c>
      <c r="E14" s="322">
        <v>1289</v>
      </c>
      <c r="F14" s="322">
        <v>1597</v>
      </c>
      <c r="G14" s="322">
        <v>1414</v>
      </c>
      <c r="H14" s="322">
        <v>2057</v>
      </c>
      <c r="I14" s="322">
        <v>3195</v>
      </c>
      <c r="J14" s="322">
        <v>3093</v>
      </c>
      <c r="K14" s="322">
        <v>3868</v>
      </c>
      <c r="L14" s="322">
        <v>3952</v>
      </c>
      <c r="M14" s="311"/>
      <c r="N14" s="322">
        <v>985</v>
      </c>
      <c r="O14" s="322">
        <v>1066</v>
      </c>
      <c r="P14" s="323">
        <v>984</v>
      </c>
      <c r="Q14" s="332">
        <v>1362</v>
      </c>
      <c r="R14" s="322">
        <v>1199</v>
      </c>
      <c r="S14" s="322">
        <v>1259</v>
      </c>
      <c r="T14" s="322">
        <v>1277</v>
      </c>
      <c r="U14" s="332">
        <v>1289</v>
      </c>
      <c r="V14" s="322">
        <v>1232</v>
      </c>
      <c r="W14" s="322">
        <v>1386</v>
      </c>
      <c r="X14" s="322">
        <v>1340</v>
      </c>
      <c r="Y14" s="332">
        <v>1597</v>
      </c>
      <c r="Z14" s="322">
        <v>1553</v>
      </c>
      <c r="AA14" s="322">
        <v>1498</v>
      </c>
      <c r="AB14" s="322">
        <v>1387</v>
      </c>
      <c r="AC14" s="332">
        <v>1414</v>
      </c>
      <c r="AD14" s="322">
        <v>1397</v>
      </c>
      <c r="AE14" s="322">
        <v>1681</v>
      </c>
      <c r="AF14" s="322">
        <v>1925</v>
      </c>
      <c r="AG14" s="332">
        <v>2057</v>
      </c>
      <c r="AH14" s="322">
        <v>2437</v>
      </c>
      <c r="AI14" s="322">
        <v>2760</v>
      </c>
      <c r="AJ14" s="322">
        <v>3189</v>
      </c>
      <c r="AK14" s="332">
        <v>3195</v>
      </c>
      <c r="AL14" s="322">
        <v>3331</v>
      </c>
      <c r="AM14" s="322">
        <v>3753</v>
      </c>
      <c r="AN14" s="322">
        <v>3390</v>
      </c>
      <c r="AO14" s="332">
        <v>3093</v>
      </c>
      <c r="AP14" s="322">
        <v>3131</v>
      </c>
      <c r="AQ14" s="322">
        <v>3429</v>
      </c>
      <c r="AR14" s="322">
        <v>3764</v>
      </c>
      <c r="AS14" s="332">
        <v>3868</v>
      </c>
      <c r="AT14" s="322">
        <v>3833</v>
      </c>
      <c r="AU14" s="322">
        <v>4353</v>
      </c>
      <c r="AV14" s="322">
        <v>4163</v>
      </c>
      <c r="AW14" s="332">
        <v>3952</v>
      </c>
      <c r="AX14" s="322">
        <v>4141</v>
      </c>
      <c r="AY14" s="322">
        <v>4852</v>
      </c>
    </row>
    <row r="15" spans="1:51" ht="13">
      <c r="A15" s="321" t="s">
        <v>1264</v>
      </c>
      <c r="B15" s="322">
        <v>152</v>
      </c>
      <c r="C15" s="323">
        <v>63</v>
      </c>
      <c r="D15" s="322">
        <v>287</v>
      </c>
      <c r="E15" s="322">
        <v>333</v>
      </c>
      <c r="F15" s="322">
        <v>353</v>
      </c>
      <c r="G15" s="322">
        <v>189</v>
      </c>
      <c r="H15" s="322">
        <v>190</v>
      </c>
      <c r="I15" s="322">
        <v>315</v>
      </c>
      <c r="J15" s="322">
        <v>721</v>
      </c>
      <c r="K15" s="322">
        <v>1059</v>
      </c>
      <c r="L15" s="322">
        <v>1386</v>
      </c>
      <c r="M15" s="311"/>
      <c r="N15" s="322">
        <v>90</v>
      </c>
      <c r="O15" s="322">
        <v>140</v>
      </c>
      <c r="P15" s="323">
        <v>111</v>
      </c>
      <c r="Q15" s="332">
        <v>287</v>
      </c>
      <c r="R15" s="322">
        <v>330</v>
      </c>
      <c r="S15" s="322">
        <v>385</v>
      </c>
      <c r="T15" s="322">
        <v>576</v>
      </c>
      <c r="U15" s="332">
        <v>333</v>
      </c>
      <c r="V15" s="322">
        <v>412</v>
      </c>
      <c r="W15" s="322">
        <v>431</v>
      </c>
      <c r="X15" s="322">
        <v>472</v>
      </c>
      <c r="Y15" s="332">
        <v>353</v>
      </c>
      <c r="Z15" s="322">
        <v>144</v>
      </c>
      <c r="AA15" s="322">
        <v>190</v>
      </c>
      <c r="AB15" s="322">
        <v>176</v>
      </c>
      <c r="AC15" s="332">
        <v>189</v>
      </c>
      <c r="AD15" s="322">
        <v>213</v>
      </c>
      <c r="AE15" s="322">
        <v>242</v>
      </c>
      <c r="AF15" s="322">
        <v>213</v>
      </c>
      <c r="AG15" s="332">
        <v>190</v>
      </c>
      <c r="AH15" s="322">
        <v>159</v>
      </c>
      <c r="AI15" s="322">
        <v>343</v>
      </c>
      <c r="AJ15" s="322">
        <v>304</v>
      </c>
      <c r="AK15" s="332">
        <v>315</v>
      </c>
      <c r="AL15" s="322">
        <v>292</v>
      </c>
      <c r="AM15" s="322">
        <v>592</v>
      </c>
      <c r="AN15" s="322">
        <v>698</v>
      </c>
      <c r="AO15" s="332">
        <v>721</v>
      </c>
      <c r="AP15" s="322">
        <v>708</v>
      </c>
      <c r="AQ15" s="322">
        <v>1077</v>
      </c>
      <c r="AR15" s="322">
        <v>1187</v>
      </c>
      <c r="AS15" s="332">
        <v>1059</v>
      </c>
      <c r="AT15" s="322">
        <v>1430</v>
      </c>
      <c r="AU15" s="322">
        <v>1181</v>
      </c>
      <c r="AV15" s="322">
        <v>1239</v>
      </c>
      <c r="AW15" s="332">
        <v>1386</v>
      </c>
      <c r="AX15" s="322">
        <v>1327</v>
      </c>
      <c r="AY15" s="322">
        <v>1393</v>
      </c>
    </row>
    <row r="16" spans="1:51" ht="13">
      <c r="A16" s="321" t="s">
        <v>411</v>
      </c>
      <c r="B16" s="322">
        <v>5918</v>
      </c>
      <c r="C16" s="323">
        <v>7100</v>
      </c>
      <c r="D16" s="322">
        <v>1152</v>
      </c>
      <c r="E16" s="322">
        <v>944</v>
      </c>
      <c r="F16" s="322">
        <v>862</v>
      </c>
      <c r="G16" s="322">
        <v>682</v>
      </c>
      <c r="H16" s="322">
        <v>828</v>
      </c>
      <c r="I16" s="322">
        <v>1010</v>
      </c>
      <c r="J16" s="322">
        <v>1703</v>
      </c>
      <c r="K16" s="322">
        <v>1483</v>
      </c>
      <c r="L16" s="322">
        <v>1366</v>
      </c>
      <c r="M16" s="311"/>
      <c r="N16" s="322">
        <v>5698</v>
      </c>
      <c r="O16" s="322">
        <v>6804</v>
      </c>
      <c r="P16" s="323">
        <v>3769</v>
      </c>
      <c r="Q16" s="332">
        <v>1152</v>
      </c>
      <c r="R16" s="322">
        <v>1123</v>
      </c>
      <c r="S16" s="322">
        <v>1228</v>
      </c>
      <c r="T16" s="322">
        <v>1029</v>
      </c>
      <c r="U16" s="332">
        <v>944</v>
      </c>
      <c r="V16" s="322">
        <v>1086</v>
      </c>
      <c r="W16" s="322">
        <v>1077</v>
      </c>
      <c r="X16" s="322">
        <v>1052</v>
      </c>
      <c r="Y16" s="332">
        <v>862</v>
      </c>
      <c r="Z16" s="322">
        <v>932</v>
      </c>
      <c r="AA16" s="322">
        <v>792</v>
      </c>
      <c r="AB16" s="322">
        <v>783</v>
      </c>
      <c r="AC16" s="332">
        <v>682</v>
      </c>
      <c r="AD16" s="322">
        <v>893</v>
      </c>
      <c r="AE16" s="322">
        <v>772</v>
      </c>
      <c r="AF16" s="322">
        <v>770</v>
      </c>
      <c r="AG16" s="332">
        <v>828</v>
      </c>
      <c r="AH16" s="322">
        <v>908</v>
      </c>
      <c r="AI16" s="322">
        <v>1026</v>
      </c>
      <c r="AJ16" s="322">
        <v>1527</v>
      </c>
      <c r="AK16" s="332">
        <v>1010</v>
      </c>
      <c r="AL16" s="322">
        <v>1406</v>
      </c>
      <c r="AM16" s="322">
        <v>1613</v>
      </c>
      <c r="AN16" s="322">
        <v>1559</v>
      </c>
      <c r="AO16" s="332">
        <v>1703</v>
      </c>
      <c r="AP16" s="322">
        <v>1480</v>
      </c>
      <c r="AQ16" s="322">
        <v>1483</v>
      </c>
      <c r="AR16" s="322">
        <v>1315</v>
      </c>
      <c r="AS16" s="332">
        <v>1483</v>
      </c>
      <c r="AT16" s="322">
        <v>1670</v>
      </c>
      <c r="AU16" s="322">
        <v>1345</v>
      </c>
      <c r="AV16" s="322">
        <v>1283</v>
      </c>
      <c r="AW16" s="332">
        <v>1366</v>
      </c>
      <c r="AX16" s="322">
        <v>1496</v>
      </c>
      <c r="AY16" s="322">
        <v>1701</v>
      </c>
    </row>
    <row r="17" spans="1:51" ht="13">
      <c r="A17" s="321" t="s">
        <v>412</v>
      </c>
      <c r="B17" s="322">
        <v>461</v>
      </c>
      <c r="C17" s="323">
        <v>481</v>
      </c>
      <c r="D17" s="322">
        <v>1808</v>
      </c>
      <c r="E17" s="322">
        <v>5872</v>
      </c>
      <c r="F17" s="322">
        <v>8540</v>
      </c>
      <c r="G17" s="322">
        <v>15053</v>
      </c>
      <c r="H17" s="322">
        <v>10792</v>
      </c>
      <c r="I17" s="322">
        <v>7326</v>
      </c>
      <c r="J17" s="322">
        <v>6401</v>
      </c>
      <c r="K17" s="322">
        <v>7179</v>
      </c>
      <c r="L17" s="322">
        <v>9574</v>
      </c>
      <c r="M17" s="311"/>
      <c r="N17" s="322">
        <v>615</v>
      </c>
      <c r="O17" s="322">
        <v>610</v>
      </c>
      <c r="P17" s="323">
        <v>728</v>
      </c>
      <c r="Q17" s="332">
        <v>1808</v>
      </c>
      <c r="R17" s="322">
        <v>2255</v>
      </c>
      <c r="S17" s="322">
        <v>4205</v>
      </c>
      <c r="T17" s="322">
        <v>3949</v>
      </c>
      <c r="U17" s="332">
        <v>5872</v>
      </c>
      <c r="V17" s="322">
        <v>5371</v>
      </c>
      <c r="W17" s="322">
        <v>4883</v>
      </c>
      <c r="X17" s="322">
        <v>6814</v>
      </c>
      <c r="Y17" s="332">
        <v>8540</v>
      </c>
      <c r="Z17" s="322">
        <v>10225</v>
      </c>
      <c r="AA17" s="322">
        <v>13005</v>
      </c>
      <c r="AB17" s="322">
        <v>14250</v>
      </c>
      <c r="AC17" s="332">
        <v>15053</v>
      </c>
      <c r="AD17" s="322">
        <v>16191</v>
      </c>
      <c r="AE17" s="322">
        <v>10931</v>
      </c>
      <c r="AF17" s="322">
        <v>11745</v>
      </c>
      <c r="AG17" s="332">
        <v>10792</v>
      </c>
      <c r="AH17" s="322">
        <v>11207</v>
      </c>
      <c r="AI17" s="322">
        <v>10380</v>
      </c>
      <c r="AJ17" s="322">
        <v>11879</v>
      </c>
      <c r="AK17" s="332">
        <v>7326</v>
      </c>
      <c r="AL17" s="322">
        <v>4587</v>
      </c>
      <c r="AM17" s="322">
        <v>4949</v>
      </c>
      <c r="AN17" s="322">
        <v>6330</v>
      </c>
      <c r="AO17" s="332">
        <v>6401</v>
      </c>
      <c r="AP17" s="322">
        <v>13879</v>
      </c>
      <c r="AQ17" s="322">
        <v>6598</v>
      </c>
      <c r="AR17" s="322">
        <v>7129</v>
      </c>
      <c r="AS17" s="332">
        <v>7179</v>
      </c>
      <c r="AT17" s="322">
        <v>9107</v>
      </c>
      <c r="AU17" s="322">
        <v>7659</v>
      </c>
      <c r="AV17" s="322">
        <v>10050</v>
      </c>
      <c r="AW17" s="332">
        <v>9574</v>
      </c>
      <c r="AX17" s="322">
        <v>9214</v>
      </c>
      <c r="AY17" s="322">
        <v>6928</v>
      </c>
    </row>
    <row r="18" spans="1:51" ht="13">
      <c r="A18" s="321" t="s">
        <v>413</v>
      </c>
      <c r="B18" s="337" t="s">
        <v>192</v>
      </c>
      <c r="C18" s="337" t="s">
        <v>192</v>
      </c>
      <c r="D18" s="337" t="s">
        <v>192</v>
      </c>
      <c r="E18" s="337" t="s">
        <v>192</v>
      </c>
      <c r="F18" s="337" t="s">
        <v>192</v>
      </c>
      <c r="G18" s="337" t="s">
        <v>192</v>
      </c>
      <c r="H18" s="337" t="s">
        <v>192</v>
      </c>
      <c r="I18" s="337">
        <v>103</v>
      </c>
      <c r="J18" s="337">
        <v>0</v>
      </c>
      <c r="K18" s="337" t="s">
        <v>192</v>
      </c>
      <c r="L18" s="337" t="s">
        <v>192</v>
      </c>
      <c r="M18" s="311"/>
      <c r="N18" s="337" t="s">
        <v>192</v>
      </c>
      <c r="O18" s="337" t="s">
        <v>192</v>
      </c>
      <c r="P18" s="337" t="s">
        <v>192</v>
      </c>
      <c r="Q18" s="338" t="s">
        <v>192</v>
      </c>
      <c r="R18" s="337" t="s">
        <v>192</v>
      </c>
      <c r="S18" s="337" t="s">
        <v>192</v>
      </c>
      <c r="T18" s="337" t="s">
        <v>192</v>
      </c>
      <c r="U18" s="338" t="s">
        <v>192</v>
      </c>
      <c r="V18" s="337" t="s">
        <v>192</v>
      </c>
      <c r="W18" s="337" t="s">
        <v>192</v>
      </c>
      <c r="X18" s="337" t="s">
        <v>192</v>
      </c>
      <c r="Y18" s="338" t="s">
        <v>192</v>
      </c>
      <c r="Z18" s="337" t="s">
        <v>192</v>
      </c>
      <c r="AA18" s="337" t="s">
        <v>192</v>
      </c>
      <c r="AB18" s="337" t="s">
        <v>192</v>
      </c>
      <c r="AC18" s="338" t="s">
        <v>192</v>
      </c>
      <c r="AD18" s="337" t="s">
        <v>192</v>
      </c>
      <c r="AE18" s="337" t="s">
        <v>192</v>
      </c>
      <c r="AF18" s="337" t="s">
        <v>192</v>
      </c>
      <c r="AG18" s="338" t="s">
        <v>192</v>
      </c>
      <c r="AH18" s="337" t="s">
        <v>192</v>
      </c>
      <c r="AI18" s="322">
        <v>98</v>
      </c>
      <c r="AJ18" s="322">
        <v>100</v>
      </c>
      <c r="AK18" s="338">
        <v>103</v>
      </c>
      <c r="AL18" s="337">
        <v>101</v>
      </c>
      <c r="AM18" s="322">
        <v>98</v>
      </c>
      <c r="AN18" s="322">
        <v>95</v>
      </c>
      <c r="AO18" s="338" t="s">
        <v>192</v>
      </c>
      <c r="AP18" s="337" t="s">
        <v>192</v>
      </c>
      <c r="AQ18" s="337" t="s">
        <v>192</v>
      </c>
      <c r="AR18" s="337" t="s">
        <v>192</v>
      </c>
      <c r="AS18" s="338" t="s">
        <v>192</v>
      </c>
      <c r="AT18" s="337" t="s">
        <v>192</v>
      </c>
      <c r="AU18" s="337" t="s">
        <v>192</v>
      </c>
      <c r="AV18" s="337" t="s">
        <v>192</v>
      </c>
      <c r="AW18" s="338" t="s">
        <v>192</v>
      </c>
      <c r="AX18" s="337" t="s">
        <v>192</v>
      </c>
      <c r="AY18" s="337" t="s">
        <v>192</v>
      </c>
    </row>
    <row r="19" spans="1:51" ht="13">
      <c r="A19" s="333" t="s">
        <v>414</v>
      </c>
      <c r="B19" s="334">
        <v>19806</v>
      </c>
      <c r="C19" s="335">
        <v>21283</v>
      </c>
      <c r="D19" s="334">
        <v>19320</v>
      </c>
      <c r="E19" s="334">
        <v>26959</v>
      </c>
      <c r="F19" s="334">
        <v>29147</v>
      </c>
      <c r="G19" s="334">
        <v>32313</v>
      </c>
      <c r="H19" s="334">
        <v>32902</v>
      </c>
      <c r="I19" s="334">
        <v>38475</v>
      </c>
      <c r="J19" s="334">
        <v>41120</v>
      </c>
      <c r="K19" s="334">
        <v>45204</v>
      </c>
      <c r="L19" s="334">
        <v>45533</v>
      </c>
      <c r="M19" s="311"/>
      <c r="N19" s="334">
        <v>20987</v>
      </c>
      <c r="O19" s="334">
        <v>22422</v>
      </c>
      <c r="P19" s="335">
        <v>19233</v>
      </c>
      <c r="Q19" s="336">
        <v>19320</v>
      </c>
      <c r="R19" s="334">
        <v>21562</v>
      </c>
      <c r="S19" s="334">
        <v>25639</v>
      </c>
      <c r="T19" s="334">
        <v>25441</v>
      </c>
      <c r="U19" s="336">
        <v>26959</v>
      </c>
      <c r="V19" s="334">
        <v>27809</v>
      </c>
      <c r="W19" s="334">
        <v>27819</v>
      </c>
      <c r="X19" s="334">
        <v>29138</v>
      </c>
      <c r="Y19" s="336">
        <v>29147</v>
      </c>
      <c r="Z19" s="334">
        <v>31087</v>
      </c>
      <c r="AA19" s="334">
        <v>32155</v>
      </c>
      <c r="AB19" s="334">
        <v>32614</v>
      </c>
      <c r="AC19" s="336">
        <v>32313</v>
      </c>
      <c r="AD19" s="334">
        <v>34893</v>
      </c>
      <c r="AE19" s="334">
        <v>30566</v>
      </c>
      <c r="AF19" s="334">
        <v>32617</v>
      </c>
      <c r="AG19" s="336">
        <v>32902</v>
      </c>
      <c r="AH19" s="334">
        <v>36181</v>
      </c>
      <c r="AI19" s="334">
        <v>38107</v>
      </c>
      <c r="AJ19" s="334">
        <v>42807</v>
      </c>
      <c r="AK19" s="336">
        <v>38475</v>
      </c>
      <c r="AL19" s="334">
        <v>38735</v>
      </c>
      <c r="AM19" s="334">
        <v>42244</v>
      </c>
      <c r="AN19" s="334">
        <v>42935</v>
      </c>
      <c r="AO19" s="336">
        <v>41120</v>
      </c>
      <c r="AP19" s="334">
        <v>50397</v>
      </c>
      <c r="AQ19" s="334">
        <v>45231</v>
      </c>
      <c r="AR19" s="334">
        <v>44480</v>
      </c>
      <c r="AS19" s="336">
        <v>45204</v>
      </c>
      <c r="AT19" s="334">
        <v>45695</v>
      </c>
      <c r="AU19" s="334">
        <v>44346</v>
      </c>
      <c r="AV19" s="334">
        <v>46340</v>
      </c>
      <c r="AW19" s="336">
        <v>45533</v>
      </c>
      <c r="AX19" s="334">
        <v>47853</v>
      </c>
      <c r="AY19" s="334">
        <v>49482</v>
      </c>
    </row>
    <row r="20" spans="1:51" ht="13">
      <c r="A20" s="333" t="s">
        <v>415</v>
      </c>
      <c r="B20" s="334">
        <v>28418</v>
      </c>
      <c r="C20" s="335">
        <v>29984</v>
      </c>
      <c r="D20" s="334">
        <v>27547</v>
      </c>
      <c r="E20" s="334">
        <v>36155</v>
      </c>
      <c r="F20" s="334">
        <v>41037</v>
      </c>
      <c r="G20" s="334">
        <v>43886</v>
      </c>
      <c r="H20" s="334">
        <v>48583</v>
      </c>
      <c r="I20" s="334">
        <v>61780</v>
      </c>
      <c r="J20" s="334">
        <v>67784</v>
      </c>
      <c r="K20" s="334">
        <v>83589</v>
      </c>
      <c r="L20" s="334">
        <v>80377</v>
      </c>
      <c r="M20" s="311"/>
      <c r="N20" s="334">
        <v>29685</v>
      </c>
      <c r="O20" s="334">
        <v>30965</v>
      </c>
      <c r="P20" s="335">
        <v>27622</v>
      </c>
      <c r="Q20" s="336">
        <v>27547</v>
      </c>
      <c r="R20" s="334">
        <v>30465</v>
      </c>
      <c r="S20" s="334">
        <v>35024</v>
      </c>
      <c r="T20" s="334">
        <v>34487</v>
      </c>
      <c r="U20" s="336">
        <v>36155</v>
      </c>
      <c r="V20" s="334">
        <v>39662</v>
      </c>
      <c r="W20" s="334">
        <v>40148</v>
      </c>
      <c r="X20" s="334">
        <v>41525</v>
      </c>
      <c r="Y20" s="336">
        <v>41037</v>
      </c>
      <c r="Z20" s="334">
        <v>43689</v>
      </c>
      <c r="AA20" s="334">
        <v>44324</v>
      </c>
      <c r="AB20" s="334">
        <v>44634</v>
      </c>
      <c r="AC20" s="336">
        <v>43886</v>
      </c>
      <c r="AD20" s="334">
        <v>46851</v>
      </c>
      <c r="AE20" s="334">
        <v>44517</v>
      </c>
      <c r="AF20" s="334">
        <v>47259</v>
      </c>
      <c r="AG20" s="336">
        <v>48583</v>
      </c>
      <c r="AH20" s="334">
        <v>52409</v>
      </c>
      <c r="AI20" s="334">
        <v>55543</v>
      </c>
      <c r="AJ20" s="334">
        <v>61685</v>
      </c>
      <c r="AK20" s="336">
        <v>61780</v>
      </c>
      <c r="AL20" s="334">
        <v>65302</v>
      </c>
      <c r="AM20" s="334">
        <v>70294</v>
      </c>
      <c r="AN20" s="334">
        <v>70640</v>
      </c>
      <c r="AO20" s="336">
        <v>67784</v>
      </c>
      <c r="AP20" s="334">
        <v>77934</v>
      </c>
      <c r="AQ20" s="334">
        <v>81016</v>
      </c>
      <c r="AR20" s="334">
        <v>81565</v>
      </c>
      <c r="AS20" s="336">
        <v>83589</v>
      </c>
      <c r="AT20" s="334">
        <v>80850</v>
      </c>
      <c r="AU20" s="334">
        <v>79352</v>
      </c>
      <c r="AV20" s="334">
        <v>81375</v>
      </c>
      <c r="AW20" s="336">
        <v>80377</v>
      </c>
      <c r="AX20" s="334">
        <v>83504</v>
      </c>
      <c r="AY20" s="334">
        <v>85891</v>
      </c>
    </row>
    <row r="21" spans="1:51" ht="13">
      <c r="A21" s="321"/>
      <c r="B21" s="322"/>
      <c r="C21" s="323"/>
      <c r="D21" s="322"/>
      <c r="E21" s="322"/>
      <c r="F21" s="322"/>
      <c r="G21" s="322"/>
      <c r="H21" s="322"/>
      <c r="I21" s="322"/>
      <c r="J21" s="322"/>
      <c r="K21" s="322"/>
      <c r="L21" s="322"/>
      <c r="M21" s="311"/>
      <c r="N21" s="322"/>
      <c r="O21" s="322"/>
      <c r="P21" s="323"/>
      <c r="Q21" s="332"/>
      <c r="R21" s="322"/>
      <c r="S21" s="322"/>
      <c r="T21" s="322"/>
      <c r="U21" s="332"/>
      <c r="V21" s="322"/>
      <c r="W21" s="322"/>
      <c r="X21" s="322"/>
      <c r="Y21" s="332"/>
      <c r="Z21" s="322"/>
      <c r="AA21" s="322"/>
      <c r="AB21" s="322"/>
      <c r="AC21" s="332"/>
      <c r="AD21" s="322" t="s">
        <v>302</v>
      </c>
      <c r="AE21" s="322"/>
      <c r="AF21" s="322"/>
      <c r="AG21" s="332"/>
      <c r="AH21" s="322"/>
      <c r="AI21" s="322"/>
      <c r="AJ21" s="322"/>
      <c r="AK21" s="332"/>
      <c r="AL21" s="322"/>
      <c r="AM21" s="322"/>
      <c r="AN21" s="322"/>
      <c r="AO21" s="332"/>
      <c r="AP21" s="322"/>
      <c r="AQ21" s="322"/>
      <c r="AR21" s="322"/>
      <c r="AS21" s="332"/>
      <c r="AT21" s="322"/>
      <c r="AU21" s="322"/>
      <c r="AV21" s="322"/>
      <c r="AW21" s="332"/>
      <c r="AX21" s="322"/>
      <c r="AY21" s="322"/>
    </row>
    <row r="22" spans="1:51" ht="13">
      <c r="A22" s="321" t="s">
        <v>416</v>
      </c>
      <c r="B22" s="322">
        <v>20</v>
      </c>
      <c r="C22" s="323">
        <v>20</v>
      </c>
      <c r="D22" s="322">
        <v>21</v>
      </c>
      <c r="E22" s="322">
        <v>500</v>
      </c>
      <c r="F22" s="322">
        <v>500</v>
      </c>
      <c r="G22" s="322">
        <v>500</v>
      </c>
      <c r="H22" s="322">
        <v>500</v>
      </c>
      <c r="I22" s="322">
        <v>500</v>
      </c>
      <c r="J22" s="322">
        <v>500</v>
      </c>
      <c r="K22" s="322">
        <v>500</v>
      </c>
      <c r="L22" s="322">
        <v>500</v>
      </c>
      <c r="M22" s="311"/>
      <c r="N22" s="322">
        <v>20</v>
      </c>
      <c r="O22" s="322">
        <v>20</v>
      </c>
      <c r="P22" s="323">
        <v>20</v>
      </c>
      <c r="Q22" s="332">
        <v>21</v>
      </c>
      <c r="R22" s="322">
        <v>21</v>
      </c>
      <c r="S22" s="322">
        <v>500</v>
      </c>
      <c r="T22" s="322">
        <v>500</v>
      </c>
      <c r="U22" s="332">
        <v>500</v>
      </c>
      <c r="V22" s="322">
        <v>500</v>
      </c>
      <c r="W22" s="322">
        <v>500</v>
      </c>
      <c r="X22" s="322">
        <v>500</v>
      </c>
      <c r="Y22" s="332">
        <v>500</v>
      </c>
      <c r="Z22" s="322">
        <v>500</v>
      </c>
      <c r="AA22" s="322">
        <v>500</v>
      </c>
      <c r="AB22" s="322">
        <v>500</v>
      </c>
      <c r="AC22" s="332">
        <v>500</v>
      </c>
      <c r="AD22" s="322">
        <v>500</v>
      </c>
      <c r="AE22" s="322">
        <v>500</v>
      </c>
      <c r="AF22" s="322">
        <v>500</v>
      </c>
      <c r="AG22" s="332">
        <v>500</v>
      </c>
      <c r="AH22" s="322">
        <v>500</v>
      </c>
      <c r="AI22" s="322">
        <v>500</v>
      </c>
      <c r="AJ22" s="322">
        <v>500</v>
      </c>
      <c r="AK22" s="332">
        <v>500</v>
      </c>
      <c r="AL22" s="322">
        <v>500</v>
      </c>
      <c r="AM22" s="322">
        <v>500</v>
      </c>
      <c r="AN22" s="322">
        <v>500</v>
      </c>
      <c r="AO22" s="332">
        <v>500</v>
      </c>
      <c r="AP22" s="322">
        <v>500</v>
      </c>
      <c r="AQ22" s="322">
        <v>500</v>
      </c>
      <c r="AR22" s="322">
        <v>500</v>
      </c>
      <c r="AS22" s="332">
        <v>500</v>
      </c>
      <c r="AT22" s="322">
        <v>500</v>
      </c>
      <c r="AU22" s="322">
        <v>500</v>
      </c>
      <c r="AV22" s="322">
        <v>500</v>
      </c>
      <c r="AW22" s="332">
        <v>500</v>
      </c>
      <c r="AX22" s="322">
        <v>500</v>
      </c>
      <c r="AY22" s="322">
        <v>500</v>
      </c>
    </row>
    <row r="23" spans="1:51" ht="13">
      <c r="A23" s="321" t="s">
        <v>417</v>
      </c>
      <c r="B23" s="322">
        <v>14815</v>
      </c>
      <c r="C23" s="323">
        <v>15793</v>
      </c>
      <c r="D23" s="322">
        <v>12020</v>
      </c>
      <c r="E23" s="322">
        <v>18297</v>
      </c>
      <c r="F23" s="322">
        <v>22261</v>
      </c>
      <c r="G23" s="322">
        <v>23193</v>
      </c>
      <c r="H23" s="322">
        <v>25229</v>
      </c>
      <c r="I23" s="322">
        <v>32520</v>
      </c>
      <c r="J23" s="322">
        <v>36322</v>
      </c>
      <c r="K23" s="322">
        <v>42257</v>
      </c>
      <c r="L23" s="322">
        <v>41761</v>
      </c>
      <c r="M23" s="311"/>
      <c r="N23" s="322">
        <v>17321</v>
      </c>
      <c r="O23" s="322">
        <v>16130</v>
      </c>
      <c r="P23" s="323">
        <v>12495</v>
      </c>
      <c r="Q23" s="332">
        <v>12020</v>
      </c>
      <c r="R23" s="322">
        <v>16024</v>
      </c>
      <c r="S23" s="322">
        <v>16989</v>
      </c>
      <c r="T23" s="322">
        <v>16859</v>
      </c>
      <c r="U23" s="332">
        <v>18297</v>
      </c>
      <c r="V23" s="322">
        <v>20131</v>
      </c>
      <c r="W23" s="322">
        <v>19340</v>
      </c>
      <c r="X23" s="322">
        <v>21282</v>
      </c>
      <c r="Y23" s="332">
        <v>22261</v>
      </c>
      <c r="Z23" s="322">
        <v>24157</v>
      </c>
      <c r="AA23" s="322">
        <v>22831</v>
      </c>
      <c r="AB23" s="322">
        <v>24009</v>
      </c>
      <c r="AC23" s="332">
        <v>23193</v>
      </c>
      <c r="AD23" s="322">
        <v>25654</v>
      </c>
      <c r="AE23" s="322">
        <v>20477</v>
      </c>
      <c r="AF23" s="322">
        <v>22745</v>
      </c>
      <c r="AG23" s="332">
        <v>25229</v>
      </c>
      <c r="AH23" s="322">
        <v>28254</v>
      </c>
      <c r="AI23" s="322">
        <v>28093</v>
      </c>
      <c r="AJ23" s="322">
        <v>31260</v>
      </c>
      <c r="AK23" s="332">
        <v>32520</v>
      </c>
      <c r="AL23" s="322">
        <v>34485</v>
      </c>
      <c r="AM23" s="322">
        <v>34200</v>
      </c>
      <c r="AN23" s="322">
        <v>36141</v>
      </c>
      <c r="AO23" s="332">
        <v>36322</v>
      </c>
      <c r="AP23" s="322">
        <v>39867</v>
      </c>
      <c r="AQ23" s="322">
        <v>37198</v>
      </c>
      <c r="AR23" s="322">
        <v>38725</v>
      </c>
      <c r="AS23" s="332">
        <v>42257</v>
      </c>
      <c r="AT23" s="322">
        <v>41602</v>
      </c>
      <c r="AU23" s="322">
        <v>38079</v>
      </c>
      <c r="AV23" s="322">
        <v>39878</v>
      </c>
      <c r="AW23" s="332">
        <v>41761</v>
      </c>
      <c r="AX23" s="322">
        <v>45403</v>
      </c>
      <c r="AY23" s="322">
        <v>44091</v>
      </c>
    </row>
    <row r="24" spans="1:51" ht="13">
      <c r="A24" s="339" t="s">
        <v>418</v>
      </c>
      <c r="B24" s="335">
        <v>14835</v>
      </c>
      <c r="C24" s="335">
        <v>15813</v>
      </c>
      <c r="D24" s="334">
        <v>12041</v>
      </c>
      <c r="E24" s="334">
        <v>18797</v>
      </c>
      <c r="F24" s="334">
        <v>22761</v>
      </c>
      <c r="G24" s="334">
        <v>23693</v>
      </c>
      <c r="H24" s="334">
        <v>25729</v>
      </c>
      <c r="I24" s="334">
        <v>33020</v>
      </c>
      <c r="J24" s="334">
        <v>36822</v>
      </c>
      <c r="K24" s="334">
        <v>42757</v>
      </c>
      <c r="L24" s="334">
        <v>42261</v>
      </c>
      <c r="M24" s="311"/>
      <c r="N24" s="334">
        <v>17341</v>
      </c>
      <c r="O24" s="334">
        <v>16150</v>
      </c>
      <c r="P24" s="335">
        <v>12515</v>
      </c>
      <c r="Q24" s="336">
        <v>12041</v>
      </c>
      <c r="R24" s="334">
        <v>16045</v>
      </c>
      <c r="S24" s="334">
        <v>17489</v>
      </c>
      <c r="T24" s="334">
        <v>17359</v>
      </c>
      <c r="U24" s="336">
        <v>18797</v>
      </c>
      <c r="V24" s="334">
        <v>20631</v>
      </c>
      <c r="W24" s="334">
        <v>19840</v>
      </c>
      <c r="X24" s="334">
        <v>21782</v>
      </c>
      <c r="Y24" s="336">
        <v>22761</v>
      </c>
      <c r="Z24" s="334">
        <v>24657</v>
      </c>
      <c r="AA24" s="334">
        <v>23331</v>
      </c>
      <c r="AB24" s="334">
        <v>24509</v>
      </c>
      <c r="AC24" s="336">
        <v>23693</v>
      </c>
      <c r="AD24" s="334">
        <v>26154</v>
      </c>
      <c r="AE24" s="334">
        <v>20977</v>
      </c>
      <c r="AF24" s="334">
        <v>23245</v>
      </c>
      <c r="AG24" s="336">
        <v>25729</v>
      </c>
      <c r="AH24" s="334">
        <v>28754</v>
      </c>
      <c r="AI24" s="334">
        <v>28593</v>
      </c>
      <c r="AJ24" s="334">
        <v>31760</v>
      </c>
      <c r="AK24" s="336">
        <v>33020</v>
      </c>
      <c r="AL24" s="334">
        <v>34985</v>
      </c>
      <c r="AM24" s="334">
        <v>34700</v>
      </c>
      <c r="AN24" s="334">
        <v>36641</v>
      </c>
      <c r="AO24" s="336">
        <v>36822</v>
      </c>
      <c r="AP24" s="334">
        <v>40367</v>
      </c>
      <c r="AQ24" s="334">
        <v>37698</v>
      </c>
      <c r="AR24" s="334">
        <v>39225</v>
      </c>
      <c r="AS24" s="336">
        <v>42757</v>
      </c>
      <c r="AT24" s="334">
        <v>42102</v>
      </c>
      <c r="AU24" s="334">
        <v>38579</v>
      </c>
      <c r="AV24" s="334">
        <v>40378</v>
      </c>
      <c r="AW24" s="336">
        <v>42261</v>
      </c>
      <c r="AX24" s="334">
        <v>45903</v>
      </c>
      <c r="AY24" s="334">
        <v>44591</v>
      </c>
    </row>
    <row r="25" spans="1:51" ht="13">
      <c r="A25" s="321" t="s">
        <v>419</v>
      </c>
      <c r="B25" s="322">
        <v>94</v>
      </c>
      <c r="C25" s="323">
        <v>0</v>
      </c>
      <c r="D25" s="322">
        <v>6</v>
      </c>
      <c r="E25" s="322">
        <v>50</v>
      </c>
      <c r="F25" s="322">
        <v>52</v>
      </c>
      <c r="G25" s="322">
        <v>46</v>
      </c>
      <c r="H25" s="322">
        <v>56</v>
      </c>
      <c r="I25" s="322">
        <v>488</v>
      </c>
      <c r="J25" s="322">
        <v>388</v>
      </c>
      <c r="K25" s="322">
        <v>423</v>
      </c>
      <c r="L25" s="322">
        <v>11</v>
      </c>
      <c r="M25" s="311"/>
      <c r="N25" s="322">
        <v>6</v>
      </c>
      <c r="O25" s="322">
        <v>6</v>
      </c>
      <c r="P25" s="323">
        <v>6</v>
      </c>
      <c r="Q25" s="332">
        <v>6</v>
      </c>
      <c r="R25" s="322">
        <v>45</v>
      </c>
      <c r="S25" s="322">
        <v>48</v>
      </c>
      <c r="T25" s="322">
        <v>47</v>
      </c>
      <c r="U25" s="332">
        <v>50</v>
      </c>
      <c r="V25" s="322">
        <v>54</v>
      </c>
      <c r="W25" s="322">
        <v>49</v>
      </c>
      <c r="X25" s="322">
        <v>52</v>
      </c>
      <c r="Y25" s="332">
        <v>52</v>
      </c>
      <c r="Z25" s="322">
        <v>55</v>
      </c>
      <c r="AA25" s="322">
        <v>52</v>
      </c>
      <c r="AB25" s="322">
        <v>47</v>
      </c>
      <c r="AC25" s="332">
        <v>46</v>
      </c>
      <c r="AD25" s="322">
        <v>52</v>
      </c>
      <c r="AE25" s="322">
        <v>51</v>
      </c>
      <c r="AF25" s="322">
        <v>56</v>
      </c>
      <c r="AG25" s="332">
        <v>56</v>
      </c>
      <c r="AH25" s="322">
        <v>63</v>
      </c>
      <c r="AI25" s="322">
        <v>70</v>
      </c>
      <c r="AJ25" s="322">
        <v>6</v>
      </c>
      <c r="AK25" s="332">
        <v>488</v>
      </c>
      <c r="AL25" s="322">
        <v>479</v>
      </c>
      <c r="AM25" s="322">
        <v>505</v>
      </c>
      <c r="AN25" s="322">
        <v>502</v>
      </c>
      <c r="AO25" s="332">
        <v>388</v>
      </c>
      <c r="AP25" s="322">
        <v>397</v>
      </c>
      <c r="AQ25" s="322">
        <v>406</v>
      </c>
      <c r="AR25" s="322">
        <v>405</v>
      </c>
      <c r="AS25" s="332">
        <v>423</v>
      </c>
      <c r="AT25" s="322">
        <v>368</v>
      </c>
      <c r="AU25" s="322">
        <v>17</v>
      </c>
      <c r="AV25" s="322">
        <v>16</v>
      </c>
      <c r="AW25" s="332">
        <v>11</v>
      </c>
      <c r="AX25" s="322">
        <v>11</v>
      </c>
      <c r="AY25" s="322">
        <v>6</v>
      </c>
    </row>
    <row r="26" spans="1:51" ht="13">
      <c r="A26" s="333" t="s">
        <v>420</v>
      </c>
      <c r="B26" s="334">
        <v>14929</v>
      </c>
      <c r="C26" s="335">
        <v>15813</v>
      </c>
      <c r="D26" s="334">
        <v>12047</v>
      </c>
      <c r="E26" s="334">
        <v>18847</v>
      </c>
      <c r="F26" s="334">
        <v>22813</v>
      </c>
      <c r="G26" s="334">
        <v>23739</v>
      </c>
      <c r="H26" s="334">
        <v>25785</v>
      </c>
      <c r="I26" s="334">
        <v>33508</v>
      </c>
      <c r="J26" s="334">
        <v>37210</v>
      </c>
      <c r="K26" s="334">
        <v>43180</v>
      </c>
      <c r="L26" s="334">
        <v>42272</v>
      </c>
      <c r="M26" s="311"/>
      <c r="N26" s="334">
        <v>17347</v>
      </c>
      <c r="O26" s="334">
        <v>16156</v>
      </c>
      <c r="P26" s="335">
        <v>12521</v>
      </c>
      <c r="Q26" s="336">
        <v>12047</v>
      </c>
      <c r="R26" s="334">
        <v>16090</v>
      </c>
      <c r="S26" s="334">
        <v>17537</v>
      </c>
      <c r="T26" s="334">
        <v>17406</v>
      </c>
      <c r="U26" s="336">
        <v>18847</v>
      </c>
      <c r="V26" s="334">
        <v>20685</v>
      </c>
      <c r="W26" s="334">
        <v>19889</v>
      </c>
      <c r="X26" s="334">
        <v>21834</v>
      </c>
      <c r="Y26" s="336">
        <v>22813</v>
      </c>
      <c r="Z26" s="334">
        <v>24712</v>
      </c>
      <c r="AA26" s="334">
        <v>23383</v>
      </c>
      <c r="AB26" s="334">
        <v>24556</v>
      </c>
      <c r="AC26" s="336">
        <v>23739</v>
      </c>
      <c r="AD26" s="334">
        <v>26206</v>
      </c>
      <c r="AE26" s="334">
        <v>21028</v>
      </c>
      <c r="AF26" s="334">
        <v>23301</v>
      </c>
      <c r="AG26" s="336">
        <v>25785</v>
      </c>
      <c r="AH26" s="334">
        <v>28817</v>
      </c>
      <c r="AI26" s="334">
        <v>28663</v>
      </c>
      <c r="AJ26" s="334">
        <v>31766</v>
      </c>
      <c r="AK26" s="336">
        <v>33508</v>
      </c>
      <c r="AL26" s="334">
        <v>35464</v>
      </c>
      <c r="AM26" s="334">
        <v>35205</v>
      </c>
      <c r="AN26" s="334">
        <v>37143</v>
      </c>
      <c r="AO26" s="336">
        <v>37210</v>
      </c>
      <c r="AP26" s="334">
        <v>40764</v>
      </c>
      <c r="AQ26" s="334">
        <v>38104</v>
      </c>
      <c r="AR26" s="334">
        <v>39630</v>
      </c>
      <c r="AS26" s="336">
        <v>43180</v>
      </c>
      <c r="AT26" s="334">
        <v>42470</v>
      </c>
      <c r="AU26" s="334">
        <v>38596</v>
      </c>
      <c r="AV26" s="334">
        <v>40394</v>
      </c>
      <c r="AW26" s="336">
        <v>42272</v>
      </c>
      <c r="AX26" s="334">
        <v>45914</v>
      </c>
      <c r="AY26" s="334">
        <v>44597</v>
      </c>
    </row>
    <row r="27" spans="1:51" ht="13">
      <c r="A27" s="321" t="s">
        <v>421</v>
      </c>
      <c r="B27" s="322">
        <v>4169</v>
      </c>
      <c r="C27" s="323">
        <v>4193</v>
      </c>
      <c r="D27" s="322">
        <v>2250</v>
      </c>
      <c r="E27" s="322">
        <v>5095</v>
      </c>
      <c r="F27" s="322">
        <v>7724</v>
      </c>
      <c r="G27" s="322">
        <v>9491</v>
      </c>
      <c r="H27" s="322">
        <v>8562</v>
      </c>
      <c r="I27" s="322">
        <v>8877</v>
      </c>
      <c r="J27" s="322">
        <v>11822</v>
      </c>
      <c r="K27" s="322">
        <v>19612</v>
      </c>
      <c r="L27" s="322">
        <v>16776</v>
      </c>
      <c r="M27" s="311"/>
      <c r="N27" s="322">
        <v>4268</v>
      </c>
      <c r="O27" s="322">
        <v>5768</v>
      </c>
      <c r="P27" s="323">
        <v>6194</v>
      </c>
      <c r="Q27" s="332">
        <v>2250</v>
      </c>
      <c r="R27" s="322">
        <v>3868</v>
      </c>
      <c r="S27" s="322">
        <v>1179</v>
      </c>
      <c r="T27" s="322">
        <v>1097</v>
      </c>
      <c r="U27" s="332">
        <v>5095</v>
      </c>
      <c r="V27" s="322">
        <v>7828</v>
      </c>
      <c r="W27" s="322">
        <v>7848</v>
      </c>
      <c r="X27" s="322">
        <v>7877</v>
      </c>
      <c r="Y27" s="332">
        <v>7724</v>
      </c>
      <c r="Z27" s="322">
        <v>7730</v>
      </c>
      <c r="AA27" s="322">
        <v>7686</v>
      </c>
      <c r="AB27" s="322">
        <v>7668</v>
      </c>
      <c r="AC27" s="332">
        <v>9491</v>
      </c>
      <c r="AD27" s="322">
        <v>9585</v>
      </c>
      <c r="AE27" s="322">
        <v>8527</v>
      </c>
      <c r="AF27" s="322">
        <v>8592</v>
      </c>
      <c r="AG27" s="332">
        <v>8562</v>
      </c>
      <c r="AH27" s="322">
        <v>8641</v>
      </c>
      <c r="AI27" s="322">
        <v>8788</v>
      </c>
      <c r="AJ27" s="322">
        <v>9880</v>
      </c>
      <c r="AK27" s="332">
        <v>8877</v>
      </c>
      <c r="AL27" s="322">
        <v>8813</v>
      </c>
      <c r="AM27" s="322">
        <v>10344</v>
      </c>
      <c r="AN27" s="322">
        <v>10798</v>
      </c>
      <c r="AO27" s="332">
        <v>11822</v>
      </c>
      <c r="AP27" s="322">
        <v>17694</v>
      </c>
      <c r="AQ27" s="322">
        <v>17977</v>
      </c>
      <c r="AR27" s="322">
        <v>18051</v>
      </c>
      <c r="AS27" s="332">
        <v>19612</v>
      </c>
      <c r="AT27" s="322">
        <v>18992</v>
      </c>
      <c r="AU27" s="322">
        <v>17067</v>
      </c>
      <c r="AV27" s="322">
        <v>17023</v>
      </c>
      <c r="AW27" s="332">
        <v>16776</v>
      </c>
      <c r="AX27" s="322">
        <v>15894</v>
      </c>
      <c r="AY27" s="322">
        <v>15966</v>
      </c>
    </row>
    <row r="28" spans="1:51" ht="13">
      <c r="A28" s="321" t="s">
        <v>422</v>
      </c>
      <c r="B28" s="322">
        <v>259</v>
      </c>
      <c r="C28" s="323">
        <v>253</v>
      </c>
      <c r="D28" s="322">
        <v>181</v>
      </c>
      <c r="E28" s="322">
        <v>283</v>
      </c>
      <c r="F28" s="322">
        <v>596</v>
      </c>
      <c r="G28" s="322">
        <v>806</v>
      </c>
      <c r="H28" s="322">
        <v>356</v>
      </c>
      <c r="I28" s="322">
        <v>149</v>
      </c>
      <c r="J28" s="322">
        <v>251</v>
      </c>
      <c r="K28" s="322">
        <v>201</v>
      </c>
      <c r="L28" s="322">
        <v>178</v>
      </c>
      <c r="M28" s="311"/>
      <c r="N28" s="322">
        <v>187</v>
      </c>
      <c r="O28" s="322">
        <v>183</v>
      </c>
      <c r="P28" s="323">
        <v>177</v>
      </c>
      <c r="Q28" s="332">
        <v>181</v>
      </c>
      <c r="R28" s="322">
        <v>145</v>
      </c>
      <c r="S28" s="322">
        <v>176</v>
      </c>
      <c r="T28" s="322">
        <v>212</v>
      </c>
      <c r="U28" s="332">
        <v>283</v>
      </c>
      <c r="V28" s="322">
        <v>380</v>
      </c>
      <c r="W28" s="322">
        <v>460</v>
      </c>
      <c r="X28" s="322">
        <v>640</v>
      </c>
      <c r="Y28" s="332">
        <v>596</v>
      </c>
      <c r="Z28" s="322">
        <v>540</v>
      </c>
      <c r="AA28" s="322">
        <v>656</v>
      </c>
      <c r="AB28" s="322">
        <v>545</v>
      </c>
      <c r="AC28" s="332">
        <v>806</v>
      </c>
      <c r="AD28" s="322">
        <v>553</v>
      </c>
      <c r="AE28" s="322">
        <v>612</v>
      </c>
      <c r="AF28" s="322">
        <v>405</v>
      </c>
      <c r="AG28" s="332">
        <v>356</v>
      </c>
      <c r="AH28" s="322">
        <v>116</v>
      </c>
      <c r="AI28" s="322">
        <v>118</v>
      </c>
      <c r="AJ28" s="322">
        <v>127</v>
      </c>
      <c r="AK28" s="332">
        <v>149</v>
      </c>
      <c r="AL28" s="322">
        <v>139</v>
      </c>
      <c r="AM28" s="322">
        <v>148</v>
      </c>
      <c r="AN28" s="322">
        <v>144</v>
      </c>
      <c r="AO28" s="332">
        <v>251</v>
      </c>
      <c r="AP28" s="322">
        <v>153</v>
      </c>
      <c r="AQ28" s="322">
        <v>133</v>
      </c>
      <c r="AR28" s="322">
        <v>134</v>
      </c>
      <c r="AS28" s="332">
        <v>201</v>
      </c>
      <c r="AT28" s="322">
        <v>169</v>
      </c>
      <c r="AU28" s="322">
        <v>171</v>
      </c>
      <c r="AV28" s="322">
        <v>169</v>
      </c>
      <c r="AW28" s="332">
        <v>178</v>
      </c>
      <c r="AX28" s="322">
        <v>189</v>
      </c>
      <c r="AY28" s="322">
        <v>193</v>
      </c>
    </row>
    <row r="29" spans="1:51" ht="13">
      <c r="A29" s="321" t="s">
        <v>423</v>
      </c>
      <c r="B29" s="322">
        <v>140</v>
      </c>
      <c r="C29" s="323">
        <v>203</v>
      </c>
      <c r="D29" s="322">
        <v>289</v>
      </c>
      <c r="E29" s="322">
        <v>412</v>
      </c>
      <c r="F29" s="322">
        <v>423</v>
      </c>
      <c r="G29" s="322">
        <v>377</v>
      </c>
      <c r="H29" s="322">
        <v>657</v>
      </c>
      <c r="I29" s="322">
        <v>652</v>
      </c>
      <c r="J29" s="322">
        <v>576</v>
      </c>
      <c r="K29" s="322">
        <v>607</v>
      </c>
      <c r="L29" s="322">
        <v>443</v>
      </c>
      <c r="M29" s="311"/>
      <c r="N29" s="322">
        <v>235</v>
      </c>
      <c r="O29" s="322">
        <v>269</v>
      </c>
      <c r="P29" s="323">
        <v>251</v>
      </c>
      <c r="Q29" s="332">
        <v>289</v>
      </c>
      <c r="R29" s="322">
        <v>283</v>
      </c>
      <c r="S29" s="322">
        <v>325</v>
      </c>
      <c r="T29" s="322">
        <v>418</v>
      </c>
      <c r="U29" s="332">
        <v>412</v>
      </c>
      <c r="V29" s="322">
        <v>442</v>
      </c>
      <c r="W29" s="322">
        <v>452</v>
      </c>
      <c r="X29" s="322">
        <v>399</v>
      </c>
      <c r="Y29" s="332">
        <v>423</v>
      </c>
      <c r="Z29" s="322">
        <v>327</v>
      </c>
      <c r="AA29" s="322">
        <v>396</v>
      </c>
      <c r="AB29" s="322">
        <v>338</v>
      </c>
      <c r="AC29" s="332">
        <v>377</v>
      </c>
      <c r="AD29" s="322">
        <v>511</v>
      </c>
      <c r="AE29" s="322">
        <v>680</v>
      </c>
      <c r="AF29" s="322">
        <v>621</v>
      </c>
      <c r="AG29" s="332">
        <v>657</v>
      </c>
      <c r="AH29" s="322">
        <v>544</v>
      </c>
      <c r="AI29" s="322">
        <v>454</v>
      </c>
      <c r="AJ29" s="322">
        <v>469</v>
      </c>
      <c r="AK29" s="332">
        <v>652</v>
      </c>
      <c r="AL29" s="322">
        <v>697</v>
      </c>
      <c r="AM29" s="322">
        <v>690</v>
      </c>
      <c r="AN29" s="322">
        <v>598</v>
      </c>
      <c r="AO29" s="332">
        <v>576</v>
      </c>
      <c r="AP29" s="322">
        <v>607</v>
      </c>
      <c r="AQ29" s="322">
        <v>563</v>
      </c>
      <c r="AR29" s="322">
        <v>635</v>
      </c>
      <c r="AS29" s="332">
        <v>607</v>
      </c>
      <c r="AT29" s="322">
        <v>547</v>
      </c>
      <c r="AU29" s="322">
        <v>498</v>
      </c>
      <c r="AV29" s="322">
        <v>492</v>
      </c>
      <c r="AW29" s="332">
        <v>443</v>
      </c>
      <c r="AX29" s="322">
        <v>458</v>
      </c>
      <c r="AY29" s="322">
        <v>497</v>
      </c>
    </row>
    <row r="30" spans="1:51" ht="13">
      <c r="A30" s="321" t="s">
        <v>424</v>
      </c>
      <c r="B30" s="337" t="s">
        <v>192</v>
      </c>
      <c r="C30" s="337" t="s">
        <v>192</v>
      </c>
      <c r="D30" s="337" t="s">
        <v>192</v>
      </c>
      <c r="E30" s="337" t="s">
        <v>192</v>
      </c>
      <c r="F30" s="337" t="s">
        <v>192</v>
      </c>
      <c r="G30" s="337">
        <v>606</v>
      </c>
      <c r="H30" s="337">
        <v>785</v>
      </c>
      <c r="I30" s="337">
        <v>1215</v>
      </c>
      <c r="J30" s="337">
        <v>922</v>
      </c>
      <c r="K30" s="337">
        <v>1737</v>
      </c>
      <c r="L30" s="337">
        <v>1552</v>
      </c>
      <c r="M30" s="311"/>
      <c r="N30" s="337" t="s">
        <v>192</v>
      </c>
      <c r="O30" s="337" t="s">
        <v>192</v>
      </c>
      <c r="P30" s="337" t="s">
        <v>192</v>
      </c>
      <c r="Q30" s="338" t="s">
        <v>192</v>
      </c>
      <c r="R30" s="337" t="s">
        <v>192</v>
      </c>
      <c r="S30" s="337" t="s">
        <v>192</v>
      </c>
      <c r="T30" s="337" t="s">
        <v>192</v>
      </c>
      <c r="U30" s="338" t="s">
        <v>192</v>
      </c>
      <c r="V30" s="337" t="s">
        <v>192</v>
      </c>
      <c r="W30" s="337" t="s">
        <v>192</v>
      </c>
      <c r="X30" s="337" t="s">
        <v>192</v>
      </c>
      <c r="Y30" s="338" t="s">
        <v>192</v>
      </c>
      <c r="Z30" s="322">
        <v>730</v>
      </c>
      <c r="AA30" s="322">
        <v>662</v>
      </c>
      <c r="AB30" s="322">
        <v>697</v>
      </c>
      <c r="AC30" s="332">
        <v>606</v>
      </c>
      <c r="AD30" s="322">
        <v>560</v>
      </c>
      <c r="AE30" s="322">
        <v>729</v>
      </c>
      <c r="AF30" s="322">
        <v>730</v>
      </c>
      <c r="AG30" s="332">
        <v>785</v>
      </c>
      <c r="AH30" s="322">
        <v>825</v>
      </c>
      <c r="AI30" s="322">
        <v>872</v>
      </c>
      <c r="AJ30" s="322">
        <v>973</v>
      </c>
      <c r="AK30" s="332">
        <v>1215</v>
      </c>
      <c r="AL30" s="322">
        <v>1207</v>
      </c>
      <c r="AM30" s="322">
        <v>1048</v>
      </c>
      <c r="AN30" s="322">
        <v>953</v>
      </c>
      <c r="AO30" s="332">
        <v>922</v>
      </c>
      <c r="AP30" s="322">
        <v>955</v>
      </c>
      <c r="AQ30" s="322">
        <v>1477</v>
      </c>
      <c r="AR30" s="322">
        <v>1500</v>
      </c>
      <c r="AS30" s="332">
        <v>1737</v>
      </c>
      <c r="AT30" s="322">
        <v>1496</v>
      </c>
      <c r="AU30" s="322">
        <v>1322</v>
      </c>
      <c r="AV30" s="322">
        <v>1488</v>
      </c>
      <c r="AW30" s="332">
        <v>1552</v>
      </c>
      <c r="AX30" s="322">
        <v>1374</v>
      </c>
      <c r="AY30" s="322">
        <v>1443</v>
      </c>
    </row>
    <row r="31" spans="1:51" ht="13">
      <c r="A31" s="333" t="s">
        <v>425</v>
      </c>
      <c r="B31" s="334">
        <v>4568</v>
      </c>
      <c r="C31" s="335">
        <v>4649</v>
      </c>
      <c r="D31" s="334">
        <v>2720</v>
      </c>
      <c r="E31" s="334">
        <v>5790</v>
      </c>
      <c r="F31" s="334">
        <v>8743</v>
      </c>
      <c r="G31" s="334">
        <v>11280</v>
      </c>
      <c r="H31" s="334">
        <v>10360</v>
      </c>
      <c r="I31" s="334">
        <v>10893</v>
      </c>
      <c r="J31" s="334">
        <v>13571</v>
      </c>
      <c r="K31" s="334">
        <v>22157</v>
      </c>
      <c r="L31" s="334">
        <v>18949</v>
      </c>
      <c r="M31" s="311"/>
      <c r="N31" s="334">
        <v>4690</v>
      </c>
      <c r="O31" s="334">
        <v>6220</v>
      </c>
      <c r="P31" s="335">
        <v>6622</v>
      </c>
      <c r="Q31" s="336">
        <v>2720</v>
      </c>
      <c r="R31" s="334">
        <v>4296</v>
      </c>
      <c r="S31" s="334">
        <v>1680</v>
      </c>
      <c r="T31" s="334">
        <v>1727</v>
      </c>
      <c r="U31" s="336">
        <v>5790</v>
      </c>
      <c r="V31" s="334">
        <v>8650</v>
      </c>
      <c r="W31" s="334">
        <v>8760</v>
      </c>
      <c r="X31" s="334">
        <v>8916</v>
      </c>
      <c r="Y31" s="336">
        <v>8743</v>
      </c>
      <c r="Z31" s="334">
        <v>9327</v>
      </c>
      <c r="AA31" s="334">
        <v>9400</v>
      </c>
      <c r="AB31" s="334">
        <v>9248</v>
      </c>
      <c r="AC31" s="336">
        <v>11280</v>
      </c>
      <c r="AD31" s="334">
        <v>11209</v>
      </c>
      <c r="AE31" s="334">
        <v>10548</v>
      </c>
      <c r="AF31" s="334">
        <v>10348</v>
      </c>
      <c r="AG31" s="336">
        <v>10360</v>
      </c>
      <c r="AH31" s="334">
        <v>10126</v>
      </c>
      <c r="AI31" s="334">
        <v>10232</v>
      </c>
      <c r="AJ31" s="334">
        <v>11449</v>
      </c>
      <c r="AK31" s="336">
        <v>10893</v>
      </c>
      <c r="AL31" s="334">
        <v>10856</v>
      </c>
      <c r="AM31" s="334">
        <v>12230</v>
      </c>
      <c r="AN31" s="334">
        <v>12493</v>
      </c>
      <c r="AO31" s="336">
        <v>13571</v>
      </c>
      <c r="AP31" s="334">
        <v>19409</v>
      </c>
      <c r="AQ31" s="334">
        <v>20150</v>
      </c>
      <c r="AR31" s="334">
        <v>20320</v>
      </c>
      <c r="AS31" s="336">
        <v>22157</v>
      </c>
      <c r="AT31" s="334">
        <v>21204</v>
      </c>
      <c r="AU31" s="334">
        <v>19058</v>
      </c>
      <c r="AV31" s="334">
        <v>19172</v>
      </c>
      <c r="AW31" s="336">
        <v>18949</v>
      </c>
      <c r="AX31" s="334">
        <v>17915</v>
      </c>
      <c r="AY31" s="334">
        <v>18099</v>
      </c>
    </row>
    <row r="32" spans="1:51" ht="13">
      <c r="A32" s="321" t="s">
        <v>421</v>
      </c>
      <c r="B32" s="322">
        <v>3043</v>
      </c>
      <c r="C32" s="323">
        <v>3674</v>
      </c>
      <c r="D32" s="322">
        <v>4808</v>
      </c>
      <c r="E32" s="322">
        <v>1702</v>
      </c>
      <c r="F32" s="322">
        <v>705</v>
      </c>
      <c r="G32" s="322">
        <v>664</v>
      </c>
      <c r="H32" s="322">
        <v>628</v>
      </c>
      <c r="I32" s="322">
        <v>1999</v>
      </c>
      <c r="J32" s="322">
        <v>2153</v>
      </c>
      <c r="K32" s="322">
        <v>2405</v>
      </c>
      <c r="L32" s="322">
        <v>4247</v>
      </c>
      <c r="M32" s="311"/>
      <c r="N32" s="322">
        <v>762</v>
      </c>
      <c r="O32" s="322">
        <v>854</v>
      </c>
      <c r="P32" s="323">
        <v>733</v>
      </c>
      <c r="Q32" s="332">
        <v>4808</v>
      </c>
      <c r="R32" s="322">
        <v>792</v>
      </c>
      <c r="S32" s="322">
        <v>5931</v>
      </c>
      <c r="T32" s="322">
        <v>5786</v>
      </c>
      <c r="U32" s="332">
        <v>1702</v>
      </c>
      <c r="V32" s="322">
        <v>827</v>
      </c>
      <c r="W32" s="322">
        <v>803</v>
      </c>
      <c r="X32" s="322">
        <v>750</v>
      </c>
      <c r="Y32" s="332">
        <v>705</v>
      </c>
      <c r="Z32" s="322">
        <v>819</v>
      </c>
      <c r="AA32" s="322">
        <v>2856</v>
      </c>
      <c r="AB32" s="322">
        <v>2475</v>
      </c>
      <c r="AC32" s="332">
        <v>664</v>
      </c>
      <c r="AD32" s="322">
        <v>470</v>
      </c>
      <c r="AE32" s="322">
        <v>1530</v>
      </c>
      <c r="AF32" s="322">
        <v>1583</v>
      </c>
      <c r="AG32" s="332">
        <v>628</v>
      </c>
      <c r="AH32" s="322">
        <v>677</v>
      </c>
      <c r="AI32" s="322">
        <v>725</v>
      </c>
      <c r="AJ32" s="322">
        <v>785</v>
      </c>
      <c r="AK32" s="332">
        <v>1999</v>
      </c>
      <c r="AL32" s="322">
        <v>2985</v>
      </c>
      <c r="AM32" s="322">
        <v>3827</v>
      </c>
      <c r="AN32" s="322">
        <v>3096</v>
      </c>
      <c r="AO32" s="332">
        <v>2153</v>
      </c>
      <c r="AP32" s="322">
        <v>2285</v>
      </c>
      <c r="AQ32" s="322">
        <v>4537</v>
      </c>
      <c r="AR32" s="322">
        <v>4470</v>
      </c>
      <c r="AS32" s="332">
        <v>2405</v>
      </c>
      <c r="AT32" s="322">
        <v>2378</v>
      </c>
      <c r="AU32" s="322">
        <v>4279</v>
      </c>
      <c r="AV32" s="322">
        <v>4538</v>
      </c>
      <c r="AW32" s="332">
        <v>4247</v>
      </c>
      <c r="AX32" s="322">
        <v>3950</v>
      </c>
      <c r="AY32" s="322">
        <v>2807</v>
      </c>
    </row>
    <row r="33" spans="1:51" ht="13">
      <c r="A33" s="321" t="s">
        <v>426</v>
      </c>
      <c r="B33" s="322">
        <v>2214</v>
      </c>
      <c r="C33" s="323">
        <v>2446</v>
      </c>
      <c r="D33" s="322">
        <v>3966</v>
      </c>
      <c r="E33" s="322">
        <v>4711</v>
      </c>
      <c r="F33" s="322">
        <v>4050</v>
      </c>
      <c r="G33" s="322">
        <v>3605</v>
      </c>
      <c r="H33" s="322">
        <v>5512</v>
      </c>
      <c r="I33" s="322">
        <v>6375</v>
      </c>
      <c r="J33" s="322">
        <v>5902</v>
      </c>
      <c r="K33" s="322">
        <v>5756</v>
      </c>
      <c r="L33" s="322">
        <v>5683</v>
      </c>
      <c r="M33" s="311"/>
      <c r="N33" s="322">
        <v>3038</v>
      </c>
      <c r="O33" s="322">
        <v>3467</v>
      </c>
      <c r="P33" s="323">
        <v>3387</v>
      </c>
      <c r="Q33" s="332">
        <v>3966</v>
      </c>
      <c r="R33" s="322">
        <v>4871</v>
      </c>
      <c r="S33" s="322">
        <v>4749</v>
      </c>
      <c r="T33" s="322">
        <v>4421</v>
      </c>
      <c r="U33" s="332">
        <v>4711</v>
      </c>
      <c r="V33" s="322">
        <v>4575</v>
      </c>
      <c r="W33" s="322">
        <v>4536</v>
      </c>
      <c r="X33" s="322">
        <v>3701</v>
      </c>
      <c r="Y33" s="332">
        <v>4050</v>
      </c>
      <c r="Z33" s="322">
        <v>4108</v>
      </c>
      <c r="AA33" s="322">
        <v>3764</v>
      </c>
      <c r="AB33" s="322">
        <v>3431</v>
      </c>
      <c r="AC33" s="332">
        <v>3605</v>
      </c>
      <c r="AD33" s="322">
        <v>4172</v>
      </c>
      <c r="AE33" s="322">
        <v>4796</v>
      </c>
      <c r="AF33" s="322">
        <v>4905</v>
      </c>
      <c r="AG33" s="332">
        <v>5512</v>
      </c>
      <c r="AH33" s="322">
        <v>6181</v>
      </c>
      <c r="AI33" s="322">
        <v>6239</v>
      </c>
      <c r="AJ33" s="322">
        <v>6249</v>
      </c>
      <c r="AK33" s="332">
        <v>6375</v>
      </c>
      <c r="AL33" s="322">
        <v>7017</v>
      </c>
      <c r="AM33" s="322">
        <v>7196</v>
      </c>
      <c r="AN33" s="322">
        <v>6210</v>
      </c>
      <c r="AO33" s="332">
        <v>5902</v>
      </c>
      <c r="AP33" s="322">
        <v>6213</v>
      </c>
      <c r="AQ33" s="322">
        <v>6151</v>
      </c>
      <c r="AR33" s="322">
        <v>5314</v>
      </c>
      <c r="AS33" s="332">
        <v>5756</v>
      </c>
      <c r="AT33" s="322">
        <v>5564</v>
      </c>
      <c r="AU33" s="322">
        <v>5900</v>
      </c>
      <c r="AV33" s="322">
        <v>5616</v>
      </c>
      <c r="AW33" s="332">
        <v>5683</v>
      </c>
      <c r="AX33" s="322">
        <v>6588</v>
      </c>
      <c r="AY33" s="322">
        <v>7603</v>
      </c>
    </row>
    <row r="34" spans="1:51" ht="13">
      <c r="A34" s="340" t="s">
        <v>427</v>
      </c>
      <c r="B34" s="322">
        <v>748</v>
      </c>
      <c r="C34" s="323">
        <v>535</v>
      </c>
      <c r="D34" s="322">
        <v>436</v>
      </c>
      <c r="E34" s="322">
        <v>605</v>
      </c>
      <c r="F34" s="322">
        <v>507</v>
      </c>
      <c r="G34" s="322">
        <v>391</v>
      </c>
      <c r="H34" s="322">
        <v>562</v>
      </c>
      <c r="I34" s="322">
        <v>670</v>
      </c>
      <c r="J34" s="322">
        <v>483</v>
      </c>
      <c r="K34" s="322">
        <v>444</v>
      </c>
      <c r="L34" s="322">
        <v>627</v>
      </c>
      <c r="M34" s="311"/>
      <c r="N34" s="322">
        <v>799</v>
      </c>
      <c r="O34" s="322">
        <v>1044</v>
      </c>
      <c r="P34" s="323">
        <v>1140</v>
      </c>
      <c r="Q34" s="332">
        <v>436</v>
      </c>
      <c r="R34" s="322">
        <v>585</v>
      </c>
      <c r="S34" s="322">
        <v>761</v>
      </c>
      <c r="T34" s="322">
        <v>683</v>
      </c>
      <c r="U34" s="332">
        <v>605</v>
      </c>
      <c r="V34" s="322">
        <v>550</v>
      </c>
      <c r="W34" s="322">
        <v>493</v>
      </c>
      <c r="X34" s="322">
        <v>510</v>
      </c>
      <c r="Y34" s="332">
        <v>507</v>
      </c>
      <c r="Z34" s="322">
        <v>465</v>
      </c>
      <c r="AA34" s="322">
        <v>521</v>
      </c>
      <c r="AB34" s="322">
        <v>420</v>
      </c>
      <c r="AC34" s="332">
        <v>391</v>
      </c>
      <c r="AD34" s="322">
        <v>447</v>
      </c>
      <c r="AE34" s="322">
        <v>434</v>
      </c>
      <c r="AF34" s="322">
        <v>525</v>
      </c>
      <c r="AG34" s="332">
        <v>562</v>
      </c>
      <c r="AH34" s="322">
        <v>645</v>
      </c>
      <c r="AI34" s="322">
        <v>678</v>
      </c>
      <c r="AJ34" s="322">
        <v>963</v>
      </c>
      <c r="AK34" s="332">
        <v>670</v>
      </c>
      <c r="AL34" s="322">
        <v>530</v>
      </c>
      <c r="AM34" s="322">
        <v>502</v>
      </c>
      <c r="AN34" s="322">
        <v>543</v>
      </c>
      <c r="AO34" s="332">
        <v>483</v>
      </c>
      <c r="AP34" s="322">
        <v>428</v>
      </c>
      <c r="AQ34" s="322">
        <v>379</v>
      </c>
      <c r="AR34" s="322">
        <v>378</v>
      </c>
      <c r="AS34" s="332">
        <v>444</v>
      </c>
      <c r="AT34" s="322">
        <v>829</v>
      </c>
      <c r="AU34" s="322">
        <v>384</v>
      </c>
      <c r="AV34" s="322">
        <v>394</v>
      </c>
      <c r="AW34" s="332">
        <v>627</v>
      </c>
      <c r="AX34" s="322">
        <v>712</v>
      </c>
      <c r="AY34" s="322">
        <v>836</v>
      </c>
    </row>
    <row r="35" spans="1:51" ht="13">
      <c r="A35" s="340" t="s">
        <v>423</v>
      </c>
      <c r="B35" s="322">
        <v>2916</v>
      </c>
      <c r="C35" s="323">
        <v>2867</v>
      </c>
      <c r="D35" s="322">
        <v>3570</v>
      </c>
      <c r="E35" s="322">
        <v>4500</v>
      </c>
      <c r="F35" s="322">
        <v>4219</v>
      </c>
      <c r="G35" s="322">
        <v>4207</v>
      </c>
      <c r="H35" s="322">
        <v>5736</v>
      </c>
      <c r="I35" s="322">
        <v>8335</v>
      </c>
      <c r="J35" s="322">
        <v>8465</v>
      </c>
      <c r="K35" s="322">
        <v>9647</v>
      </c>
      <c r="L35" s="322">
        <v>8599</v>
      </c>
      <c r="M35" s="311"/>
      <c r="N35" s="322">
        <v>3049</v>
      </c>
      <c r="O35" s="322">
        <v>3224</v>
      </c>
      <c r="P35" s="323">
        <v>3219</v>
      </c>
      <c r="Q35" s="332">
        <v>3570</v>
      </c>
      <c r="R35" s="322">
        <v>3831</v>
      </c>
      <c r="S35" s="322">
        <v>4366</v>
      </c>
      <c r="T35" s="322">
        <v>4464</v>
      </c>
      <c r="U35" s="332">
        <v>4500</v>
      </c>
      <c r="V35" s="322">
        <v>4375</v>
      </c>
      <c r="W35" s="322">
        <v>5667</v>
      </c>
      <c r="X35" s="322">
        <v>5814</v>
      </c>
      <c r="Y35" s="332">
        <v>4219</v>
      </c>
      <c r="Z35" s="322">
        <v>4258</v>
      </c>
      <c r="AA35" s="322">
        <v>4400</v>
      </c>
      <c r="AB35" s="322">
        <v>4504</v>
      </c>
      <c r="AC35" s="332">
        <v>4207</v>
      </c>
      <c r="AD35" s="322">
        <v>4347</v>
      </c>
      <c r="AE35" s="322">
        <v>6181</v>
      </c>
      <c r="AF35" s="322">
        <v>6597</v>
      </c>
      <c r="AG35" s="332">
        <v>5736</v>
      </c>
      <c r="AH35" s="322">
        <v>5963</v>
      </c>
      <c r="AI35" s="322">
        <v>9006</v>
      </c>
      <c r="AJ35" s="322">
        <v>10473</v>
      </c>
      <c r="AK35" s="332">
        <v>8335</v>
      </c>
      <c r="AL35" s="322">
        <v>8450</v>
      </c>
      <c r="AM35" s="322">
        <v>11334</v>
      </c>
      <c r="AN35" s="322">
        <v>11155</v>
      </c>
      <c r="AO35" s="332">
        <v>8465</v>
      </c>
      <c r="AP35" s="322">
        <v>8835</v>
      </c>
      <c r="AQ35" s="322">
        <v>11695</v>
      </c>
      <c r="AR35" s="322">
        <v>11453</v>
      </c>
      <c r="AS35" s="332">
        <v>9647</v>
      </c>
      <c r="AT35" s="322">
        <v>8405</v>
      </c>
      <c r="AU35" s="322">
        <v>11135</v>
      </c>
      <c r="AV35" s="322">
        <v>11261</v>
      </c>
      <c r="AW35" s="332">
        <v>8599</v>
      </c>
      <c r="AX35" s="322">
        <v>8425</v>
      </c>
      <c r="AY35" s="322">
        <v>11949</v>
      </c>
    </row>
    <row r="36" spans="1:51" ht="13">
      <c r="A36" s="333" t="s">
        <v>428</v>
      </c>
      <c r="B36" s="334">
        <v>8921</v>
      </c>
      <c r="C36" s="335">
        <v>9522</v>
      </c>
      <c r="D36" s="334">
        <v>12780</v>
      </c>
      <c r="E36" s="334">
        <v>11518</v>
      </c>
      <c r="F36" s="334">
        <v>9481</v>
      </c>
      <c r="G36" s="334">
        <v>8867</v>
      </c>
      <c r="H36" s="334">
        <v>12438</v>
      </c>
      <c r="I36" s="334">
        <v>17379</v>
      </c>
      <c r="J36" s="334">
        <v>17003</v>
      </c>
      <c r="K36" s="334">
        <v>18252</v>
      </c>
      <c r="L36" s="334">
        <v>19156</v>
      </c>
      <c r="M36" s="311"/>
      <c r="N36" s="334">
        <v>7648</v>
      </c>
      <c r="O36" s="334">
        <v>8589</v>
      </c>
      <c r="P36" s="334">
        <v>8479</v>
      </c>
      <c r="Q36" s="336">
        <v>12780</v>
      </c>
      <c r="R36" s="334">
        <v>10079</v>
      </c>
      <c r="S36" s="334">
        <v>15807</v>
      </c>
      <c r="T36" s="334">
        <v>15354</v>
      </c>
      <c r="U36" s="336">
        <v>11518</v>
      </c>
      <c r="V36" s="334">
        <v>10327</v>
      </c>
      <c r="W36" s="334">
        <v>11499</v>
      </c>
      <c r="X36" s="334">
        <v>10775</v>
      </c>
      <c r="Y36" s="336">
        <v>9481</v>
      </c>
      <c r="Z36" s="334">
        <v>9650</v>
      </c>
      <c r="AA36" s="334">
        <v>11541</v>
      </c>
      <c r="AB36" s="334">
        <v>10830</v>
      </c>
      <c r="AC36" s="336">
        <v>8867</v>
      </c>
      <c r="AD36" s="334">
        <v>9436</v>
      </c>
      <c r="AE36" s="334">
        <v>12941</v>
      </c>
      <c r="AF36" s="334">
        <v>13610</v>
      </c>
      <c r="AG36" s="336">
        <v>12438</v>
      </c>
      <c r="AH36" s="334">
        <v>13466</v>
      </c>
      <c r="AI36" s="334">
        <v>16648</v>
      </c>
      <c r="AJ36" s="334">
        <v>18470</v>
      </c>
      <c r="AK36" s="336">
        <v>17379</v>
      </c>
      <c r="AL36" s="334">
        <v>18982</v>
      </c>
      <c r="AM36" s="334">
        <v>22859</v>
      </c>
      <c r="AN36" s="334">
        <v>21004</v>
      </c>
      <c r="AO36" s="336">
        <v>17003</v>
      </c>
      <c r="AP36" s="334">
        <v>17761</v>
      </c>
      <c r="AQ36" s="334">
        <v>22762</v>
      </c>
      <c r="AR36" s="334">
        <v>21615</v>
      </c>
      <c r="AS36" s="336">
        <v>18252</v>
      </c>
      <c r="AT36" s="334">
        <v>17176</v>
      </c>
      <c r="AU36" s="334">
        <v>21698</v>
      </c>
      <c r="AV36" s="334">
        <v>21809</v>
      </c>
      <c r="AW36" s="336">
        <v>19156</v>
      </c>
      <c r="AX36" s="334">
        <v>19675</v>
      </c>
      <c r="AY36" s="334">
        <v>23195</v>
      </c>
    </row>
    <row r="37" spans="1:51" ht="13">
      <c r="A37" s="333" t="s">
        <v>429</v>
      </c>
      <c r="B37" s="334">
        <v>28418</v>
      </c>
      <c r="C37" s="335">
        <v>29984</v>
      </c>
      <c r="D37" s="334">
        <v>27547</v>
      </c>
      <c r="E37" s="334">
        <v>36155</v>
      </c>
      <c r="F37" s="334">
        <v>41037</v>
      </c>
      <c r="G37" s="334">
        <v>43886</v>
      </c>
      <c r="H37" s="334">
        <v>48583</v>
      </c>
      <c r="I37" s="334">
        <v>61780</v>
      </c>
      <c r="J37" s="334">
        <v>67784</v>
      </c>
      <c r="K37" s="334">
        <v>83589</v>
      </c>
      <c r="L37" s="334">
        <v>80377</v>
      </c>
      <c r="M37" s="311"/>
      <c r="N37" s="334">
        <v>29685</v>
      </c>
      <c r="O37" s="334">
        <v>30965</v>
      </c>
      <c r="P37" s="335">
        <v>27622</v>
      </c>
      <c r="Q37" s="336">
        <v>27547</v>
      </c>
      <c r="R37" s="334">
        <v>30465</v>
      </c>
      <c r="S37" s="334">
        <v>35024</v>
      </c>
      <c r="T37" s="334">
        <v>34487</v>
      </c>
      <c r="U37" s="336">
        <v>36155</v>
      </c>
      <c r="V37" s="334">
        <v>39662</v>
      </c>
      <c r="W37" s="334">
        <v>40148</v>
      </c>
      <c r="X37" s="334">
        <v>41525</v>
      </c>
      <c r="Y37" s="336">
        <v>41037</v>
      </c>
      <c r="Z37" s="334">
        <v>43689</v>
      </c>
      <c r="AA37" s="334">
        <v>44324</v>
      </c>
      <c r="AB37" s="334">
        <v>44634</v>
      </c>
      <c r="AC37" s="336">
        <v>43886</v>
      </c>
      <c r="AD37" s="334">
        <v>46851</v>
      </c>
      <c r="AE37" s="334">
        <v>44517</v>
      </c>
      <c r="AF37" s="334">
        <v>47259</v>
      </c>
      <c r="AG37" s="336">
        <v>48583</v>
      </c>
      <c r="AH37" s="334">
        <v>52409</v>
      </c>
      <c r="AI37" s="334">
        <v>55543</v>
      </c>
      <c r="AJ37" s="334">
        <v>61685</v>
      </c>
      <c r="AK37" s="336">
        <v>61780</v>
      </c>
      <c r="AL37" s="334">
        <v>65302</v>
      </c>
      <c r="AM37" s="334">
        <v>70294</v>
      </c>
      <c r="AN37" s="334">
        <v>70640</v>
      </c>
      <c r="AO37" s="336">
        <v>67784</v>
      </c>
      <c r="AP37" s="334">
        <v>77934</v>
      </c>
      <c r="AQ37" s="334">
        <v>81016</v>
      </c>
      <c r="AR37" s="334">
        <v>81565</v>
      </c>
      <c r="AS37" s="336">
        <v>83589</v>
      </c>
      <c r="AT37" s="334">
        <v>80850</v>
      </c>
      <c r="AU37" s="334">
        <v>79352</v>
      </c>
      <c r="AV37" s="334">
        <v>81375</v>
      </c>
      <c r="AW37" s="336">
        <v>80377</v>
      </c>
      <c r="AX37" s="334">
        <v>83504</v>
      </c>
      <c r="AY37" s="334">
        <v>85891</v>
      </c>
    </row>
  </sheetData>
  <hyperlinks>
    <hyperlink ref="A2" location="'START PAGE'!A1" display="Back to start page" xr:uid="{28398959-F136-42C1-844A-03CE2B9529EE}"/>
  </hyperlink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F16-2330-4869-8F0A-E0EFAB1424B6}">
  <sheetPr>
    <tabColor rgb="FFFFCD00"/>
    <pageSetUpPr fitToPage="1"/>
  </sheetPr>
  <dimension ref="A1:AY56"/>
  <sheetViews>
    <sheetView showGridLines="0" workbookViewId="0"/>
  </sheetViews>
  <sheetFormatPr baseColWidth="10" defaultColWidth="10" defaultRowHeight="13.5" customHeight="1"/>
  <cols>
    <col min="1" max="1" width="41.6640625" customWidth="1"/>
    <col min="2" max="11" width="8.5" bestFit="1" customWidth="1"/>
    <col min="12" max="12" width="8.5" customWidth="1"/>
    <col min="13" max="13" width="6.6640625" customWidth="1"/>
    <col min="14" max="14" width="9.5" customWidth="1"/>
    <col min="15" max="16" width="6.6640625" customWidth="1"/>
    <col min="17" max="21" width="6.33203125" customWidth="1"/>
    <col min="22" max="22" width="5.6640625" customWidth="1"/>
    <col min="23" max="23" width="6.6640625" customWidth="1"/>
    <col min="24" max="24" width="5.6640625" customWidth="1"/>
    <col min="25" max="29" width="6.6640625" customWidth="1"/>
    <col min="30" max="30" width="6.33203125" customWidth="1"/>
    <col min="31" max="33" width="6.6640625" customWidth="1"/>
    <col min="34" max="34" width="6.33203125" customWidth="1"/>
    <col min="35" max="37" width="6.6640625" customWidth="1"/>
    <col min="38" max="38" width="6.33203125" customWidth="1"/>
    <col min="39" max="41" width="6.6640625" bestFit="1" customWidth="1"/>
    <col min="42" max="42" width="6.33203125" customWidth="1"/>
    <col min="43" max="45" width="6.6640625" bestFit="1" customWidth="1"/>
    <col min="46" max="46" width="6.33203125" customWidth="1"/>
    <col min="47" max="47" width="6.6640625" bestFit="1" customWidth="1"/>
    <col min="48" max="48" width="6.6640625" customWidth="1"/>
    <col min="49" max="49" width="6.6640625" bestFit="1" customWidth="1"/>
    <col min="50" max="50" width="6.33203125" customWidth="1"/>
    <col min="51" max="51" width="6.6640625" bestFit="1" customWidth="1"/>
  </cols>
  <sheetData>
    <row r="1" spans="1:51" ht="17" thickBot="1">
      <c r="A1" s="15" t="s">
        <v>430</v>
      </c>
      <c r="B1" s="309" t="s">
        <v>124</v>
      </c>
      <c r="C1" s="310"/>
      <c r="D1" s="310"/>
      <c r="E1" s="310"/>
      <c r="F1" s="310"/>
      <c r="G1" s="310"/>
      <c r="H1" s="310"/>
      <c r="I1" s="310"/>
      <c r="J1" s="310"/>
      <c r="K1" s="310"/>
      <c r="L1" s="310"/>
      <c r="M1" s="341"/>
      <c r="N1" s="309" t="s">
        <v>125</v>
      </c>
      <c r="O1" s="310"/>
      <c r="P1" s="310"/>
      <c r="Q1" s="312"/>
      <c r="R1" s="310"/>
      <c r="S1" s="310"/>
      <c r="T1" s="310"/>
      <c r="U1" s="312"/>
      <c r="V1" s="309"/>
      <c r="W1" s="310"/>
      <c r="X1" s="310"/>
      <c r="Y1" s="312"/>
      <c r="Z1" s="310"/>
      <c r="AA1" s="310"/>
      <c r="AB1" s="310"/>
      <c r="AC1" s="312"/>
      <c r="AD1" s="310"/>
      <c r="AE1" s="310"/>
      <c r="AF1" s="310"/>
      <c r="AG1" s="312"/>
      <c r="AH1" s="310"/>
      <c r="AI1" s="310"/>
      <c r="AJ1" s="310"/>
      <c r="AK1" s="312"/>
      <c r="AL1" s="310"/>
      <c r="AM1" s="310"/>
      <c r="AN1" s="310"/>
      <c r="AO1" s="312"/>
      <c r="AP1" s="310"/>
      <c r="AQ1" s="310"/>
      <c r="AR1" s="310"/>
      <c r="AS1" s="312"/>
      <c r="AT1" s="310"/>
      <c r="AU1" s="310"/>
      <c r="AV1" s="310"/>
      <c r="AW1" s="312"/>
      <c r="AX1" s="310"/>
      <c r="AY1" s="310"/>
    </row>
    <row r="2" spans="1:51" ht="15" thickTop="1" thickBot="1">
      <c r="A2" s="18" t="s">
        <v>30</v>
      </c>
      <c r="B2" s="313"/>
      <c r="C2" s="313"/>
      <c r="D2" s="313"/>
      <c r="E2" s="313"/>
      <c r="F2" s="313"/>
      <c r="G2" s="313"/>
      <c r="H2" s="313"/>
      <c r="I2" s="313"/>
      <c r="J2" s="313"/>
      <c r="K2" s="313"/>
      <c r="L2" s="313"/>
      <c r="M2" s="341"/>
      <c r="N2" s="313"/>
      <c r="O2" s="313"/>
      <c r="P2" s="313"/>
      <c r="Q2" s="314"/>
      <c r="R2" s="313"/>
      <c r="S2" s="313"/>
      <c r="T2" s="313"/>
      <c r="U2" s="314"/>
      <c r="V2" s="313"/>
      <c r="W2" s="313"/>
      <c r="X2" s="313"/>
      <c r="Y2" s="314"/>
      <c r="Z2" s="313"/>
      <c r="AA2" s="313"/>
      <c r="AB2" s="313"/>
      <c r="AC2" s="314"/>
      <c r="AD2" s="313"/>
      <c r="AE2" s="313"/>
      <c r="AF2" s="313"/>
      <c r="AG2" s="314"/>
      <c r="AH2" s="313"/>
      <c r="AI2" s="313"/>
      <c r="AJ2" s="313"/>
      <c r="AK2" s="314"/>
      <c r="AL2" s="313"/>
      <c r="AM2" s="313"/>
      <c r="AN2" s="313"/>
      <c r="AO2" s="314"/>
      <c r="AP2" s="313"/>
      <c r="AQ2" s="313"/>
      <c r="AR2" s="313"/>
      <c r="AS2" s="314"/>
      <c r="AT2" s="313"/>
      <c r="AU2" s="313"/>
      <c r="AV2" s="313"/>
      <c r="AW2" s="314"/>
      <c r="AX2" s="313"/>
      <c r="AY2" s="313"/>
    </row>
    <row r="3" spans="1:51" ht="14" thickTop="1">
      <c r="A3" s="315" t="s">
        <v>400</v>
      </c>
      <c r="B3" s="316">
        <v>2015</v>
      </c>
      <c r="C3" s="316">
        <v>2016</v>
      </c>
      <c r="D3" s="317">
        <v>2017</v>
      </c>
      <c r="E3" s="317">
        <v>2018</v>
      </c>
      <c r="F3" s="317">
        <v>2019</v>
      </c>
      <c r="G3" s="317">
        <v>2020</v>
      </c>
      <c r="H3" s="317">
        <v>2021</v>
      </c>
      <c r="I3" s="317">
        <v>2022</v>
      </c>
      <c r="J3" s="317">
        <v>2023</v>
      </c>
      <c r="K3" s="317">
        <v>2024</v>
      </c>
      <c r="L3" s="317">
        <v>2025</v>
      </c>
      <c r="M3" s="341"/>
      <c r="N3" s="319" t="s">
        <v>264</v>
      </c>
      <c r="O3" s="319" t="s">
        <v>265</v>
      </c>
      <c r="P3" s="319" t="s">
        <v>266</v>
      </c>
      <c r="Q3" s="320" t="s">
        <v>267</v>
      </c>
      <c r="R3" s="319" t="s">
        <v>128</v>
      </c>
      <c r="S3" s="319" t="s">
        <v>129</v>
      </c>
      <c r="T3" s="319" t="s">
        <v>130</v>
      </c>
      <c r="U3" s="320" t="s">
        <v>131</v>
      </c>
      <c r="V3" s="319" t="s">
        <v>132</v>
      </c>
      <c r="W3" s="319" t="s">
        <v>133</v>
      </c>
      <c r="X3" s="319" t="s">
        <v>134</v>
      </c>
      <c r="Y3" s="320" t="s">
        <v>135</v>
      </c>
      <c r="Z3" s="319" t="s">
        <v>136</v>
      </c>
      <c r="AA3" s="319" t="s">
        <v>137</v>
      </c>
      <c r="AB3" s="319" t="s">
        <v>138</v>
      </c>
      <c r="AC3" s="320" t="s">
        <v>139</v>
      </c>
      <c r="AD3" s="319" t="s">
        <v>140</v>
      </c>
      <c r="AE3" s="319" t="s">
        <v>141</v>
      </c>
      <c r="AF3" s="319" t="s">
        <v>142</v>
      </c>
      <c r="AG3" s="320" t="s">
        <v>143</v>
      </c>
      <c r="AH3" s="319" t="s">
        <v>144</v>
      </c>
      <c r="AI3" s="319" t="s">
        <v>145</v>
      </c>
      <c r="AJ3" s="319" t="s">
        <v>146</v>
      </c>
      <c r="AK3" s="320" t="s">
        <v>147</v>
      </c>
      <c r="AL3" s="319" t="s">
        <v>148</v>
      </c>
      <c r="AM3" s="319" t="s">
        <v>149</v>
      </c>
      <c r="AN3" s="319" t="s">
        <v>150</v>
      </c>
      <c r="AO3" s="320" t="s">
        <v>151</v>
      </c>
      <c r="AP3" s="319" t="s">
        <v>152</v>
      </c>
      <c r="AQ3" s="319" t="s">
        <v>153</v>
      </c>
      <c r="AR3" s="319" t="s">
        <v>154</v>
      </c>
      <c r="AS3" s="320" t="s">
        <v>155</v>
      </c>
      <c r="AT3" s="319" t="s">
        <v>156</v>
      </c>
      <c r="AU3" s="319" t="s">
        <v>157</v>
      </c>
      <c r="AV3" s="319" t="s">
        <v>158</v>
      </c>
      <c r="AW3" s="320" t="s">
        <v>820</v>
      </c>
      <c r="AX3" s="319" t="s">
        <v>1275</v>
      </c>
      <c r="AY3" s="319" t="s">
        <v>1344</v>
      </c>
    </row>
    <row r="4" spans="1:51" ht="13">
      <c r="A4" s="342" t="s">
        <v>431</v>
      </c>
      <c r="B4" s="343"/>
      <c r="C4" s="343"/>
      <c r="D4" s="341"/>
      <c r="E4" s="341"/>
      <c r="F4" s="341"/>
      <c r="G4" s="341"/>
      <c r="H4" s="341"/>
      <c r="I4" s="341"/>
      <c r="J4" s="341"/>
      <c r="K4" s="341"/>
      <c r="L4" s="341"/>
      <c r="M4" s="341"/>
      <c r="N4" s="343"/>
      <c r="O4" s="344"/>
      <c r="P4" s="344"/>
      <c r="Q4" s="345"/>
      <c r="R4" s="341"/>
      <c r="S4" s="341"/>
      <c r="T4" s="341"/>
      <c r="U4" s="346"/>
      <c r="V4" s="341"/>
      <c r="W4" s="341"/>
      <c r="X4" s="341"/>
      <c r="Y4" s="346"/>
      <c r="Z4" s="341"/>
      <c r="AA4" s="341"/>
      <c r="AB4" s="341"/>
      <c r="AC4" s="346"/>
      <c r="AD4" s="341"/>
      <c r="AE4" s="341"/>
      <c r="AF4" s="341"/>
      <c r="AG4" s="346"/>
      <c r="AH4" s="341"/>
      <c r="AI4" s="341"/>
      <c r="AJ4" s="341"/>
      <c r="AK4" s="346"/>
      <c r="AL4" s="341"/>
      <c r="AM4" s="341"/>
      <c r="AN4" s="341"/>
      <c r="AO4" s="346"/>
      <c r="AP4" s="341"/>
      <c r="AQ4" s="341"/>
      <c r="AR4" s="341"/>
      <c r="AS4" s="346"/>
      <c r="AT4" s="341"/>
      <c r="AU4" s="341"/>
      <c r="AV4" s="341"/>
      <c r="AW4" s="346"/>
      <c r="AX4" s="341"/>
      <c r="AY4" s="341"/>
    </row>
    <row r="5" spans="1:51" ht="13">
      <c r="A5" s="347" t="s">
        <v>189</v>
      </c>
      <c r="B5" s="348">
        <v>5175</v>
      </c>
      <c r="C5" s="348">
        <v>4548</v>
      </c>
      <c r="D5" s="349">
        <v>5930</v>
      </c>
      <c r="E5" s="349">
        <v>7385</v>
      </c>
      <c r="F5" s="349">
        <v>8136</v>
      </c>
      <c r="G5" s="349">
        <v>7382</v>
      </c>
      <c r="H5" s="349">
        <v>8995</v>
      </c>
      <c r="I5" s="349">
        <v>11147</v>
      </c>
      <c r="J5" s="349">
        <v>13183</v>
      </c>
      <c r="K5" s="349">
        <v>12385</v>
      </c>
      <c r="L5" s="349">
        <v>11925</v>
      </c>
      <c r="M5" s="341"/>
      <c r="N5" s="348">
        <v>1414</v>
      </c>
      <c r="O5" s="337">
        <v>1468</v>
      </c>
      <c r="P5" s="337">
        <v>1520</v>
      </c>
      <c r="Q5" s="350">
        <v>1528</v>
      </c>
      <c r="R5" s="349">
        <v>1515</v>
      </c>
      <c r="S5" s="349">
        <v>1810</v>
      </c>
      <c r="T5" s="349">
        <v>1898</v>
      </c>
      <c r="U5" s="350">
        <v>2162</v>
      </c>
      <c r="V5" s="349">
        <v>1930</v>
      </c>
      <c r="W5" s="349">
        <v>2263</v>
      </c>
      <c r="X5" s="349">
        <v>1927</v>
      </c>
      <c r="Y5" s="350">
        <v>2016</v>
      </c>
      <c r="Z5" s="349">
        <v>1932</v>
      </c>
      <c r="AA5" s="349">
        <v>1418</v>
      </c>
      <c r="AB5" s="349">
        <v>1820</v>
      </c>
      <c r="AC5" s="350">
        <v>2212</v>
      </c>
      <c r="AD5" s="349">
        <v>1867</v>
      </c>
      <c r="AE5" s="349">
        <v>2182</v>
      </c>
      <c r="AF5" s="349">
        <v>2352</v>
      </c>
      <c r="AG5" s="350">
        <v>2594</v>
      </c>
      <c r="AH5" s="349">
        <v>2631</v>
      </c>
      <c r="AI5" s="349">
        <v>2381</v>
      </c>
      <c r="AJ5" s="349">
        <v>2900</v>
      </c>
      <c r="AK5" s="350">
        <v>3235</v>
      </c>
      <c r="AL5" s="349">
        <v>3161</v>
      </c>
      <c r="AM5" s="349">
        <v>3413</v>
      </c>
      <c r="AN5" s="349">
        <v>3260</v>
      </c>
      <c r="AO5" s="350">
        <v>3349</v>
      </c>
      <c r="AP5" s="349">
        <v>2760</v>
      </c>
      <c r="AQ5" s="349">
        <v>2921</v>
      </c>
      <c r="AR5" s="349">
        <v>3277</v>
      </c>
      <c r="AS5" s="350">
        <v>3427</v>
      </c>
      <c r="AT5" s="349">
        <v>3088</v>
      </c>
      <c r="AU5" s="349">
        <v>2831</v>
      </c>
      <c r="AV5" s="349">
        <v>2802</v>
      </c>
      <c r="AW5" s="350">
        <v>3204</v>
      </c>
      <c r="AX5" s="349">
        <v>2846</v>
      </c>
      <c r="AY5" s="349">
        <v>3316</v>
      </c>
    </row>
    <row r="6" spans="1:51" ht="13">
      <c r="A6" s="347" t="s">
        <v>432</v>
      </c>
      <c r="B6" s="348">
        <v>1397</v>
      </c>
      <c r="C6" s="348">
        <v>1217</v>
      </c>
      <c r="D6" s="349">
        <v>1254</v>
      </c>
      <c r="E6" s="349">
        <v>1369</v>
      </c>
      <c r="F6" s="349">
        <v>1978</v>
      </c>
      <c r="G6" s="349">
        <v>1746</v>
      </c>
      <c r="H6" s="349">
        <v>1746</v>
      </c>
      <c r="I6" s="349">
        <v>2130</v>
      </c>
      <c r="J6" s="349">
        <v>2663</v>
      </c>
      <c r="K6" s="349">
        <v>3444</v>
      </c>
      <c r="L6" s="349">
        <v>3088</v>
      </c>
      <c r="M6" s="341"/>
      <c r="N6" s="348">
        <v>320</v>
      </c>
      <c r="O6" s="337">
        <v>308</v>
      </c>
      <c r="P6" s="337">
        <v>285</v>
      </c>
      <c r="Q6" s="350">
        <v>341</v>
      </c>
      <c r="R6" s="349">
        <v>317</v>
      </c>
      <c r="S6" s="349">
        <v>340</v>
      </c>
      <c r="T6" s="349">
        <v>362</v>
      </c>
      <c r="U6" s="350">
        <v>350</v>
      </c>
      <c r="V6" s="349">
        <v>472</v>
      </c>
      <c r="W6" s="349">
        <v>468</v>
      </c>
      <c r="X6" s="349">
        <v>556</v>
      </c>
      <c r="Y6" s="350">
        <v>482</v>
      </c>
      <c r="Z6" s="349">
        <v>440</v>
      </c>
      <c r="AA6" s="349">
        <v>441</v>
      </c>
      <c r="AB6" s="349">
        <v>426</v>
      </c>
      <c r="AC6" s="350">
        <v>439</v>
      </c>
      <c r="AD6" s="349">
        <v>382</v>
      </c>
      <c r="AE6" s="349">
        <v>411</v>
      </c>
      <c r="AF6" s="349">
        <v>462</v>
      </c>
      <c r="AG6" s="350">
        <v>491</v>
      </c>
      <c r="AH6" s="349">
        <v>466</v>
      </c>
      <c r="AI6" s="349">
        <v>487</v>
      </c>
      <c r="AJ6" s="349">
        <v>526</v>
      </c>
      <c r="AK6" s="350">
        <v>651</v>
      </c>
      <c r="AL6" s="349">
        <v>635</v>
      </c>
      <c r="AM6" s="349">
        <v>644</v>
      </c>
      <c r="AN6" s="349">
        <v>701</v>
      </c>
      <c r="AO6" s="350">
        <v>683</v>
      </c>
      <c r="AP6" s="349">
        <v>673</v>
      </c>
      <c r="AQ6" s="349">
        <v>788</v>
      </c>
      <c r="AR6" s="349">
        <v>1168</v>
      </c>
      <c r="AS6" s="350">
        <v>815</v>
      </c>
      <c r="AT6" s="349">
        <v>779</v>
      </c>
      <c r="AU6" s="349">
        <v>768</v>
      </c>
      <c r="AV6" s="349">
        <v>765</v>
      </c>
      <c r="AW6" s="350">
        <v>776</v>
      </c>
      <c r="AX6" s="349">
        <v>756</v>
      </c>
      <c r="AY6" s="349">
        <v>803</v>
      </c>
    </row>
    <row r="7" spans="1:51" ht="13">
      <c r="A7" s="347" t="s">
        <v>433</v>
      </c>
      <c r="B7" s="348">
        <v>-251</v>
      </c>
      <c r="C7" s="348">
        <v>-349</v>
      </c>
      <c r="D7" s="349">
        <v>-134</v>
      </c>
      <c r="E7" s="349">
        <v>101</v>
      </c>
      <c r="F7" s="349">
        <v>-252</v>
      </c>
      <c r="G7" s="349">
        <v>252</v>
      </c>
      <c r="H7" s="349">
        <v>-192</v>
      </c>
      <c r="I7" s="349">
        <v>-183</v>
      </c>
      <c r="J7" s="349">
        <v>-220</v>
      </c>
      <c r="K7" s="349">
        <v>-958</v>
      </c>
      <c r="L7" s="349">
        <v>-7</v>
      </c>
      <c r="M7" s="341"/>
      <c r="N7" s="348">
        <v>-173</v>
      </c>
      <c r="O7" s="337">
        <v>148</v>
      </c>
      <c r="P7" s="337">
        <v>3</v>
      </c>
      <c r="Q7" s="350">
        <v>-112</v>
      </c>
      <c r="R7" s="349">
        <v>-71</v>
      </c>
      <c r="S7" s="349">
        <v>54</v>
      </c>
      <c r="T7" s="349">
        <v>199</v>
      </c>
      <c r="U7" s="350">
        <v>-81</v>
      </c>
      <c r="V7" s="349">
        <v>-84</v>
      </c>
      <c r="W7" s="349">
        <v>-36</v>
      </c>
      <c r="X7" s="349">
        <v>-104</v>
      </c>
      <c r="Y7" s="350">
        <v>-28</v>
      </c>
      <c r="Z7" s="349">
        <v>110</v>
      </c>
      <c r="AA7" s="349">
        <v>49</v>
      </c>
      <c r="AB7" s="349">
        <v>80</v>
      </c>
      <c r="AC7" s="350">
        <v>13</v>
      </c>
      <c r="AD7" s="349">
        <v>6</v>
      </c>
      <c r="AE7" s="349">
        <v>1</v>
      </c>
      <c r="AF7" s="349">
        <v>-51</v>
      </c>
      <c r="AG7" s="350">
        <v>-148</v>
      </c>
      <c r="AH7" s="349">
        <v>-196</v>
      </c>
      <c r="AI7" s="349">
        <v>-129</v>
      </c>
      <c r="AJ7" s="349">
        <v>18</v>
      </c>
      <c r="AK7" s="350">
        <v>124</v>
      </c>
      <c r="AL7" s="349">
        <v>-226</v>
      </c>
      <c r="AM7" s="349">
        <v>-254</v>
      </c>
      <c r="AN7" s="349">
        <v>279</v>
      </c>
      <c r="AO7" s="350">
        <v>-19</v>
      </c>
      <c r="AP7" s="349">
        <v>-222</v>
      </c>
      <c r="AQ7" s="349">
        <v>28</v>
      </c>
      <c r="AR7" s="349">
        <v>-480</v>
      </c>
      <c r="AS7" s="350">
        <v>-284</v>
      </c>
      <c r="AT7" s="349">
        <v>167</v>
      </c>
      <c r="AU7" s="349">
        <v>-35</v>
      </c>
      <c r="AV7" s="349">
        <v>18</v>
      </c>
      <c r="AW7" s="350">
        <v>-157</v>
      </c>
      <c r="AX7" s="349">
        <v>-258</v>
      </c>
      <c r="AY7" s="349">
        <v>-110</v>
      </c>
    </row>
    <row r="8" spans="1:51" ht="13">
      <c r="A8" s="347" t="s">
        <v>434</v>
      </c>
      <c r="B8" s="348">
        <v>23</v>
      </c>
      <c r="C8" s="348">
        <v>-40</v>
      </c>
      <c r="D8" s="349">
        <v>-344</v>
      </c>
      <c r="E8" s="349">
        <v>-483</v>
      </c>
      <c r="F8" s="349">
        <v>-410</v>
      </c>
      <c r="G8" s="349">
        <v>-94</v>
      </c>
      <c r="H8" s="349">
        <v>139</v>
      </c>
      <c r="I8" s="349">
        <v>-561</v>
      </c>
      <c r="J8" s="349">
        <v>-599.11275000000001</v>
      </c>
      <c r="K8" s="349">
        <v>-446.94405</v>
      </c>
      <c r="L8" s="349">
        <v>-1</v>
      </c>
      <c r="M8" s="341"/>
      <c r="N8" s="348">
        <v>-57</v>
      </c>
      <c r="O8" s="337">
        <v>-35</v>
      </c>
      <c r="P8" s="337">
        <v>27</v>
      </c>
      <c r="Q8" s="350">
        <v>-279</v>
      </c>
      <c r="R8" s="349">
        <v>141</v>
      </c>
      <c r="S8" s="349">
        <v>-512</v>
      </c>
      <c r="T8" s="349">
        <v>-88</v>
      </c>
      <c r="U8" s="350">
        <v>-24</v>
      </c>
      <c r="V8" s="349">
        <v>-157</v>
      </c>
      <c r="W8" s="349">
        <v>-115</v>
      </c>
      <c r="X8" s="349">
        <v>-113</v>
      </c>
      <c r="Y8" s="350">
        <v>-25</v>
      </c>
      <c r="Z8" s="349">
        <v>263</v>
      </c>
      <c r="AA8" s="349">
        <v>-32</v>
      </c>
      <c r="AB8" s="349">
        <v>114</v>
      </c>
      <c r="AC8" s="350">
        <v>-439</v>
      </c>
      <c r="AD8" s="349">
        <v>235</v>
      </c>
      <c r="AE8" s="349">
        <v>-172</v>
      </c>
      <c r="AF8" s="349">
        <v>93</v>
      </c>
      <c r="AG8" s="350">
        <v>-17</v>
      </c>
      <c r="AH8" s="349">
        <v>-269</v>
      </c>
      <c r="AI8" s="349">
        <v>-6</v>
      </c>
      <c r="AJ8" s="349">
        <v>-23</v>
      </c>
      <c r="AK8" s="350">
        <v>-263</v>
      </c>
      <c r="AL8" s="349">
        <v>42</v>
      </c>
      <c r="AM8" s="349">
        <v>-189</v>
      </c>
      <c r="AN8" s="349">
        <v>-472</v>
      </c>
      <c r="AO8" s="350">
        <v>20</v>
      </c>
      <c r="AP8" s="349">
        <v>610</v>
      </c>
      <c r="AQ8" s="349">
        <v>-510.94405</v>
      </c>
      <c r="AR8" s="349">
        <v>-109</v>
      </c>
      <c r="AS8" s="350">
        <v>-437</v>
      </c>
      <c r="AT8" s="349">
        <v>-2</v>
      </c>
      <c r="AU8" s="349">
        <v>270</v>
      </c>
      <c r="AV8" s="349">
        <v>-121</v>
      </c>
      <c r="AW8" s="350">
        <v>-148</v>
      </c>
      <c r="AX8" s="349">
        <v>-220</v>
      </c>
      <c r="AY8" s="349">
        <v>-436</v>
      </c>
    </row>
    <row r="9" spans="1:51" ht="13">
      <c r="A9" s="347" t="s">
        <v>435</v>
      </c>
      <c r="B9" s="348">
        <v>-294</v>
      </c>
      <c r="C9" s="348">
        <v>-511</v>
      </c>
      <c r="D9" s="349">
        <v>-666</v>
      </c>
      <c r="E9" s="349">
        <v>-1747</v>
      </c>
      <c r="F9" s="349">
        <v>-2157</v>
      </c>
      <c r="G9" s="349">
        <v>-1800</v>
      </c>
      <c r="H9" s="349">
        <v>-1978</v>
      </c>
      <c r="I9" s="349">
        <v>-2676</v>
      </c>
      <c r="J9" s="349">
        <v>-3531</v>
      </c>
      <c r="K9" s="349">
        <v>-3039</v>
      </c>
      <c r="L9" s="349">
        <v>-2824</v>
      </c>
      <c r="M9" s="341"/>
      <c r="N9" s="348">
        <v>-86</v>
      </c>
      <c r="O9" s="337">
        <v>-190</v>
      </c>
      <c r="P9" s="337">
        <v>-210</v>
      </c>
      <c r="Q9" s="350">
        <v>-180</v>
      </c>
      <c r="R9" s="349">
        <v>-321</v>
      </c>
      <c r="S9" s="349">
        <v>-359</v>
      </c>
      <c r="T9" s="349">
        <v>-741</v>
      </c>
      <c r="U9" s="350">
        <v>-326</v>
      </c>
      <c r="V9" s="349">
        <v>-651</v>
      </c>
      <c r="W9" s="349">
        <v>-690</v>
      </c>
      <c r="X9" s="349">
        <v>-559</v>
      </c>
      <c r="Y9" s="350">
        <v>-257</v>
      </c>
      <c r="Z9" s="349">
        <v>-385</v>
      </c>
      <c r="AA9" s="349">
        <v>-344</v>
      </c>
      <c r="AB9" s="349">
        <v>-544</v>
      </c>
      <c r="AC9" s="350">
        <v>-527</v>
      </c>
      <c r="AD9" s="349">
        <v>-471</v>
      </c>
      <c r="AE9" s="349">
        <v>-581</v>
      </c>
      <c r="AF9" s="349">
        <v>-456</v>
      </c>
      <c r="AG9" s="350">
        <v>-470</v>
      </c>
      <c r="AH9" s="349">
        <v>-639</v>
      </c>
      <c r="AI9" s="349">
        <v>-661</v>
      </c>
      <c r="AJ9" s="349">
        <v>-466</v>
      </c>
      <c r="AK9" s="350">
        <v>-910</v>
      </c>
      <c r="AL9" s="349">
        <v>-922</v>
      </c>
      <c r="AM9" s="349">
        <v>-1078</v>
      </c>
      <c r="AN9" s="349">
        <v>-849</v>
      </c>
      <c r="AO9" s="350">
        <v>-682</v>
      </c>
      <c r="AP9" s="349">
        <v>-714</v>
      </c>
      <c r="AQ9" s="349">
        <v>-1040</v>
      </c>
      <c r="AR9" s="349">
        <v>-773</v>
      </c>
      <c r="AS9" s="350">
        <v>-512</v>
      </c>
      <c r="AT9" s="349">
        <v>-655</v>
      </c>
      <c r="AU9" s="349">
        <v>-1025</v>
      </c>
      <c r="AV9" s="349">
        <v>-500</v>
      </c>
      <c r="AW9" s="350">
        <v>-644</v>
      </c>
      <c r="AX9" s="349">
        <v>-677</v>
      </c>
      <c r="AY9" s="349">
        <v>-800</v>
      </c>
    </row>
    <row r="10" spans="1:51" ht="13">
      <c r="A10" s="347" t="s">
        <v>436</v>
      </c>
      <c r="B10" s="351">
        <v>-45</v>
      </c>
      <c r="C10" s="351">
        <v>-67</v>
      </c>
      <c r="D10" s="349">
        <v>-90</v>
      </c>
      <c r="E10" s="349">
        <v>-52</v>
      </c>
      <c r="F10" s="349">
        <v>-61</v>
      </c>
      <c r="G10" s="349">
        <v>-54</v>
      </c>
      <c r="H10" s="349">
        <v>-57</v>
      </c>
      <c r="I10" s="349">
        <v>-45</v>
      </c>
      <c r="J10" s="349">
        <v>-71</v>
      </c>
      <c r="K10" s="349">
        <v>-68</v>
      </c>
      <c r="L10" s="349">
        <v>-75</v>
      </c>
      <c r="M10" s="341"/>
      <c r="N10" s="351">
        <v>-41</v>
      </c>
      <c r="O10" s="352">
        <v>-10</v>
      </c>
      <c r="P10" s="352">
        <v>-26</v>
      </c>
      <c r="Q10" s="350">
        <v>-13</v>
      </c>
      <c r="R10" s="349">
        <v>-35</v>
      </c>
      <c r="S10" s="349">
        <v>-11</v>
      </c>
      <c r="T10" s="349">
        <v>-10</v>
      </c>
      <c r="U10" s="350">
        <v>4</v>
      </c>
      <c r="V10" s="349">
        <v>-17</v>
      </c>
      <c r="W10" s="349">
        <v>-13</v>
      </c>
      <c r="X10" s="349">
        <v>-13</v>
      </c>
      <c r="Y10" s="350">
        <v>-18</v>
      </c>
      <c r="Z10" s="349">
        <v>-1</v>
      </c>
      <c r="AA10" s="349">
        <v>-25</v>
      </c>
      <c r="AB10" s="349">
        <v>-8</v>
      </c>
      <c r="AC10" s="350">
        <v>-20</v>
      </c>
      <c r="AD10" s="349">
        <v>-10</v>
      </c>
      <c r="AE10" s="349">
        <v>-11</v>
      </c>
      <c r="AF10" s="349">
        <v>-20</v>
      </c>
      <c r="AG10" s="350">
        <v>-16</v>
      </c>
      <c r="AH10" s="349">
        <v>-12</v>
      </c>
      <c r="AI10" s="349">
        <v>-13</v>
      </c>
      <c r="AJ10" s="349">
        <v>-12</v>
      </c>
      <c r="AK10" s="350">
        <v>-8</v>
      </c>
      <c r="AL10" s="349">
        <v>-20</v>
      </c>
      <c r="AM10" s="349">
        <v>-16</v>
      </c>
      <c r="AN10" s="349">
        <v>-16</v>
      </c>
      <c r="AO10" s="350">
        <v>-19</v>
      </c>
      <c r="AP10" s="349">
        <v>7</v>
      </c>
      <c r="AQ10" s="349">
        <v>-41</v>
      </c>
      <c r="AR10" s="349">
        <v>-19</v>
      </c>
      <c r="AS10" s="350">
        <v>-15</v>
      </c>
      <c r="AT10" s="349">
        <v>-3</v>
      </c>
      <c r="AU10" s="349">
        <v>-16</v>
      </c>
      <c r="AV10" s="349">
        <v>-23</v>
      </c>
      <c r="AW10" s="350">
        <v>-33</v>
      </c>
      <c r="AX10" s="349">
        <v>11</v>
      </c>
      <c r="AY10" s="349">
        <v>-21</v>
      </c>
    </row>
    <row r="11" spans="1:51" ht="13">
      <c r="A11" s="347" t="s">
        <v>437</v>
      </c>
      <c r="B11" s="348">
        <v>417</v>
      </c>
      <c r="C11" s="348">
        <v>895</v>
      </c>
      <c r="D11" s="349">
        <v>-403</v>
      </c>
      <c r="E11" s="349">
        <v>-1875</v>
      </c>
      <c r="F11" s="349">
        <v>337</v>
      </c>
      <c r="G11" s="349">
        <v>1121</v>
      </c>
      <c r="H11" s="349">
        <v>-619</v>
      </c>
      <c r="I11" s="349">
        <v>-3737</v>
      </c>
      <c r="J11" s="349">
        <v>-3708</v>
      </c>
      <c r="K11" s="349">
        <v>-574</v>
      </c>
      <c r="L11" s="349">
        <v>-1078</v>
      </c>
      <c r="M11" s="341"/>
      <c r="N11" s="348">
        <v>-79</v>
      </c>
      <c r="O11" s="337">
        <v>-53</v>
      </c>
      <c r="P11" s="337">
        <v>-114</v>
      </c>
      <c r="Q11" s="350">
        <v>-157</v>
      </c>
      <c r="R11" s="349">
        <v>-465</v>
      </c>
      <c r="S11" s="349">
        <v>-1226</v>
      </c>
      <c r="T11" s="349">
        <v>-599</v>
      </c>
      <c r="U11" s="350">
        <v>415</v>
      </c>
      <c r="V11" s="349">
        <v>-720</v>
      </c>
      <c r="W11" s="349">
        <v>-131</v>
      </c>
      <c r="X11" s="349">
        <v>126</v>
      </c>
      <c r="Y11" s="350">
        <v>1062</v>
      </c>
      <c r="Z11" s="349">
        <v>-519</v>
      </c>
      <c r="AA11" s="349">
        <v>985</v>
      </c>
      <c r="AB11" s="349">
        <v>-32</v>
      </c>
      <c r="AC11" s="350">
        <v>687</v>
      </c>
      <c r="AD11" s="349">
        <v>-156</v>
      </c>
      <c r="AE11" s="349">
        <v>-223</v>
      </c>
      <c r="AF11" s="349">
        <v>-487</v>
      </c>
      <c r="AG11" s="350">
        <v>247</v>
      </c>
      <c r="AH11" s="349">
        <v>-1169</v>
      </c>
      <c r="AI11" s="349">
        <v>-436</v>
      </c>
      <c r="AJ11" s="349">
        <v>-1131</v>
      </c>
      <c r="AK11" s="350">
        <v>-1001</v>
      </c>
      <c r="AL11" s="349">
        <v>-1839</v>
      </c>
      <c r="AM11" s="349">
        <v>-640</v>
      </c>
      <c r="AN11" s="349">
        <v>-840</v>
      </c>
      <c r="AO11" s="350">
        <v>-389</v>
      </c>
      <c r="AP11" s="349">
        <v>-643</v>
      </c>
      <c r="AQ11" s="349">
        <v>-285</v>
      </c>
      <c r="AR11" s="349">
        <v>-573</v>
      </c>
      <c r="AS11" s="350">
        <v>927</v>
      </c>
      <c r="AT11" s="349">
        <v>-773</v>
      </c>
      <c r="AU11" s="349">
        <v>-446</v>
      </c>
      <c r="AV11" s="349">
        <v>6</v>
      </c>
      <c r="AW11" s="350">
        <v>135</v>
      </c>
      <c r="AX11" s="349">
        <v>-712</v>
      </c>
      <c r="AY11" s="349">
        <v>-663</v>
      </c>
    </row>
    <row r="12" spans="1:51" ht="13">
      <c r="A12" s="347" t="s">
        <v>438</v>
      </c>
      <c r="B12" s="348">
        <v>-899</v>
      </c>
      <c r="C12" s="348">
        <v>-677</v>
      </c>
      <c r="D12" s="349">
        <v>-793</v>
      </c>
      <c r="E12" s="349">
        <v>-896</v>
      </c>
      <c r="F12" s="349">
        <v>-915</v>
      </c>
      <c r="G12" s="349">
        <v>-595</v>
      </c>
      <c r="H12" s="349">
        <v>-775</v>
      </c>
      <c r="I12" s="349">
        <v>-875</v>
      </c>
      <c r="J12" s="349">
        <v>-1095</v>
      </c>
      <c r="K12" s="349">
        <v>-878</v>
      </c>
      <c r="L12" s="349">
        <v>-917</v>
      </c>
      <c r="M12" s="341"/>
      <c r="N12" s="348">
        <v>-120</v>
      </c>
      <c r="O12" s="337">
        <v>-241</v>
      </c>
      <c r="P12" s="337">
        <v>-189</v>
      </c>
      <c r="Q12" s="350">
        <v>-243</v>
      </c>
      <c r="R12" s="349">
        <v>-178</v>
      </c>
      <c r="S12" s="349">
        <v>-265</v>
      </c>
      <c r="T12" s="349">
        <v>-215</v>
      </c>
      <c r="U12" s="350">
        <v>-238</v>
      </c>
      <c r="V12" s="349">
        <v>-266</v>
      </c>
      <c r="W12" s="349">
        <v>-279</v>
      </c>
      <c r="X12" s="349">
        <v>-181</v>
      </c>
      <c r="Y12" s="350">
        <v>-189</v>
      </c>
      <c r="Z12" s="349">
        <v>-120</v>
      </c>
      <c r="AA12" s="349">
        <v>-194</v>
      </c>
      <c r="AB12" s="349">
        <v>-149</v>
      </c>
      <c r="AC12" s="350">
        <v>-132</v>
      </c>
      <c r="AD12" s="349">
        <v>-113</v>
      </c>
      <c r="AE12" s="349">
        <v>-255</v>
      </c>
      <c r="AF12" s="349">
        <v>-164</v>
      </c>
      <c r="AG12" s="350">
        <v>-243</v>
      </c>
      <c r="AH12" s="349">
        <v>-170</v>
      </c>
      <c r="AI12" s="349">
        <v>-298</v>
      </c>
      <c r="AJ12" s="349">
        <v>-238</v>
      </c>
      <c r="AK12" s="350">
        <v>-169</v>
      </c>
      <c r="AL12" s="349">
        <v>-222</v>
      </c>
      <c r="AM12" s="349">
        <v>-354</v>
      </c>
      <c r="AN12" s="349">
        <v>-236</v>
      </c>
      <c r="AO12" s="350">
        <v>-283</v>
      </c>
      <c r="AP12" s="349">
        <v>-214</v>
      </c>
      <c r="AQ12" s="349">
        <v>-329</v>
      </c>
      <c r="AR12" s="349">
        <v>-131</v>
      </c>
      <c r="AS12" s="350">
        <v>-204</v>
      </c>
      <c r="AT12" s="349">
        <v>-178</v>
      </c>
      <c r="AU12" s="349">
        <v>-329</v>
      </c>
      <c r="AV12" s="349">
        <v>-202</v>
      </c>
      <c r="AW12" s="350">
        <v>-208</v>
      </c>
      <c r="AX12" s="349">
        <v>-203</v>
      </c>
      <c r="AY12" s="349">
        <v>-289</v>
      </c>
    </row>
    <row r="13" spans="1:51" ht="13">
      <c r="A13" s="347" t="s">
        <v>439</v>
      </c>
      <c r="B13" s="348">
        <v>335</v>
      </c>
      <c r="C13" s="348">
        <v>386</v>
      </c>
      <c r="D13" s="349">
        <v>422</v>
      </c>
      <c r="E13" s="349">
        <v>522</v>
      </c>
      <c r="F13" s="349">
        <v>572</v>
      </c>
      <c r="G13" s="349">
        <v>376</v>
      </c>
      <c r="H13" s="349">
        <v>348</v>
      </c>
      <c r="I13" s="349">
        <v>358</v>
      </c>
      <c r="J13" s="349">
        <v>521</v>
      </c>
      <c r="K13" s="349">
        <v>595</v>
      </c>
      <c r="L13" s="349">
        <v>564</v>
      </c>
      <c r="M13" s="341"/>
      <c r="N13" s="348">
        <v>77</v>
      </c>
      <c r="O13" s="337">
        <v>91</v>
      </c>
      <c r="P13" s="337">
        <v>123</v>
      </c>
      <c r="Q13" s="350">
        <v>131</v>
      </c>
      <c r="R13" s="349">
        <v>76</v>
      </c>
      <c r="S13" s="349">
        <v>107</v>
      </c>
      <c r="T13" s="349">
        <v>114</v>
      </c>
      <c r="U13" s="350">
        <v>225</v>
      </c>
      <c r="V13" s="349">
        <v>82</v>
      </c>
      <c r="W13" s="349">
        <v>143</v>
      </c>
      <c r="X13" s="349">
        <v>213</v>
      </c>
      <c r="Y13" s="350">
        <v>134</v>
      </c>
      <c r="Z13" s="349">
        <v>61</v>
      </c>
      <c r="AA13" s="349">
        <v>85</v>
      </c>
      <c r="AB13" s="349">
        <v>112</v>
      </c>
      <c r="AC13" s="350">
        <v>118</v>
      </c>
      <c r="AD13" s="349">
        <v>83</v>
      </c>
      <c r="AE13" s="349">
        <v>70</v>
      </c>
      <c r="AF13" s="349">
        <v>89</v>
      </c>
      <c r="AG13" s="350">
        <v>106</v>
      </c>
      <c r="AH13" s="349">
        <v>109</v>
      </c>
      <c r="AI13" s="349">
        <v>75</v>
      </c>
      <c r="AJ13" s="349">
        <v>90</v>
      </c>
      <c r="AK13" s="350">
        <v>84</v>
      </c>
      <c r="AL13" s="349">
        <v>130</v>
      </c>
      <c r="AM13" s="349">
        <v>168</v>
      </c>
      <c r="AN13" s="349">
        <v>90</v>
      </c>
      <c r="AO13" s="350">
        <v>133</v>
      </c>
      <c r="AP13" s="349">
        <v>147</v>
      </c>
      <c r="AQ13" s="349">
        <v>80</v>
      </c>
      <c r="AR13" s="349">
        <v>141</v>
      </c>
      <c r="AS13" s="350">
        <v>227</v>
      </c>
      <c r="AT13" s="349">
        <v>165</v>
      </c>
      <c r="AU13" s="349">
        <v>104</v>
      </c>
      <c r="AV13" s="349">
        <v>139</v>
      </c>
      <c r="AW13" s="350">
        <v>156</v>
      </c>
      <c r="AX13" s="349">
        <v>113</v>
      </c>
      <c r="AY13" s="349">
        <v>172</v>
      </c>
    </row>
    <row r="14" spans="1:51" ht="13">
      <c r="A14" s="353" t="s">
        <v>440</v>
      </c>
      <c r="B14" s="354">
        <v>5858</v>
      </c>
      <c r="C14" s="354">
        <v>5402</v>
      </c>
      <c r="D14" s="354">
        <v>5176</v>
      </c>
      <c r="E14" s="354">
        <v>4324</v>
      </c>
      <c r="F14" s="354">
        <v>7228</v>
      </c>
      <c r="G14" s="354">
        <v>8334</v>
      </c>
      <c r="H14" s="354">
        <v>7607</v>
      </c>
      <c r="I14" s="354">
        <v>5558</v>
      </c>
      <c r="J14" s="354">
        <v>7143</v>
      </c>
      <c r="K14" s="354">
        <v>10460</v>
      </c>
      <c r="L14" s="354">
        <v>10675</v>
      </c>
      <c r="M14" s="341"/>
      <c r="N14" s="354">
        <v>1255</v>
      </c>
      <c r="O14" s="354">
        <v>1486</v>
      </c>
      <c r="P14" s="354">
        <v>1419</v>
      </c>
      <c r="Q14" s="355">
        <v>1016</v>
      </c>
      <c r="R14" s="354">
        <v>979</v>
      </c>
      <c r="S14" s="354">
        <v>-62</v>
      </c>
      <c r="T14" s="354">
        <v>920</v>
      </c>
      <c r="U14" s="355">
        <v>2487</v>
      </c>
      <c r="V14" s="354">
        <v>589</v>
      </c>
      <c r="W14" s="354">
        <v>1610</v>
      </c>
      <c r="X14" s="354">
        <v>1852</v>
      </c>
      <c r="Y14" s="355">
        <v>3177</v>
      </c>
      <c r="Z14" s="354">
        <v>1781</v>
      </c>
      <c r="AA14" s="354">
        <v>2383</v>
      </c>
      <c r="AB14" s="354">
        <v>1819</v>
      </c>
      <c r="AC14" s="355">
        <v>2351</v>
      </c>
      <c r="AD14" s="354">
        <v>1823</v>
      </c>
      <c r="AE14" s="354">
        <v>1422</v>
      </c>
      <c r="AF14" s="354">
        <v>1818</v>
      </c>
      <c r="AG14" s="355">
        <v>2544</v>
      </c>
      <c r="AH14" s="354">
        <v>751</v>
      </c>
      <c r="AI14" s="354">
        <v>1400</v>
      </c>
      <c r="AJ14" s="354">
        <v>1664</v>
      </c>
      <c r="AK14" s="355">
        <v>1743</v>
      </c>
      <c r="AL14" s="354">
        <v>739</v>
      </c>
      <c r="AM14" s="354">
        <v>1694</v>
      </c>
      <c r="AN14" s="354">
        <v>1917</v>
      </c>
      <c r="AO14" s="355">
        <v>2793</v>
      </c>
      <c r="AP14" s="354">
        <v>2404</v>
      </c>
      <c r="AQ14" s="354">
        <v>1611</v>
      </c>
      <c r="AR14" s="354">
        <v>2501</v>
      </c>
      <c r="AS14" s="355">
        <v>3944</v>
      </c>
      <c r="AT14" s="354">
        <v>2588</v>
      </c>
      <c r="AU14" s="354">
        <v>2122</v>
      </c>
      <c r="AV14" s="354">
        <v>2884</v>
      </c>
      <c r="AW14" s="355">
        <v>3081</v>
      </c>
      <c r="AX14" s="354">
        <v>1656</v>
      </c>
      <c r="AY14" s="354">
        <v>1972</v>
      </c>
    </row>
    <row r="15" spans="1:51" ht="13">
      <c r="A15" s="356"/>
      <c r="B15" s="357"/>
      <c r="C15" s="357"/>
      <c r="D15" s="357"/>
      <c r="E15" s="357"/>
      <c r="F15" s="357"/>
      <c r="G15" s="357"/>
      <c r="H15" s="357"/>
      <c r="I15" s="357" t="s">
        <v>302</v>
      </c>
      <c r="J15" s="357"/>
      <c r="K15" s="357"/>
      <c r="L15" s="357"/>
      <c r="M15" s="341"/>
      <c r="N15" s="357"/>
      <c r="O15" s="357"/>
      <c r="P15" s="357"/>
      <c r="Q15" s="358"/>
      <c r="R15" s="357"/>
      <c r="S15" s="357"/>
      <c r="T15" s="357"/>
      <c r="U15" s="358"/>
      <c r="V15" s="357"/>
      <c r="W15" s="357"/>
      <c r="X15" s="357"/>
      <c r="Y15" s="358"/>
      <c r="Z15" s="357"/>
      <c r="AA15" s="357"/>
      <c r="AB15" s="357"/>
      <c r="AC15" s="358"/>
      <c r="AD15" s="357"/>
      <c r="AE15" s="357"/>
      <c r="AF15" s="357"/>
      <c r="AG15" s="358"/>
      <c r="AH15" s="357"/>
      <c r="AI15" s="357"/>
      <c r="AJ15" s="357"/>
      <c r="AK15" s="358"/>
      <c r="AL15" s="357"/>
      <c r="AM15" s="357"/>
      <c r="AN15" s="357"/>
      <c r="AO15" s="358"/>
      <c r="AP15" s="357"/>
      <c r="AQ15" s="357"/>
      <c r="AR15" s="357"/>
      <c r="AS15" s="358"/>
      <c r="AT15" s="357"/>
      <c r="AU15" s="357"/>
      <c r="AV15" s="357"/>
      <c r="AW15" s="358"/>
      <c r="AX15" s="357"/>
      <c r="AY15" s="357"/>
    </row>
    <row r="16" spans="1:51" ht="13">
      <c r="A16" s="342" t="s">
        <v>441</v>
      </c>
      <c r="B16" s="343"/>
      <c r="C16" s="343"/>
      <c r="D16" s="349"/>
      <c r="E16" s="349"/>
      <c r="F16" s="349"/>
      <c r="G16" s="349"/>
      <c r="H16" s="349"/>
      <c r="I16" s="349" t="s">
        <v>302</v>
      </c>
      <c r="J16" s="349"/>
      <c r="K16" s="349"/>
      <c r="L16" s="349"/>
      <c r="M16" s="341"/>
      <c r="N16" s="343"/>
      <c r="O16" s="359"/>
      <c r="P16" s="359"/>
      <c r="Q16" s="350"/>
      <c r="R16" s="349"/>
      <c r="S16" s="349"/>
      <c r="T16" s="349"/>
      <c r="U16" s="350"/>
      <c r="V16" s="349"/>
      <c r="W16" s="349"/>
      <c r="X16" s="349"/>
      <c r="Y16" s="350"/>
      <c r="Z16" s="349"/>
      <c r="AA16" s="349"/>
      <c r="AB16" s="349"/>
      <c r="AC16" s="350"/>
      <c r="AD16" s="349"/>
      <c r="AE16" s="349"/>
      <c r="AF16" s="349"/>
      <c r="AG16" s="350"/>
      <c r="AH16" s="349"/>
      <c r="AI16" s="349"/>
      <c r="AJ16" s="349"/>
      <c r="AK16" s="350"/>
      <c r="AL16" s="349"/>
      <c r="AM16" s="349"/>
      <c r="AN16" s="349"/>
      <c r="AO16" s="350"/>
      <c r="AP16" s="349"/>
      <c r="AQ16" s="349"/>
      <c r="AR16" s="349"/>
      <c r="AS16" s="350"/>
      <c r="AT16" s="349"/>
      <c r="AU16" s="349"/>
      <c r="AV16" s="349"/>
      <c r="AW16" s="350"/>
      <c r="AX16" s="349"/>
      <c r="AY16" s="349"/>
    </row>
    <row r="17" spans="1:51" ht="13">
      <c r="A17" s="347" t="s">
        <v>442</v>
      </c>
      <c r="B17" s="348">
        <v>-368</v>
      </c>
      <c r="C17" s="348">
        <v>-293</v>
      </c>
      <c r="D17" s="349">
        <v>-424</v>
      </c>
      <c r="E17" s="349">
        <v>-577</v>
      </c>
      <c r="F17" s="349">
        <v>-486</v>
      </c>
      <c r="G17" s="349">
        <v>-507</v>
      </c>
      <c r="H17" s="349">
        <v>-489</v>
      </c>
      <c r="I17" s="349">
        <v>-600</v>
      </c>
      <c r="J17" s="349">
        <v>-1044</v>
      </c>
      <c r="K17" s="349">
        <v>-890</v>
      </c>
      <c r="L17" s="349">
        <v>-1120</v>
      </c>
      <c r="M17" s="341"/>
      <c r="N17" s="348">
        <v>-108</v>
      </c>
      <c r="O17" s="337">
        <v>-116</v>
      </c>
      <c r="P17" s="337">
        <v>-85</v>
      </c>
      <c r="Q17" s="350">
        <v>-115</v>
      </c>
      <c r="R17" s="349">
        <v>-129</v>
      </c>
      <c r="S17" s="349">
        <v>-161</v>
      </c>
      <c r="T17" s="349">
        <v>-136</v>
      </c>
      <c r="U17" s="350">
        <v>-151</v>
      </c>
      <c r="V17" s="349">
        <v>-158</v>
      </c>
      <c r="W17" s="349">
        <v>-117</v>
      </c>
      <c r="X17" s="349">
        <v>-111</v>
      </c>
      <c r="Y17" s="350">
        <v>-100</v>
      </c>
      <c r="Z17" s="349">
        <v>-120</v>
      </c>
      <c r="AA17" s="349">
        <v>-107</v>
      </c>
      <c r="AB17" s="349">
        <v>-129</v>
      </c>
      <c r="AC17" s="350">
        <v>-151</v>
      </c>
      <c r="AD17" s="349">
        <v>-141</v>
      </c>
      <c r="AE17" s="349">
        <v>-100</v>
      </c>
      <c r="AF17" s="349">
        <v>-154</v>
      </c>
      <c r="AG17" s="350">
        <v>-94</v>
      </c>
      <c r="AH17" s="349">
        <v>-144</v>
      </c>
      <c r="AI17" s="349">
        <v>-126</v>
      </c>
      <c r="AJ17" s="349">
        <v>-112</v>
      </c>
      <c r="AK17" s="350">
        <v>-218</v>
      </c>
      <c r="AL17" s="349">
        <v>-234</v>
      </c>
      <c r="AM17" s="349">
        <v>-219</v>
      </c>
      <c r="AN17" s="349">
        <v>-222</v>
      </c>
      <c r="AO17" s="350">
        <v>-369</v>
      </c>
      <c r="AP17" s="349">
        <v>-215</v>
      </c>
      <c r="AQ17" s="349">
        <v>-200</v>
      </c>
      <c r="AR17" s="349">
        <v>-201</v>
      </c>
      <c r="AS17" s="350">
        <v>-274</v>
      </c>
      <c r="AT17" s="349">
        <v>-269</v>
      </c>
      <c r="AU17" s="349">
        <v>-300</v>
      </c>
      <c r="AV17" s="349">
        <v>-199</v>
      </c>
      <c r="AW17" s="350">
        <v>-352</v>
      </c>
      <c r="AX17" s="349">
        <v>-267</v>
      </c>
      <c r="AY17" s="349">
        <v>-282</v>
      </c>
    </row>
    <row r="18" spans="1:51" ht="13">
      <c r="A18" s="347" t="s">
        <v>443</v>
      </c>
      <c r="B18" s="348">
        <v>453</v>
      </c>
      <c r="C18" s="348">
        <v>58</v>
      </c>
      <c r="D18" s="349">
        <v>70</v>
      </c>
      <c r="E18" s="349">
        <v>26</v>
      </c>
      <c r="F18" s="349">
        <v>60</v>
      </c>
      <c r="G18" s="349">
        <v>84</v>
      </c>
      <c r="H18" s="349">
        <v>1</v>
      </c>
      <c r="I18" s="349">
        <v>62</v>
      </c>
      <c r="J18" s="349">
        <v>53</v>
      </c>
      <c r="K18" s="349">
        <v>16</v>
      </c>
      <c r="L18" s="349">
        <v>18</v>
      </c>
      <c r="M18" s="341"/>
      <c r="N18" s="348">
        <v>13</v>
      </c>
      <c r="O18" s="337">
        <v>2</v>
      </c>
      <c r="P18" s="337">
        <v>16</v>
      </c>
      <c r="Q18" s="350">
        <v>39</v>
      </c>
      <c r="R18" s="349">
        <v>10</v>
      </c>
      <c r="S18" s="349">
        <v>6</v>
      </c>
      <c r="T18" s="349">
        <v>8</v>
      </c>
      <c r="U18" s="350">
        <v>2</v>
      </c>
      <c r="V18" s="349">
        <v>9</v>
      </c>
      <c r="W18" s="349">
        <v>16</v>
      </c>
      <c r="X18" s="349">
        <v>18</v>
      </c>
      <c r="Y18" s="350">
        <v>17</v>
      </c>
      <c r="Z18" s="349">
        <v>20</v>
      </c>
      <c r="AA18" s="349">
        <v>1</v>
      </c>
      <c r="AB18" s="349">
        <v>1</v>
      </c>
      <c r="AC18" s="350">
        <v>62</v>
      </c>
      <c r="AD18" s="349">
        <v>-1</v>
      </c>
      <c r="AE18" s="349">
        <v>-2</v>
      </c>
      <c r="AF18" s="349" t="s">
        <v>192</v>
      </c>
      <c r="AG18" s="350">
        <v>4</v>
      </c>
      <c r="AH18" s="349">
        <v>9</v>
      </c>
      <c r="AI18" s="349">
        <v>3</v>
      </c>
      <c r="AJ18" s="349">
        <v>14</v>
      </c>
      <c r="AK18" s="350">
        <v>36</v>
      </c>
      <c r="AL18" s="349">
        <v>7</v>
      </c>
      <c r="AM18" s="349">
        <v>19</v>
      </c>
      <c r="AN18" s="349">
        <v>9</v>
      </c>
      <c r="AO18" s="350">
        <v>18</v>
      </c>
      <c r="AP18" s="349">
        <v>11</v>
      </c>
      <c r="AQ18" s="349">
        <v>4</v>
      </c>
      <c r="AR18" s="337" t="s">
        <v>192</v>
      </c>
      <c r="AS18" s="350">
        <v>1</v>
      </c>
      <c r="AT18" s="349">
        <v>6</v>
      </c>
      <c r="AU18" s="349">
        <v>8</v>
      </c>
      <c r="AV18" s="349">
        <v>10</v>
      </c>
      <c r="AW18" s="350">
        <v>-6</v>
      </c>
      <c r="AX18" s="349">
        <v>16</v>
      </c>
      <c r="AY18" s="349">
        <v>2</v>
      </c>
    </row>
    <row r="19" spans="1:51" ht="13">
      <c r="A19" s="347" t="s">
        <v>444</v>
      </c>
      <c r="B19" s="348">
        <v>-313</v>
      </c>
      <c r="C19" s="348">
        <v>-287</v>
      </c>
      <c r="D19" s="349">
        <v>-289</v>
      </c>
      <c r="E19" s="349">
        <v>-459</v>
      </c>
      <c r="F19" s="349">
        <v>-537</v>
      </c>
      <c r="G19" s="349">
        <v>-498</v>
      </c>
      <c r="H19" s="349">
        <v>-437</v>
      </c>
      <c r="I19" s="349">
        <v>-414</v>
      </c>
      <c r="J19" s="349">
        <v>-643</v>
      </c>
      <c r="K19" s="349">
        <v>-966</v>
      </c>
      <c r="L19" s="349">
        <v>-875</v>
      </c>
      <c r="M19" s="341"/>
      <c r="N19" s="348">
        <v>-49</v>
      </c>
      <c r="O19" s="337">
        <v>-59</v>
      </c>
      <c r="P19" s="337">
        <v>-108</v>
      </c>
      <c r="Q19" s="350">
        <v>-73</v>
      </c>
      <c r="R19" s="349">
        <v>-103</v>
      </c>
      <c r="S19" s="349">
        <v>-108</v>
      </c>
      <c r="T19" s="349">
        <v>-102</v>
      </c>
      <c r="U19" s="350">
        <v>-146</v>
      </c>
      <c r="V19" s="349">
        <v>-108</v>
      </c>
      <c r="W19" s="349">
        <v>-160</v>
      </c>
      <c r="X19" s="349">
        <v>-90</v>
      </c>
      <c r="Y19" s="350">
        <v>-179</v>
      </c>
      <c r="Z19" s="349">
        <v>-120</v>
      </c>
      <c r="AA19" s="349">
        <v>-125</v>
      </c>
      <c r="AB19" s="349">
        <v>-118</v>
      </c>
      <c r="AC19" s="350">
        <v>-135</v>
      </c>
      <c r="AD19" s="349">
        <v>-112</v>
      </c>
      <c r="AE19" s="349">
        <v>-99</v>
      </c>
      <c r="AF19" s="349">
        <v>-96</v>
      </c>
      <c r="AG19" s="350">
        <v>-130</v>
      </c>
      <c r="AH19" s="349">
        <v>-115</v>
      </c>
      <c r="AI19" s="349">
        <v>-121</v>
      </c>
      <c r="AJ19" s="349">
        <v>-76</v>
      </c>
      <c r="AK19" s="350">
        <v>-102</v>
      </c>
      <c r="AL19" s="349">
        <v>-111</v>
      </c>
      <c r="AM19" s="349">
        <v>-214</v>
      </c>
      <c r="AN19" s="349">
        <v>-106</v>
      </c>
      <c r="AO19" s="350">
        <v>-212</v>
      </c>
      <c r="AP19" s="349">
        <v>-176</v>
      </c>
      <c r="AQ19" s="349">
        <v>-190</v>
      </c>
      <c r="AR19" s="349">
        <v>-343</v>
      </c>
      <c r="AS19" s="350">
        <v>-257</v>
      </c>
      <c r="AT19" s="349">
        <v>-207</v>
      </c>
      <c r="AU19" s="349">
        <v>-240</v>
      </c>
      <c r="AV19" s="349">
        <v>-213</v>
      </c>
      <c r="AW19" s="350">
        <v>-215</v>
      </c>
      <c r="AX19" s="349">
        <v>-156</v>
      </c>
      <c r="AY19" s="349">
        <v>-161</v>
      </c>
    </row>
    <row r="20" spans="1:51" ht="13">
      <c r="A20" s="347" t="s">
        <v>445</v>
      </c>
      <c r="B20" s="360" t="s">
        <v>192</v>
      </c>
      <c r="C20" s="360" t="s">
        <v>192</v>
      </c>
      <c r="D20" s="360" t="s">
        <v>192</v>
      </c>
      <c r="E20" s="360">
        <v>0</v>
      </c>
      <c r="F20" s="360">
        <v>16</v>
      </c>
      <c r="G20" s="360">
        <v>4</v>
      </c>
      <c r="H20" s="360" t="s">
        <v>192</v>
      </c>
      <c r="I20" s="360" t="s">
        <v>192</v>
      </c>
      <c r="J20" s="360">
        <v>3</v>
      </c>
      <c r="K20" s="360" t="s">
        <v>192</v>
      </c>
      <c r="L20" s="360">
        <v>7</v>
      </c>
      <c r="M20" s="341"/>
      <c r="N20" s="360" t="s">
        <v>192</v>
      </c>
      <c r="O20" s="360" t="s">
        <v>192</v>
      </c>
      <c r="P20" s="360" t="s">
        <v>192</v>
      </c>
      <c r="Q20" s="361" t="s">
        <v>192</v>
      </c>
      <c r="R20" s="360" t="s">
        <v>192</v>
      </c>
      <c r="S20" s="360" t="s">
        <v>192</v>
      </c>
      <c r="T20" s="360" t="s">
        <v>192</v>
      </c>
      <c r="U20" s="361">
        <v>0</v>
      </c>
      <c r="V20" s="360">
        <v>0</v>
      </c>
      <c r="W20" s="360">
        <v>0</v>
      </c>
      <c r="X20" s="360">
        <v>1</v>
      </c>
      <c r="Y20" s="361">
        <v>15</v>
      </c>
      <c r="Z20" s="360">
        <v>0</v>
      </c>
      <c r="AA20" s="360">
        <v>-4</v>
      </c>
      <c r="AB20" s="360">
        <v>-1</v>
      </c>
      <c r="AC20" s="361">
        <v>9</v>
      </c>
      <c r="AD20" s="360" t="s">
        <v>192</v>
      </c>
      <c r="AE20" s="360" t="s">
        <v>192</v>
      </c>
      <c r="AF20" s="360" t="s">
        <v>192</v>
      </c>
      <c r="AG20" s="361" t="s">
        <v>192</v>
      </c>
      <c r="AH20" s="360" t="s">
        <v>192</v>
      </c>
      <c r="AI20" s="360" t="s">
        <v>192</v>
      </c>
      <c r="AJ20" s="360" t="s">
        <v>192</v>
      </c>
      <c r="AK20" s="361" t="s">
        <v>192</v>
      </c>
      <c r="AL20" s="360">
        <v>0</v>
      </c>
      <c r="AM20" s="360">
        <v>3</v>
      </c>
      <c r="AN20" s="337" t="s">
        <v>192</v>
      </c>
      <c r="AO20" s="361" t="s">
        <v>192</v>
      </c>
      <c r="AP20" s="360" t="s">
        <v>192</v>
      </c>
      <c r="AQ20" s="337" t="s">
        <v>192</v>
      </c>
      <c r="AR20" s="337" t="s">
        <v>192</v>
      </c>
      <c r="AS20" s="338" t="s">
        <v>192</v>
      </c>
      <c r="AT20" s="360" t="s">
        <v>192</v>
      </c>
      <c r="AU20" s="337">
        <v>9</v>
      </c>
      <c r="AV20" s="337" t="s">
        <v>192</v>
      </c>
      <c r="AW20" s="338">
        <v>-2</v>
      </c>
      <c r="AX20" s="360" t="s">
        <v>192</v>
      </c>
      <c r="AY20" s="337" t="s">
        <v>192</v>
      </c>
    </row>
    <row r="21" spans="1:51" ht="13">
      <c r="A21" s="347" t="s">
        <v>446</v>
      </c>
      <c r="B21" s="360" t="s">
        <v>192</v>
      </c>
      <c r="C21" s="360" t="s">
        <v>192</v>
      </c>
      <c r="D21" s="349">
        <v>-137</v>
      </c>
      <c r="E21" s="349">
        <v>-546</v>
      </c>
      <c r="F21" s="349">
        <v>-1137</v>
      </c>
      <c r="G21" s="349">
        <v>-63</v>
      </c>
      <c r="H21" s="349">
        <v>-2358</v>
      </c>
      <c r="I21" s="349">
        <v>-4696</v>
      </c>
      <c r="J21" s="349">
        <v>-3666</v>
      </c>
      <c r="K21" s="349">
        <v>-9658</v>
      </c>
      <c r="L21" s="349">
        <v>-88</v>
      </c>
      <c r="M21" s="341"/>
      <c r="N21" s="348">
        <v>-66</v>
      </c>
      <c r="O21" s="337">
        <v>-6</v>
      </c>
      <c r="P21" s="337">
        <v>-65</v>
      </c>
      <c r="Q21" s="350">
        <v>0</v>
      </c>
      <c r="R21" s="349">
        <v>-482</v>
      </c>
      <c r="S21" s="349">
        <v>0</v>
      </c>
      <c r="T21" s="362" t="s">
        <v>192</v>
      </c>
      <c r="U21" s="363">
        <v>-64</v>
      </c>
      <c r="V21" s="349">
        <v>-449</v>
      </c>
      <c r="W21" s="349">
        <v>-578</v>
      </c>
      <c r="X21" s="349">
        <v>-107</v>
      </c>
      <c r="Y21" s="350">
        <v>-3</v>
      </c>
      <c r="Z21" s="349">
        <v>-15</v>
      </c>
      <c r="AA21" s="349">
        <v>-15</v>
      </c>
      <c r="AB21" s="349">
        <v>-32</v>
      </c>
      <c r="AC21" s="350">
        <v>-1</v>
      </c>
      <c r="AD21" s="349" t="s">
        <v>192</v>
      </c>
      <c r="AE21" s="349">
        <v>-1284</v>
      </c>
      <c r="AF21" s="349">
        <v>-496</v>
      </c>
      <c r="AG21" s="350">
        <v>-578</v>
      </c>
      <c r="AH21" s="349">
        <v>-18</v>
      </c>
      <c r="AI21" s="349">
        <v>-267</v>
      </c>
      <c r="AJ21" s="349">
        <v>-210</v>
      </c>
      <c r="AK21" s="350">
        <v>-4201</v>
      </c>
      <c r="AL21" s="349">
        <v>-3279</v>
      </c>
      <c r="AM21" s="349">
        <v>-38</v>
      </c>
      <c r="AN21" s="349">
        <v>-7</v>
      </c>
      <c r="AO21" s="350">
        <v>-342</v>
      </c>
      <c r="AP21" s="360" t="s">
        <v>192</v>
      </c>
      <c r="AQ21" s="349">
        <v>-8294</v>
      </c>
      <c r="AR21" s="349">
        <v>-1080</v>
      </c>
      <c r="AS21" s="350">
        <v>-284</v>
      </c>
      <c r="AT21" s="360">
        <v>-75</v>
      </c>
      <c r="AU21" s="349">
        <v>-13</v>
      </c>
      <c r="AV21" s="337" t="s">
        <v>192</v>
      </c>
      <c r="AW21" s="350" t="s">
        <v>192</v>
      </c>
      <c r="AX21" s="360">
        <v>-145</v>
      </c>
      <c r="AY21" s="349">
        <v>-8</v>
      </c>
    </row>
    <row r="22" spans="1:51" ht="13">
      <c r="A22" s="347" t="s">
        <v>447</v>
      </c>
      <c r="B22" s="360" t="s">
        <v>192</v>
      </c>
      <c r="C22" s="360" t="s">
        <v>192</v>
      </c>
      <c r="D22" s="337" t="s">
        <v>192</v>
      </c>
      <c r="E22" s="337">
        <v>0</v>
      </c>
      <c r="F22" s="337">
        <v>153</v>
      </c>
      <c r="G22" s="337">
        <v>-12</v>
      </c>
      <c r="H22" s="337">
        <v>6</v>
      </c>
      <c r="I22" s="337">
        <v>10</v>
      </c>
      <c r="J22" s="337" t="s">
        <v>192</v>
      </c>
      <c r="K22" s="337" t="s">
        <v>192</v>
      </c>
      <c r="L22" s="337">
        <v>1</v>
      </c>
      <c r="M22" s="341"/>
      <c r="N22" s="337" t="s">
        <v>192</v>
      </c>
      <c r="O22" s="337" t="s">
        <v>192</v>
      </c>
      <c r="P22" s="337" t="s">
        <v>192</v>
      </c>
      <c r="Q22" s="338" t="s">
        <v>192</v>
      </c>
      <c r="R22" s="337" t="s">
        <v>192</v>
      </c>
      <c r="S22" s="337" t="s">
        <v>192</v>
      </c>
      <c r="T22" s="337" t="s">
        <v>192</v>
      </c>
      <c r="U22" s="338">
        <v>0</v>
      </c>
      <c r="V22" s="337">
        <v>0</v>
      </c>
      <c r="W22" s="337">
        <v>0</v>
      </c>
      <c r="X22" s="337">
        <v>140</v>
      </c>
      <c r="Y22" s="338">
        <v>13</v>
      </c>
      <c r="Z22" s="337">
        <v>0</v>
      </c>
      <c r="AA22" s="337">
        <v>-13</v>
      </c>
      <c r="AB22" s="337">
        <v>1</v>
      </c>
      <c r="AC22" s="338">
        <v>0</v>
      </c>
      <c r="AD22" s="337" t="s">
        <v>192</v>
      </c>
      <c r="AE22" s="337">
        <v>2</v>
      </c>
      <c r="AF22" s="337">
        <v>4</v>
      </c>
      <c r="AG22" s="338" t="s">
        <v>192</v>
      </c>
      <c r="AH22" s="337" t="s">
        <v>192</v>
      </c>
      <c r="AI22" s="337">
        <v>10</v>
      </c>
      <c r="AJ22" s="337" t="s">
        <v>192</v>
      </c>
      <c r="AK22" s="338" t="s">
        <v>192</v>
      </c>
      <c r="AL22" s="337" t="s">
        <v>192</v>
      </c>
      <c r="AM22" s="337" t="s">
        <v>192</v>
      </c>
      <c r="AN22" s="337" t="s">
        <v>192</v>
      </c>
      <c r="AO22" s="338" t="s">
        <v>192</v>
      </c>
      <c r="AP22" s="337" t="s">
        <v>192</v>
      </c>
      <c r="AQ22" s="337" t="s">
        <v>192</v>
      </c>
      <c r="AR22" s="337" t="s">
        <v>192</v>
      </c>
      <c r="AS22" s="338" t="s">
        <v>192</v>
      </c>
      <c r="AT22" s="337">
        <v>1</v>
      </c>
      <c r="AU22" s="337" t="s">
        <v>192</v>
      </c>
      <c r="AV22" s="337" t="s">
        <v>192</v>
      </c>
      <c r="AW22" s="338" t="s">
        <v>192</v>
      </c>
      <c r="AX22" s="337" t="s">
        <v>192</v>
      </c>
      <c r="AY22" s="337" t="s">
        <v>192</v>
      </c>
    </row>
    <row r="23" spans="1:51" ht="13">
      <c r="A23" s="347" t="s">
        <v>448</v>
      </c>
      <c r="B23" s="364">
        <v>-2947</v>
      </c>
      <c r="C23" s="364">
        <v>-1283</v>
      </c>
      <c r="D23" s="349">
        <v>6323</v>
      </c>
      <c r="E23" s="349">
        <v>219</v>
      </c>
      <c r="F23" s="349">
        <v>276</v>
      </c>
      <c r="G23" s="349">
        <v>384</v>
      </c>
      <c r="H23" s="349">
        <v>-196</v>
      </c>
      <c r="I23" s="349">
        <v>-353</v>
      </c>
      <c r="J23" s="349">
        <v>-467</v>
      </c>
      <c r="K23" s="349">
        <v>-192</v>
      </c>
      <c r="L23" s="349">
        <v>-182</v>
      </c>
      <c r="M23" s="341"/>
      <c r="N23" s="364">
        <v>1362</v>
      </c>
      <c r="O23" s="337">
        <v>-1093</v>
      </c>
      <c r="P23" s="337">
        <v>3043</v>
      </c>
      <c r="Q23" s="350">
        <v>3011</v>
      </c>
      <c r="R23" s="349">
        <v>-137</v>
      </c>
      <c r="S23" s="349">
        <v>-54</v>
      </c>
      <c r="T23" s="349">
        <v>292</v>
      </c>
      <c r="U23" s="350">
        <v>118</v>
      </c>
      <c r="V23" s="349">
        <v>-122</v>
      </c>
      <c r="W23" s="349">
        <v>76</v>
      </c>
      <c r="X23" s="349">
        <v>78</v>
      </c>
      <c r="Y23" s="350">
        <v>244</v>
      </c>
      <c r="Z23" s="349">
        <v>35</v>
      </c>
      <c r="AA23" s="349">
        <v>144</v>
      </c>
      <c r="AB23" s="349">
        <v>95</v>
      </c>
      <c r="AC23" s="350">
        <v>110</v>
      </c>
      <c r="AD23" s="349">
        <v>-79</v>
      </c>
      <c r="AE23" s="349">
        <v>-3</v>
      </c>
      <c r="AF23" s="349">
        <v>-60</v>
      </c>
      <c r="AG23" s="350">
        <v>-54</v>
      </c>
      <c r="AH23" s="349">
        <v>-86</v>
      </c>
      <c r="AI23" s="349">
        <v>-122</v>
      </c>
      <c r="AJ23" s="349">
        <v>-203</v>
      </c>
      <c r="AK23" s="350">
        <v>58</v>
      </c>
      <c r="AL23" s="349">
        <v>-122</v>
      </c>
      <c r="AM23" s="349">
        <v>-325</v>
      </c>
      <c r="AN23" s="349">
        <v>-45</v>
      </c>
      <c r="AO23" s="350">
        <v>25</v>
      </c>
      <c r="AP23" s="349">
        <v>-131</v>
      </c>
      <c r="AQ23" s="349">
        <v>-23</v>
      </c>
      <c r="AR23" s="349">
        <v>-106</v>
      </c>
      <c r="AS23" s="350">
        <v>68</v>
      </c>
      <c r="AT23" s="349">
        <v>263</v>
      </c>
      <c r="AU23" s="349">
        <v>-156</v>
      </c>
      <c r="AV23" s="349">
        <v>-125</v>
      </c>
      <c r="AW23" s="350">
        <v>-164</v>
      </c>
      <c r="AX23" s="349">
        <v>-155</v>
      </c>
      <c r="AY23" s="349">
        <v>-67</v>
      </c>
    </row>
    <row r="24" spans="1:51" ht="13">
      <c r="A24" s="347" t="s">
        <v>449</v>
      </c>
      <c r="B24" s="364"/>
      <c r="C24" s="364"/>
      <c r="D24" s="349"/>
      <c r="E24" s="349"/>
      <c r="F24" s="349"/>
      <c r="G24" s="349"/>
      <c r="H24" s="349"/>
      <c r="I24" s="349"/>
      <c r="J24" s="349">
        <v>527</v>
      </c>
      <c r="K24" s="337" t="s">
        <v>192</v>
      </c>
      <c r="L24" s="337" t="s">
        <v>192</v>
      </c>
      <c r="M24" s="341"/>
      <c r="N24" s="364"/>
      <c r="O24" s="337"/>
      <c r="P24" s="337"/>
      <c r="Q24" s="350"/>
      <c r="R24" s="349"/>
      <c r="S24" s="349"/>
      <c r="T24" s="349"/>
      <c r="U24" s="350"/>
      <c r="V24" s="349"/>
      <c r="W24" s="349"/>
      <c r="X24" s="349"/>
      <c r="Y24" s="350"/>
      <c r="Z24" s="349"/>
      <c r="AA24" s="349"/>
      <c r="AB24" s="349"/>
      <c r="AC24" s="350"/>
      <c r="AD24" s="349"/>
      <c r="AE24" s="349"/>
      <c r="AF24" s="349"/>
      <c r="AG24" s="350"/>
      <c r="AH24" s="349"/>
      <c r="AI24" s="349"/>
      <c r="AJ24" s="349"/>
      <c r="AK24" s="350"/>
      <c r="AL24" s="349"/>
      <c r="AM24" s="349"/>
      <c r="AN24" s="349"/>
      <c r="AO24" s="350">
        <v>527</v>
      </c>
      <c r="AP24" s="337" t="s">
        <v>192</v>
      </c>
      <c r="AQ24" s="337" t="s">
        <v>192</v>
      </c>
      <c r="AR24" s="337" t="s">
        <v>192</v>
      </c>
      <c r="AS24" s="338" t="s">
        <v>192</v>
      </c>
      <c r="AT24" s="337" t="s">
        <v>192</v>
      </c>
      <c r="AU24" s="337" t="s">
        <v>192</v>
      </c>
      <c r="AV24" s="337" t="s">
        <v>192</v>
      </c>
      <c r="AW24" s="338" t="s">
        <v>192</v>
      </c>
      <c r="AX24" s="337" t="s">
        <v>192</v>
      </c>
      <c r="AY24" s="337" t="s">
        <v>192</v>
      </c>
    </row>
    <row r="25" spans="1:51" ht="13">
      <c r="A25" s="353" t="s">
        <v>450</v>
      </c>
      <c r="B25" s="354">
        <v>-3175</v>
      </c>
      <c r="C25" s="354">
        <v>-1805</v>
      </c>
      <c r="D25" s="365">
        <v>5543</v>
      </c>
      <c r="E25" s="365">
        <v>-1337</v>
      </c>
      <c r="F25" s="365">
        <v>-1655</v>
      </c>
      <c r="G25" s="365">
        <v>-608</v>
      </c>
      <c r="H25" s="365">
        <v>-3473</v>
      </c>
      <c r="I25" s="365">
        <v>-5991</v>
      </c>
      <c r="J25" s="365">
        <v>-5237</v>
      </c>
      <c r="K25" s="365">
        <v>-11690</v>
      </c>
      <c r="L25" s="365">
        <v>-2239</v>
      </c>
      <c r="M25" s="341"/>
      <c r="N25" s="354">
        <v>1152</v>
      </c>
      <c r="O25" s="365">
        <v>-1272</v>
      </c>
      <c r="P25" s="365">
        <v>2801</v>
      </c>
      <c r="Q25" s="366">
        <v>2862</v>
      </c>
      <c r="R25" s="365">
        <v>-841</v>
      </c>
      <c r="S25" s="365">
        <v>-317</v>
      </c>
      <c r="T25" s="365">
        <v>62</v>
      </c>
      <c r="U25" s="366">
        <v>-241</v>
      </c>
      <c r="V25" s="365">
        <v>-828</v>
      </c>
      <c r="W25" s="365">
        <v>-763</v>
      </c>
      <c r="X25" s="365">
        <v>-71</v>
      </c>
      <c r="Y25" s="366">
        <v>7</v>
      </c>
      <c r="Z25" s="365">
        <v>-200</v>
      </c>
      <c r="AA25" s="365">
        <v>-119</v>
      </c>
      <c r="AB25" s="365">
        <v>-183</v>
      </c>
      <c r="AC25" s="366">
        <v>-106</v>
      </c>
      <c r="AD25" s="365">
        <v>-333</v>
      </c>
      <c r="AE25" s="365">
        <v>-1486</v>
      </c>
      <c r="AF25" s="365">
        <v>-802</v>
      </c>
      <c r="AG25" s="366">
        <v>-852</v>
      </c>
      <c r="AH25" s="365">
        <v>-354</v>
      </c>
      <c r="AI25" s="365">
        <v>-623</v>
      </c>
      <c r="AJ25" s="365">
        <v>-587</v>
      </c>
      <c r="AK25" s="366">
        <v>-4427</v>
      </c>
      <c r="AL25" s="365">
        <v>-3739</v>
      </c>
      <c r="AM25" s="365">
        <v>-774</v>
      </c>
      <c r="AN25" s="365">
        <v>-371</v>
      </c>
      <c r="AO25" s="366">
        <v>-353</v>
      </c>
      <c r="AP25" s="365">
        <v>-511</v>
      </c>
      <c r="AQ25" s="365">
        <v>-8703</v>
      </c>
      <c r="AR25" s="365">
        <v>-1730</v>
      </c>
      <c r="AS25" s="366">
        <v>-746</v>
      </c>
      <c r="AT25" s="365">
        <v>-281</v>
      </c>
      <c r="AU25" s="365">
        <v>-692</v>
      </c>
      <c r="AV25" s="365">
        <v>-527</v>
      </c>
      <c r="AW25" s="366">
        <v>-739</v>
      </c>
      <c r="AX25" s="365">
        <v>-707</v>
      </c>
      <c r="AY25" s="365">
        <v>-516</v>
      </c>
    </row>
    <row r="26" spans="1:51" ht="13">
      <c r="A26" s="356"/>
      <c r="B26" s="357"/>
      <c r="C26" s="357"/>
      <c r="D26" s="367"/>
      <c r="E26" s="367"/>
      <c r="F26" s="367"/>
      <c r="G26" s="367"/>
      <c r="H26" s="367"/>
      <c r="I26" s="367" t="s">
        <v>302</v>
      </c>
      <c r="J26" s="367"/>
      <c r="K26" s="367"/>
      <c r="L26" s="367"/>
      <c r="M26" s="341"/>
      <c r="N26" s="357"/>
      <c r="O26" s="367"/>
      <c r="P26" s="367"/>
      <c r="Q26" s="368"/>
      <c r="R26" s="367"/>
      <c r="S26" s="367"/>
      <c r="T26" s="367"/>
      <c r="U26" s="368"/>
      <c r="V26" s="367"/>
      <c r="W26" s="367"/>
      <c r="X26" s="367"/>
      <c r="Y26" s="368"/>
      <c r="Z26" s="367"/>
      <c r="AA26" s="367"/>
      <c r="AB26" s="367"/>
      <c r="AC26" s="368"/>
      <c r="AD26" s="367"/>
      <c r="AE26" s="367"/>
      <c r="AF26" s="367"/>
      <c r="AG26" s="368"/>
      <c r="AH26" s="367"/>
      <c r="AI26" s="367"/>
      <c r="AJ26" s="367"/>
      <c r="AK26" s="368"/>
      <c r="AL26" s="367"/>
      <c r="AM26" s="367"/>
      <c r="AN26" s="367"/>
      <c r="AO26" s="368"/>
      <c r="AP26" s="367"/>
      <c r="AQ26" s="367"/>
      <c r="AR26" s="367"/>
      <c r="AS26" s="368"/>
      <c r="AT26" s="367"/>
      <c r="AU26" s="367"/>
      <c r="AV26" s="367"/>
      <c r="AW26" s="368"/>
      <c r="AX26" s="367"/>
      <c r="AY26" s="367"/>
    </row>
    <row r="27" spans="1:51" ht="13">
      <c r="A27" s="342" t="s">
        <v>451</v>
      </c>
      <c r="B27" s="343"/>
      <c r="C27" s="343"/>
      <c r="D27" s="349"/>
      <c r="E27" s="349"/>
      <c r="F27" s="349"/>
      <c r="G27" s="349"/>
      <c r="H27" s="349"/>
      <c r="I27" s="349" t="s">
        <v>302</v>
      </c>
      <c r="J27" s="349"/>
      <c r="K27" s="349"/>
      <c r="L27" s="349"/>
      <c r="M27" s="341"/>
      <c r="N27" s="343"/>
      <c r="O27" s="359"/>
      <c r="P27" s="359"/>
      <c r="Q27" s="350"/>
      <c r="R27" s="349"/>
      <c r="S27" s="349"/>
      <c r="T27" s="349"/>
      <c r="U27" s="350"/>
      <c r="V27" s="349"/>
      <c r="W27" s="349"/>
      <c r="X27" s="349"/>
      <c r="Y27" s="350"/>
      <c r="Z27" s="349"/>
      <c r="AA27" s="349"/>
      <c r="AB27" s="349"/>
      <c r="AC27" s="350"/>
      <c r="AD27" s="349"/>
      <c r="AE27" s="349"/>
      <c r="AF27" s="349"/>
      <c r="AG27" s="350"/>
      <c r="AH27" s="349"/>
      <c r="AI27" s="349"/>
      <c r="AJ27" s="349"/>
      <c r="AK27" s="350"/>
      <c r="AL27" s="349"/>
      <c r="AM27" s="349"/>
      <c r="AN27" s="349"/>
      <c r="AO27" s="350"/>
      <c r="AP27" s="349"/>
      <c r="AQ27" s="349"/>
      <c r="AR27" s="349"/>
      <c r="AS27" s="350"/>
      <c r="AT27" s="349"/>
      <c r="AU27" s="349"/>
      <c r="AV27" s="349"/>
      <c r="AW27" s="350"/>
      <c r="AX27" s="349"/>
      <c r="AY27" s="349"/>
    </row>
    <row r="28" spans="1:51" ht="13">
      <c r="A28" s="369" t="s">
        <v>452</v>
      </c>
      <c r="B28" s="352" t="s">
        <v>192</v>
      </c>
      <c r="C28" s="352" t="s">
        <v>192</v>
      </c>
      <c r="D28" s="352" t="s">
        <v>192</v>
      </c>
      <c r="E28" s="352" t="s">
        <v>192</v>
      </c>
      <c r="F28" s="352">
        <v>-2523</v>
      </c>
      <c r="G28" s="352">
        <v>-2892</v>
      </c>
      <c r="H28" s="352">
        <v>-3016</v>
      </c>
      <c r="I28" s="352">
        <v>-3619</v>
      </c>
      <c r="J28" s="352">
        <v>-4103</v>
      </c>
      <c r="K28" s="352">
        <v>-4591</v>
      </c>
      <c r="L28" s="352">
        <v>-4594</v>
      </c>
      <c r="M28" s="341"/>
      <c r="N28" s="352" t="s">
        <v>192</v>
      </c>
      <c r="O28" s="352" t="s">
        <v>192</v>
      </c>
      <c r="P28" s="352" t="s">
        <v>192</v>
      </c>
      <c r="Q28" s="1124" t="s">
        <v>192</v>
      </c>
      <c r="R28" s="352" t="s">
        <v>192</v>
      </c>
      <c r="S28" s="352" t="s">
        <v>192</v>
      </c>
      <c r="T28" s="352" t="s">
        <v>192</v>
      </c>
      <c r="U28" s="1124" t="s">
        <v>192</v>
      </c>
      <c r="V28" s="352" t="s">
        <v>192</v>
      </c>
      <c r="W28" s="352">
        <v>-1260</v>
      </c>
      <c r="X28" s="352" t="s">
        <v>192</v>
      </c>
      <c r="Y28" s="1124">
        <v>-1263</v>
      </c>
      <c r="Z28" s="352" t="s">
        <v>192</v>
      </c>
      <c r="AA28" s="352">
        <v>-1445</v>
      </c>
      <c r="AB28" s="352" t="s">
        <v>192</v>
      </c>
      <c r="AC28" s="1124">
        <v>-1447</v>
      </c>
      <c r="AD28" s="352" t="s">
        <v>192</v>
      </c>
      <c r="AE28" s="352">
        <v>-1508</v>
      </c>
      <c r="AF28" s="352" t="s">
        <v>192</v>
      </c>
      <c r="AG28" s="1124">
        <v>-1508</v>
      </c>
      <c r="AH28" s="352" t="s">
        <v>192</v>
      </c>
      <c r="AI28" s="352">
        <v>-1810</v>
      </c>
      <c r="AJ28" s="352" t="s">
        <v>192</v>
      </c>
      <c r="AK28" s="1124">
        <v>-1809</v>
      </c>
      <c r="AL28" s="352" t="s">
        <v>192</v>
      </c>
      <c r="AM28" s="352">
        <v>-2051</v>
      </c>
      <c r="AN28" s="352" t="s">
        <v>192</v>
      </c>
      <c r="AO28" s="1124">
        <v>-2052</v>
      </c>
      <c r="AP28" s="352" t="s">
        <v>192</v>
      </c>
      <c r="AQ28" s="352">
        <v>-2295</v>
      </c>
      <c r="AR28" s="352" t="s">
        <v>192</v>
      </c>
      <c r="AS28" s="1124">
        <v>-2296</v>
      </c>
      <c r="AT28" s="1121" t="s">
        <v>192</v>
      </c>
      <c r="AU28" s="1121">
        <v>-2296</v>
      </c>
      <c r="AV28" s="1121" t="s">
        <v>192</v>
      </c>
      <c r="AW28" s="1122">
        <v>-2297</v>
      </c>
      <c r="AX28" s="352" t="s">
        <v>192</v>
      </c>
      <c r="AY28" s="352">
        <v>-2299</v>
      </c>
    </row>
    <row r="29" spans="1:51" ht="13">
      <c r="A29" s="1123" t="s">
        <v>453</v>
      </c>
      <c r="B29" s="352" t="s">
        <v>192</v>
      </c>
      <c r="C29" s="352" t="s">
        <v>192</v>
      </c>
      <c r="D29" s="352" t="s">
        <v>192</v>
      </c>
      <c r="E29" s="352" t="s">
        <v>192</v>
      </c>
      <c r="F29" s="352">
        <v>-8</v>
      </c>
      <c r="G29" s="352">
        <v>-9</v>
      </c>
      <c r="H29" s="352">
        <v>-7</v>
      </c>
      <c r="I29" s="352">
        <v>-2</v>
      </c>
      <c r="J29" s="352">
        <v>-3</v>
      </c>
      <c r="K29" s="352">
        <v>-2</v>
      </c>
      <c r="L29" s="352">
        <v>-16</v>
      </c>
      <c r="M29" s="341"/>
      <c r="N29" s="352" t="s">
        <v>192</v>
      </c>
      <c r="O29" s="352" t="s">
        <v>192</v>
      </c>
      <c r="P29" s="352" t="s">
        <v>192</v>
      </c>
      <c r="Q29" s="1124" t="s">
        <v>192</v>
      </c>
      <c r="R29" s="352" t="s">
        <v>192</v>
      </c>
      <c r="S29" s="352" t="s">
        <v>192</v>
      </c>
      <c r="T29" s="352" t="s">
        <v>192</v>
      </c>
      <c r="U29" s="1124" t="s">
        <v>192</v>
      </c>
      <c r="V29" s="352" t="s">
        <v>192</v>
      </c>
      <c r="W29" s="352">
        <v>-7</v>
      </c>
      <c r="X29" s="352">
        <v>-1</v>
      </c>
      <c r="Y29" s="1124" t="s">
        <v>192</v>
      </c>
      <c r="Z29" s="352">
        <v>-1</v>
      </c>
      <c r="AA29" s="352">
        <v>0</v>
      </c>
      <c r="AB29" s="352">
        <v>-8</v>
      </c>
      <c r="AC29" s="1124">
        <v>0</v>
      </c>
      <c r="AD29" s="352" t="s">
        <v>192</v>
      </c>
      <c r="AE29" s="352">
        <v>-1</v>
      </c>
      <c r="AF29" s="352" t="s">
        <v>192</v>
      </c>
      <c r="AG29" s="1124">
        <v>-6</v>
      </c>
      <c r="AH29" s="352" t="s">
        <v>192</v>
      </c>
      <c r="AI29" s="352">
        <v>-1</v>
      </c>
      <c r="AJ29" s="352" t="s">
        <v>192</v>
      </c>
      <c r="AK29" s="1124">
        <v>-1</v>
      </c>
      <c r="AL29" s="352" t="s">
        <v>192</v>
      </c>
      <c r="AM29" s="352">
        <v>-1</v>
      </c>
      <c r="AN29" s="352">
        <v>-1</v>
      </c>
      <c r="AO29" s="1124">
        <v>-1</v>
      </c>
      <c r="AP29" s="352" t="s">
        <v>192</v>
      </c>
      <c r="AQ29" s="352">
        <v>-1</v>
      </c>
      <c r="AR29" s="352">
        <v>-1</v>
      </c>
      <c r="AS29" s="1124" t="s">
        <v>192</v>
      </c>
      <c r="AT29" s="1121">
        <v>-14</v>
      </c>
      <c r="AU29" s="1121" t="s">
        <v>192</v>
      </c>
      <c r="AV29" s="1121">
        <v>-1</v>
      </c>
      <c r="AW29" s="1122">
        <v>-1</v>
      </c>
      <c r="AX29" s="352">
        <v>-1</v>
      </c>
      <c r="AY29" s="352" t="s">
        <v>192</v>
      </c>
    </row>
    <row r="30" spans="1:51" ht="13">
      <c r="A30" s="1123" t="s">
        <v>454</v>
      </c>
      <c r="B30" s="351">
        <v>-299</v>
      </c>
      <c r="C30" s="351">
        <v>-380</v>
      </c>
      <c r="D30" s="349">
        <v>-5178</v>
      </c>
      <c r="E30" s="352" t="s">
        <v>192</v>
      </c>
      <c r="F30" s="352" t="s">
        <v>192</v>
      </c>
      <c r="G30" s="352">
        <v>0</v>
      </c>
      <c r="H30" s="352" t="s">
        <v>192</v>
      </c>
      <c r="I30" s="352" t="s">
        <v>192</v>
      </c>
      <c r="J30" s="352" t="s">
        <v>192</v>
      </c>
      <c r="K30" s="352" t="s">
        <v>192</v>
      </c>
      <c r="L30" s="352" t="s">
        <v>192</v>
      </c>
      <c r="M30" s="341"/>
      <c r="N30" s="352" t="s">
        <v>192</v>
      </c>
      <c r="O30" s="352">
        <v>-229</v>
      </c>
      <c r="P30" s="352">
        <v>-3727</v>
      </c>
      <c r="Q30" s="350">
        <v>-1222</v>
      </c>
      <c r="R30" s="352" t="s">
        <v>192</v>
      </c>
      <c r="S30" s="352" t="s">
        <v>192</v>
      </c>
      <c r="T30" s="352" t="s">
        <v>192</v>
      </c>
      <c r="U30" s="1124" t="s">
        <v>192</v>
      </c>
      <c r="V30" s="352" t="s">
        <v>192</v>
      </c>
      <c r="W30" s="352" t="s">
        <v>192</v>
      </c>
      <c r="X30" s="352" t="s">
        <v>192</v>
      </c>
      <c r="Y30" s="1124" t="s">
        <v>192</v>
      </c>
      <c r="Z30" s="352" t="s">
        <v>192</v>
      </c>
      <c r="AA30" s="352" t="s">
        <v>192</v>
      </c>
      <c r="AB30" s="352" t="s">
        <v>192</v>
      </c>
      <c r="AC30" s="1124" t="s">
        <v>192</v>
      </c>
      <c r="AD30" s="352" t="s">
        <v>192</v>
      </c>
      <c r="AE30" s="352" t="s">
        <v>192</v>
      </c>
      <c r="AF30" s="352" t="s">
        <v>192</v>
      </c>
      <c r="AG30" s="1124" t="s">
        <v>192</v>
      </c>
      <c r="AH30" s="352" t="s">
        <v>192</v>
      </c>
      <c r="AI30" s="352" t="s">
        <v>192</v>
      </c>
      <c r="AJ30" s="352" t="s">
        <v>192</v>
      </c>
      <c r="AK30" s="1124" t="s">
        <v>192</v>
      </c>
      <c r="AL30" s="352" t="s">
        <v>192</v>
      </c>
      <c r="AM30" s="352" t="s">
        <v>192</v>
      </c>
      <c r="AN30" s="352" t="s">
        <v>192</v>
      </c>
      <c r="AO30" s="1124" t="s">
        <v>192</v>
      </c>
      <c r="AP30" s="352" t="s">
        <v>192</v>
      </c>
      <c r="AQ30" s="352" t="s">
        <v>192</v>
      </c>
      <c r="AR30" s="352" t="s">
        <v>192</v>
      </c>
      <c r="AS30" s="1124" t="s">
        <v>192</v>
      </c>
      <c r="AT30" s="1121" t="s">
        <v>192</v>
      </c>
      <c r="AU30" s="1121" t="s">
        <v>192</v>
      </c>
      <c r="AV30" s="1121" t="s">
        <v>192</v>
      </c>
      <c r="AW30" s="1122" t="s">
        <v>192</v>
      </c>
      <c r="AX30" s="352" t="s">
        <v>192</v>
      </c>
      <c r="AY30" s="352" t="s">
        <v>192</v>
      </c>
    </row>
    <row r="31" spans="1:51" ht="13">
      <c r="A31" s="1123" t="s">
        <v>455</v>
      </c>
      <c r="B31" s="352" t="s">
        <v>192</v>
      </c>
      <c r="C31" s="351">
        <v>-91</v>
      </c>
      <c r="D31" s="349">
        <v>6</v>
      </c>
      <c r="E31" s="352" t="s">
        <v>192</v>
      </c>
      <c r="F31" s="352" t="s">
        <v>192</v>
      </c>
      <c r="G31" s="352">
        <v>0</v>
      </c>
      <c r="H31" s="352" t="s">
        <v>192</v>
      </c>
      <c r="I31" s="352">
        <v>-175</v>
      </c>
      <c r="J31" s="352">
        <v>-105</v>
      </c>
      <c r="K31" s="352" t="s">
        <v>192</v>
      </c>
      <c r="L31" s="352">
        <v>-355</v>
      </c>
      <c r="M31" s="341"/>
      <c r="N31" s="352">
        <v>6</v>
      </c>
      <c r="O31" s="352" t="s">
        <v>192</v>
      </c>
      <c r="P31" s="352" t="s">
        <v>192</v>
      </c>
      <c r="Q31" s="1124" t="s">
        <v>192</v>
      </c>
      <c r="R31" s="352" t="s">
        <v>192</v>
      </c>
      <c r="S31" s="352" t="s">
        <v>192</v>
      </c>
      <c r="T31" s="352" t="s">
        <v>192</v>
      </c>
      <c r="U31" s="1124" t="s">
        <v>192</v>
      </c>
      <c r="V31" s="352" t="s">
        <v>192</v>
      </c>
      <c r="W31" s="352" t="s">
        <v>192</v>
      </c>
      <c r="X31" s="352" t="s">
        <v>192</v>
      </c>
      <c r="Y31" s="1124" t="s">
        <v>192</v>
      </c>
      <c r="Z31" s="352" t="s">
        <v>192</v>
      </c>
      <c r="AA31" s="352" t="s">
        <v>192</v>
      </c>
      <c r="AB31" s="352" t="s">
        <v>192</v>
      </c>
      <c r="AC31" s="1124" t="s">
        <v>192</v>
      </c>
      <c r="AD31" s="352" t="s">
        <v>192</v>
      </c>
      <c r="AE31" s="352" t="s">
        <v>192</v>
      </c>
      <c r="AF31" s="352" t="s">
        <v>192</v>
      </c>
      <c r="AG31" s="1124" t="s">
        <v>192</v>
      </c>
      <c r="AH31" s="352" t="s">
        <v>192</v>
      </c>
      <c r="AI31" s="352" t="s">
        <v>192</v>
      </c>
      <c r="AJ31" s="352">
        <v>-175</v>
      </c>
      <c r="AK31" s="1124" t="s">
        <v>192</v>
      </c>
      <c r="AL31" s="352" t="s">
        <v>192</v>
      </c>
      <c r="AM31" s="352" t="s">
        <v>192</v>
      </c>
      <c r="AN31" s="352" t="s">
        <v>192</v>
      </c>
      <c r="AO31" s="1124">
        <v>-105</v>
      </c>
      <c r="AP31" s="352" t="s">
        <v>192</v>
      </c>
      <c r="AQ31" s="352" t="s">
        <v>192</v>
      </c>
      <c r="AR31" s="352" t="s">
        <v>192</v>
      </c>
      <c r="AS31" s="1124" t="s">
        <v>192</v>
      </c>
      <c r="AT31" s="1121" t="s">
        <v>192</v>
      </c>
      <c r="AU31" s="1121">
        <v>-355</v>
      </c>
      <c r="AV31" s="1121" t="s">
        <v>192</v>
      </c>
      <c r="AW31" s="1122" t="s">
        <v>192</v>
      </c>
      <c r="AX31" s="352" t="s">
        <v>192</v>
      </c>
      <c r="AY31" s="352" t="s">
        <v>192</v>
      </c>
    </row>
    <row r="32" spans="1:51" ht="13">
      <c r="A32" s="1123" t="s">
        <v>456</v>
      </c>
      <c r="B32" s="352" t="s">
        <v>192</v>
      </c>
      <c r="C32" s="352" t="s">
        <v>192</v>
      </c>
      <c r="D32" s="352" t="s">
        <v>192</v>
      </c>
      <c r="E32" s="352" t="s">
        <v>192</v>
      </c>
      <c r="F32" s="352" t="s">
        <v>192</v>
      </c>
      <c r="G32" s="352" t="s">
        <v>192</v>
      </c>
      <c r="H32" s="352">
        <v>-3619</v>
      </c>
      <c r="I32" s="352" t="s">
        <v>192</v>
      </c>
      <c r="J32" s="352" t="s">
        <v>192</v>
      </c>
      <c r="K32" s="352" t="s">
        <v>192</v>
      </c>
      <c r="L32" s="352" t="s">
        <v>192</v>
      </c>
      <c r="M32" s="341"/>
      <c r="N32" s="352" t="s">
        <v>192</v>
      </c>
      <c r="O32" s="352" t="s">
        <v>192</v>
      </c>
      <c r="P32" s="352" t="s">
        <v>192</v>
      </c>
      <c r="Q32" s="1124" t="s">
        <v>192</v>
      </c>
      <c r="R32" s="352" t="s">
        <v>192</v>
      </c>
      <c r="S32" s="352" t="s">
        <v>192</v>
      </c>
      <c r="T32" s="352" t="s">
        <v>192</v>
      </c>
      <c r="U32" s="1124" t="s">
        <v>192</v>
      </c>
      <c r="V32" s="352" t="s">
        <v>192</v>
      </c>
      <c r="W32" s="352" t="s">
        <v>192</v>
      </c>
      <c r="X32" s="352" t="s">
        <v>192</v>
      </c>
      <c r="Y32" s="1124" t="s">
        <v>192</v>
      </c>
      <c r="Z32" s="352" t="s">
        <v>192</v>
      </c>
      <c r="AA32" s="352" t="s">
        <v>192</v>
      </c>
      <c r="AB32" s="352" t="s">
        <v>192</v>
      </c>
      <c r="AC32" s="1124" t="s">
        <v>192</v>
      </c>
      <c r="AD32" s="352" t="s">
        <v>192</v>
      </c>
      <c r="AE32" s="352">
        <v>-3619</v>
      </c>
      <c r="AF32" s="352" t="s">
        <v>192</v>
      </c>
      <c r="AG32" s="1124" t="s">
        <v>192</v>
      </c>
      <c r="AH32" s="352" t="s">
        <v>192</v>
      </c>
      <c r="AI32" s="352" t="s">
        <v>192</v>
      </c>
      <c r="AJ32" s="352" t="s">
        <v>192</v>
      </c>
      <c r="AK32" s="1124" t="s">
        <v>192</v>
      </c>
      <c r="AL32" s="352" t="s">
        <v>192</v>
      </c>
      <c r="AM32" s="352" t="s">
        <v>192</v>
      </c>
      <c r="AN32" s="352" t="s">
        <v>192</v>
      </c>
      <c r="AO32" s="1124" t="s">
        <v>192</v>
      </c>
      <c r="AP32" s="352" t="s">
        <v>192</v>
      </c>
      <c r="AQ32" s="352" t="s">
        <v>192</v>
      </c>
      <c r="AR32" s="352" t="s">
        <v>192</v>
      </c>
      <c r="AS32" s="1124" t="s">
        <v>192</v>
      </c>
      <c r="AT32" s="1121" t="s">
        <v>192</v>
      </c>
      <c r="AU32" s="1121" t="s">
        <v>192</v>
      </c>
      <c r="AV32" s="1121" t="s">
        <v>192</v>
      </c>
      <c r="AW32" s="1122" t="s">
        <v>192</v>
      </c>
      <c r="AX32" s="352" t="s">
        <v>192</v>
      </c>
      <c r="AY32" s="352" t="s">
        <v>192</v>
      </c>
    </row>
    <row r="33" spans="1:51" ht="13">
      <c r="A33" s="1123" t="s">
        <v>457</v>
      </c>
      <c r="B33" s="352" t="s">
        <v>192</v>
      </c>
      <c r="C33" s="352" t="s">
        <v>192</v>
      </c>
      <c r="D33" s="352" t="s">
        <v>192</v>
      </c>
      <c r="E33" s="352">
        <v>-1307</v>
      </c>
      <c r="F33" s="352">
        <v>340</v>
      </c>
      <c r="G33" s="352">
        <v>370</v>
      </c>
      <c r="H33" s="352">
        <v>64</v>
      </c>
      <c r="I33" s="352">
        <v>-116</v>
      </c>
      <c r="J33" s="352">
        <v>279</v>
      </c>
      <c r="K33" s="352">
        <v>290</v>
      </c>
      <c r="L33" s="352">
        <v>142</v>
      </c>
      <c r="M33" s="341"/>
      <c r="N33" s="352" t="s">
        <v>192</v>
      </c>
      <c r="O33" s="352" t="s">
        <v>192</v>
      </c>
      <c r="P33" s="352" t="s">
        <v>192</v>
      </c>
      <c r="Q33" s="1124" t="s">
        <v>192</v>
      </c>
      <c r="R33" s="352" t="s">
        <v>192</v>
      </c>
      <c r="S33" s="352" t="s">
        <v>192</v>
      </c>
      <c r="T33" s="349">
        <v>-1100</v>
      </c>
      <c r="U33" s="350">
        <v>-207</v>
      </c>
      <c r="V33" s="352">
        <v>-33</v>
      </c>
      <c r="W33" s="352">
        <v>80</v>
      </c>
      <c r="X33" s="352">
        <v>248</v>
      </c>
      <c r="Y33" s="1124">
        <v>45</v>
      </c>
      <c r="Z33" s="352">
        <v>96</v>
      </c>
      <c r="AA33" s="352">
        <v>43</v>
      </c>
      <c r="AB33" s="352">
        <v>180</v>
      </c>
      <c r="AC33" s="1124">
        <v>51</v>
      </c>
      <c r="AD33" s="352">
        <v>44</v>
      </c>
      <c r="AE33" s="352">
        <v>79</v>
      </c>
      <c r="AF33" s="352">
        <v>-61</v>
      </c>
      <c r="AG33" s="1124">
        <v>2</v>
      </c>
      <c r="AH33" s="352">
        <v>27</v>
      </c>
      <c r="AI33" s="352">
        <v>49</v>
      </c>
      <c r="AJ33" s="352">
        <v>-74</v>
      </c>
      <c r="AK33" s="1124">
        <v>-118</v>
      </c>
      <c r="AL33" s="352">
        <v>160</v>
      </c>
      <c r="AM33" s="352">
        <v>49</v>
      </c>
      <c r="AN33" s="352">
        <v>45</v>
      </c>
      <c r="AO33" s="1124">
        <v>25</v>
      </c>
      <c r="AP33" s="352">
        <v>120</v>
      </c>
      <c r="AQ33" s="352">
        <v>111</v>
      </c>
      <c r="AR33" s="352">
        <v>26</v>
      </c>
      <c r="AS33" s="1124">
        <v>33</v>
      </c>
      <c r="AT33" s="1121">
        <v>104</v>
      </c>
      <c r="AU33" s="1121">
        <v>27</v>
      </c>
      <c r="AV33" s="1121">
        <v>1</v>
      </c>
      <c r="AW33" s="1122">
        <v>10</v>
      </c>
      <c r="AX33" s="352">
        <v>196</v>
      </c>
      <c r="AY33" s="352">
        <v>32</v>
      </c>
    </row>
    <row r="34" spans="1:51" ht="13">
      <c r="A34" s="1123" t="s">
        <v>458</v>
      </c>
      <c r="B34" s="351">
        <v>433</v>
      </c>
      <c r="C34" s="351">
        <v>510</v>
      </c>
      <c r="D34" s="349">
        <v>-889</v>
      </c>
      <c r="E34" s="349">
        <v>2367</v>
      </c>
      <c r="F34" s="349">
        <v>-820</v>
      </c>
      <c r="G34" s="349">
        <v>1541</v>
      </c>
      <c r="H34" s="349">
        <v>-1858</v>
      </c>
      <c r="I34" s="349">
        <v>686</v>
      </c>
      <c r="J34" s="349">
        <v>1291</v>
      </c>
      <c r="K34" s="349">
        <v>6202</v>
      </c>
      <c r="L34" s="349">
        <v>-795</v>
      </c>
      <c r="M34" s="341"/>
      <c r="N34" s="351">
        <v>-2854</v>
      </c>
      <c r="O34" s="352">
        <v>1612</v>
      </c>
      <c r="P34" s="352">
        <v>297</v>
      </c>
      <c r="Q34" s="350">
        <v>56</v>
      </c>
      <c r="R34" s="349">
        <v>275</v>
      </c>
      <c r="S34" s="349">
        <v>2294</v>
      </c>
      <c r="T34" s="349">
        <v>-92</v>
      </c>
      <c r="U34" s="350">
        <v>-110</v>
      </c>
      <c r="V34" s="349">
        <v>-326</v>
      </c>
      <c r="W34" s="349">
        <v>-161</v>
      </c>
      <c r="X34" s="349">
        <v>-152</v>
      </c>
      <c r="Y34" s="350">
        <v>-181</v>
      </c>
      <c r="Z34" s="349">
        <v>1</v>
      </c>
      <c r="AA34" s="349">
        <v>2031</v>
      </c>
      <c r="AB34" s="349">
        <v>-508</v>
      </c>
      <c r="AC34" s="350">
        <v>18</v>
      </c>
      <c r="AD34" s="349">
        <v>-457</v>
      </c>
      <c r="AE34" s="349">
        <v>-136</v>
      </c>
      <c r="AF34" s="349">
        <v>-116</v>
      </c>
      <c r="AG34" s="350">
        <v>-1149</v>
      </c>
      <c r="AH34" s="349">
        <v>-77</v>
      </c>
      <c r="AI34" s="349">
        <v>-139</v>
      </c>
      <c r="AJ34" s="349">
        <v>672</v>
      </c>
      <c r="AK34" s="350">
        <v>230</v>
      </c>
      <c r="AL34" s="349">
        <v>146</v>
      </c>
      <c r="AM34" s="349">
        <v>1357</v>
      </c>
      <c r="AN34" s="349">
        <v>-149</v>
      </c>
      <c r="AO34" s="350">
        <v>-63</v>
      </c>
      <c r="AP34" s="349">
        <v>5331</v>
      </c>
      <c r="AQ34" s="352">
        <v>2000</v>
      </c>
      <c r="AR34" s="352">
        <v>-141</v>
      </c>
      <c r="AS34" s="350">
        <v>-988</v>
      </c>
      <c r="AT34" s="349">
        <v>-181</v>
      </c>
      <c r="AU34" s="1121">
        <v>-168</v>
      </c>
      <c r="AV34" s="352">
        <v>66</v>
      </c>
      <c r="AW34" s="350">
        <v>-513</v>
      </c>
      <c r="AX34" s="349">
        <v>-1602</v>
      </c>
      <c r="AY34" s="352">
        <v>-1585</v>
      </c>
    </row>
    <row r="35" spans="1:51" ht="13">
      <c r="A35" s="1125" t="s">
        <v>459</v>
      </c>
      <c r="B35" s="1126">
        <v>134</v>
      </c>
      <c r="C35" s="1126">
        <v>39</v>
      </c>
      <c r="D35" s="1127">
        <v>-6061</v>
      </c>
      <c r="E35" s="1127">
        <v>1060</v>
      </c>
      <c r="F35" s="1127">
        <v>-3011</v>
      </c>
      <c r="G35" s="1127">
        <v>-990</v>
      </c>
      <c r="H35" s="1127">
        <v>-8436</v>
      </c>
      <c r="I35" s="1127">
        <v>-3226</v>
      </c>
      <c r="J35" s="1127">
        <v>-2641</v>
      </c>
      <c r="K35" s="1127">
        <v>1899</v>
      </c>
      <c r="L35" s="1127">
        <v>-5618</v>
      </c>
      <c r="M35" s="341"/>
      <c r="N35" s="1126">
        <v>-2848</v>
      </c>
      <c r="O35" s="1127">
        <v>1383</v>
      </c>
      <c r="P35" s="1127">
        <v>-3430</v>
      </c>
      <c r="Q35" s="1128">
        <v>-1166</v>
      </c>
      <c r="R35" s="1127">
        <v>275</v>
      </c>
      <c r="S35" s="1127">
        <v>2294</v>
      </c>
      <c r="T35" s="1127">
        <v>-1192</v>
      </c>
      <c r="U35" s="1128">
        <v>-317</v>
      </c>
      <c r="V35" s="1127">
        <v>-359</v>
      </c>
      <c r="W35" s="1127">
        <v>-1348</v>
      </c>
      <c r="X35" s="1127">
        <v>95</v>
      </c>
      <c r="Y35" s="1128">
        <v>-1399</v>
      </c>
      <c r="Z35" s="1127">
        <v>96</v>
      </c>
      <c r="AA35" s="1127">
        <v>629</v>
      </c>
      <c r="AB35" s="1127">
        <v>-336</v>
      </c>
      <c r="AC35" s="1128">
        <v>-1379</v>
      </c>
      <c r="AD35" s="1127">
        <v>-413</v>
      </c>
      <c r="AE35" s="1127">
        <v>-5185</v>
      </c>
      <c r="AF35" s="1127">
        <v>-177</v>
      </c>
      <c r="AG35" s="1128">
        <v>-2661</v>
      </c>
      <c r="AH35" s="1127">
        <v>-50</v>
      </c>
      <c r="AI35" s="1127">
        <v>-1901</v>
      </c>
      <c r="AJ35" s="1127">
        <v>423</v>
      </c>
      <c r="AK35" s="1128">
        <v>-1698</v>
      </c>
      <c r="AL35" s="1127">
        <v>306</v>
      </c>
      <c r="AM35" s="1127">
        <v>-646</v>
      </c>
      <c r="AN35" s="1127">
        <v>-105</v>
      </c>
      <c r="AO35" s="1128">
        <v>-2196</v>
      </c>
      <c r="AP35" s="1127">
        <v>5451</v>
      </c>
      <c r="AQ35" s="1127">
        <v>-185</v>
      </c>
      <c r="AR35" s="1127">
        <v>-116</v>
      </c>
      <c r="AS35" s="1128">
        <v>-3251</v>
      </c>
      <c r="AT35" s="1127">
        <v>-91</v>
      </c>
      <c r="AU35" s="1127">
        <v>-2792</v>
      </c>
      <c r="AV35" s="1127">
        <v>66</v>
      </c>
      <c r="AW35" s="1128">
        <v>-2801</v>
      </c>
      <c r="AX35" s="1127">
        <v>-1407</v>
      </c>
      <c r="AY35" s="1127">
        <v>-3852</v>
      </c>
    </row>
    <row r="36" spans="1:51" ht="13">
      <c r="A36" s="1129"/>
      <c r="B36" s="1130"/>
      <c r="C36" s="1130"/>
      <c r="D36" s="1131"/>
      <c r="E36" s="1131"/>
      <c r="F36" s="1131"/>
      <c r="G36" s="1131"/>
      <c r="H36" s="1131"/>
      <c r="I36" s="1131"/>
      <c r="J36" s="1131"/>
      <c r="K36" s="1131"/>
      <c r="L36" s="1131"/>
      <c r="M36" s="341"/>
      <c r="N36" s="1130"/>
      <c r="O36" s="1131"/>
      <c r="P36" s="1131"/>
      <c r="Q36" s="1132"/>
      <c r="R36" s="1131"/>
      <c r="S36" s="1131"/>
      <c r="T36" s="1131"/>
      <c r="U36" s="1132"/>
      <c r="V36" s="1131"/>
      <c r="W36" s="1131"/>
      <c r="X36" s="1131"/>
      <c r="Y36" s="1132"/>
      <c r="Z36" s="1131"/>
      <c r="AA36" s="1131"/>
      <c r="AB36" s="1131"/>
      <c r="AC36" s="1132"/>
      <c r="AD36" s="1131"/>
      <c r="AE36" s="1131"/>
      <c r="AF36" s="1131"/>
      <c r="AG36" s="1132"/>
      <c r="AH36" s="1131"/>
      <c r="AI36" s="1131"/>
      <c r="AJ36" s="1131"/>
      <c r="AK36" s="1132"/>
      <c r="AL36" s="1131"/>
      <c r="AM36" s="1131"/>
      <c r="AN36" s="1131"/>
      <c r="AO36" s="1132"/>
      <c r="AP36" s="1131"/>
      <c r="AQ36" s="1131"/>
      <c r="AR36" s="1131"/>
      <c r="AS36" s="1132"/>
      <c r="AT36" s="1131"/>
      <c r="AU36" s="1131"/>
      <c r="AV36" s="1131"/>
      <c r="AW36" s="1132"/>
      <c r="AX36" s="1131"/>
      <c r="AY36" s="1131"/>
    </row>
    <row r="37" spans="1:51" ht="13">
      <c r="A37" s="1125" t="s">
        <v>460</v>
      </c>
      <c r="B37" s="1126">
        <v>2817</v>
      </c>
      <c r="C37" s="1126">
        <v>3636</v>
      </c>
      <c r="D37" s="1126">
        <v>4658</v>
      </c>
      <c r="E37" s="1126">
        <v>4047</v>
      </c>
      <c r="F37" s="1126">
        <v>2562</v>
      </c>
      <c r="G37" s="1126">
        <v>6736</v>
      </c>
      <c r="H37" s="1126">
        <v>-4302</v>
      </c>
      <c r="I37" s="1126">
        <v>-3659</v>
      </c>
      <c r="J37" s="1126">
        <v>-735.27075806350012</v>
      </c>
      <c r="K37" s="1126">
        <v>669</v>
      </c>
      <c r="L37" s="1126">
        <v>2818</v>
      </c>
      <c r="M37" s="341"/>
      <c r="N37" s="1126">
        <v>-441</v>
      </c>
      <c r="O37" s="1126">
        <v>1597</v>
      </c>
      <c r="P37" s="1126">
        <v>790</v>
      </c>
      <c r="Q37" s="1133">
        <v>2712</v>
      </c>
      <c r="R37" s="1126">
        <v>413</v>
      </c>
      <c r="S37" s="1126">
        <v>1915</v>
      </c>
      <c r="T37" s="1126">
        <v>-210</v>
      </c>
      <c r="U37" s="1133">
        <v>1929</v>
      </c>
      <c r="V37" s="1126">
        <v>-598</v>
      </c>
      <c r="W37" s="1126">
        <v>-501</v>
      </c>
      <c r="X37" s="1126">
        <v>1876</v>
      </c>
      <c r="Y37" s="1133">
        <v>1785</v>
      </c>
      <c r="Z37" s="1126">
        <v>1677</v>
      </c>
      <c r="AA37" s="1126">
        <v>2893</v>
      </c>
      <c r="AB37" s="1126">
        <v>1300</v>
      </c>
      <c r="AC37" s="1133">
        <v>866</v>
      </c>
      <c r="AD37" s="1126">
        <v>1077</v>
      </c>
      <c r="AE37" s="1126">
        <v>-5249</v>
      </c>
      <c r="AF37" s="1126">
        <v>839</v>
      </c>
      <c r="AG37" s="1133">
        <v>-969</v>
      </c>
      <c r="AH37" s="1126">
        <v>347</v>
      </c>
      <c r="AI37" s="1126">
        <v>-1124</v>
      </c>
      <c r="AJ37" s="1126">
        <v>1500</v>
      </c>
      <c r="AK37" s="1133">
        <v>-4382</v>
      </c>
      <c r="AL37" s="1126">
        <v>-2694</v>
      </c>
      <c r="AM37" s="1126">
        <v>274</v>
      </c>
      <c r="AN37" s="1126">
        <v>1441</v>
      </c>
      <c r="AO37" s="1133">
        <v>244</v>
      </c>
      <c r="AP37" s="1126">
        <v>7344</v>
      </c>
      <c r="AQ37" s="1126">
        <v>-7277</v>
      </c>
      <c r="AR37" s="1126">
        <v>655</v>
      </c>
      <c r="AS37" s="1133">
        <v>-53</v>
      </c>
      <c r="AT37" s="1126">
        <v>2216</v>
      </c>
      <c r="AU37" s="1126">
        <v>-1362</v>
      </c>
      <c r="AV37" s="1126">
        <v>2423</v>
      </c>
      <c r="AW37" s="1133">
        <v>-459</v>
      </c>
      <c r="AX37" s="1126">
        <v>-458</v>
      </c>
      <c r="AY37" s="1126">
        <v>-2396</v>
      </c>
    </row>
    <row r="38" spans="1:51" ht="13">
      <c r="A38" s="1123" t="s">
        <v>461</v>
      </c>
      <c r="B38" s="351">
        <v>530</v>
      </c>
      <c r="C38" s="351">
        <v>461</v>
      </c>
      <c r="D38" s="349">
        <v>481</v>
      </c>
      <c r="E38" s="349">
        <v>1808</v>
      </c>
      <c r="F38" s="349">
        <v>5872</v>
      </c>
      <c r="G38" s="349">
        <v>8540</v>
      </c>
      <c r="H38" s="349">
        <v>15053</v>
      </c>
      <c r="I38" s="349">
        <v>10792</v>
      </c>
      <c r="J38" s="349">
        <v>7326</v>
      </c>
      <c r="K38" s="349">
        <v>6401</v>
      </c>
      <c r="L38" s="349">
        <v>7179</v>
      </c>
      <c r="M38" s="341"/>
      <c r="N38" s="351">
        <v>481</v>
      </c>
      <c r="O38" s="352">
        <v>615</v>
      </c>
      <c r="P38" s="352">
        <v>610</v>
      </c>
      <c r="Q38" s="350">
        <v>728</v>
      </c>
      <c r="R38" s="349">
        <v>1808</v>
      </c>
      <c r="S38" s="349">
        <v>2255</v>
      </c>
      <c r="T38" s="349">
        <v>4205</v>
      </c>
      <c r="U38" s="350">
        <v>3949</v>
      </c>
      <c r="V38" s="349">
        <v>5872</v>
      </c>
      <c r="W38" s="349">
        <v>5371</v>
      </c>
      <c r="X38" s="349">
        <v>4883</v>
      </c>
      <c r="Y38" s="350">
        <v>6814</v>
      </c>
      <c r="Z38" s="349">
        <v>8540</v>
      </c>
      <c r="AA38" s="349">
        <v>10225</v>
      </c>
      <c r="AB38" s="349">
        <v>13005</v>
      </c>
      <c r="AC38" s="350">
        <v>14250</v>
      </c>
      <c r="AD38" s="349">
        <v>15053</v>
      </c>
      <c r="AE38" s="349">
        <v>16191</v>
      </c>
      <c r="AF38" s="349">
        <v>10931</v>
      </c>
      <c r="AG38" s="350">
        <v>11745</v>
      </c>
      <c r="AH38" s="349">
        <v>10792</v>
      </c>
      <c r="AI38" s="349">
        <v>11207</v>
      </c>
      <c r="AJ38" s="349">
        <v>10380</v>
      </c>
      <c r="AK38" s="350">
        <v>11879</v>
      </c>
      <c r="AL38" s="349">
        <v>7326</v>
      </c>
      <c r="AM38" s="349">
        <v>4587</v>
      </c>
      <c r="AN38" s="349">
        <v>4949</v>
      </c>
      <c r="AO38" s="350">
        <v>6330</v>
      </c>
      <c r="AP38" s="349">
        <v>6401</v>
      </c>
      <c r="AQ38" s="349">
        <v>13879</v>
      </c>
      <c r="AR38" s="349">
        <v>6598</v>
      </c>
      <c r="AS38" s="350">
        <v>7129</v>
      </c>
      <c r="AT38" s="349">
        <v>7179</v>
      </c>
      <c r="AU38" s="349">
        <v>9107</v>
      </c>
      <c r="AV38" s="349">
        <v>7659</v>
      </c>
      <c r="AW38" s="350">
        <v>10050</v>
      </c>
      <c r="AX38" s="349">
        <v>9574</v>
      </c>
      <c r="AY38" s="349">
        <v>9214</v>
      </c>
    </row>
    <row r="39" spans="1:51" ht="13">
      <c r="A39" s="1123" t="s">
        <v>462</v>
      </c>
      <c r="B39" s="351">
        <v>-27</v>
      </c>
      <c r="C39" s="351">
        <v>39</v>
      </c>
      <c r="D39" s="349">
        <v>-39</v>
      </c>
      <c r="E39" s="349">
        <v>17</v>
      </c>
      <c r="F39" s="349">
        <v>106</v>
      </c>
      <c r="G39" s="349">
        <v>-223</v>
      </c>
      <c r="H39" s="349">
        <v>41</v>
      </c>
      <c r="I39" s="349">
        <v>193</v>
      </c>
      <c r="J39" s="349">
        <v>-189.88724999999999</v>
      </c>
      <c r="K39" s="349">
        <v>109</v>
      </c>
      <c r="L39" s="349">
        <v>-423</v>
      </c>
      <c r="M39" s="341"/>
      <c r="N39" s="351">
        <v>1</v>
      </c>
      <c r="O39" s="352">
        <v>-21</v>
      </c>
      <c r="P39" s="352">
        <v>-27</v>
      </c>
      <c r="Q39" s="350">
        <v>8</v>
      </c>
      <c r="R39" s="349">
        <v>34</v>
      </c>
      <c r="S39" s="349">
        <v>35</v>
      </c>
      <c r="T39" s="349">
        <v>-46</v>
      </c>
      <c r="U39" s="350">
        <v>-6</v>
      </c>
      <c r="V39" s="349">
        <v>97</v>
      </c>
      <c r="W39" s="349">
        <v>13</v>
      </c>
      <c r="X39" s="349">
        <v>55</v>
      </c>
      <c r="Y39" s="350">
        <v>-59</v>
      </c>
      <c r="Z39" s="349">
        <v>8</v>
      </c>
      <c r="AA39" s="349">
        <v>-113</v>
      </c>
      <c r="AB39" s="349">
        <v>-55</v>
      </c>
      <c r="AC39" s="350">
        <v>-63</v>
      </c>
      <c r="AD39" s="349">
        <v>61</v>
      </c>
      <c r="AE39" s="349">
        <v>-11</v>
      </c>
      <c r="AF39" s="349">
        <v>-25</v>
      </c>
      <c r="AG39" s="350">
        <v>16</v>
      </c>
      <c r="AH39" s="349">
        <v>68</v>
      </c>
      <c r="AI39" s="349">
        <v>297</v>
      </c>
      <c r="AJ39" s="349">
        <v>-1</v>
      </c>
      <c r="AK39" s="350">
        <v>-171</v>
      </c>
      <c r="AL39" s="349">
        <v>-45</v>
      </c>
      <c r="AM39" s="349">
        <v>88</v>
      </c>
      <c r="AN39" s="349">
        <v>-60</v>
      </c>
      <c r="AO39" s="350">
        <v>-173</v>
      </c>
      <c r="AP39" s="349">
        <v>134</v>
      </c>
      <c r="AQ39" s="349">
        <v>-4</v>
      </c>
      <c r="AR39" s="349">
        <v>-124</v>
      </c>
      <c r="AS39" s="350">
        <v>103</v>
      </c>
      <c r="AT39" s="349">
        <v>-288</v>
      </c>
      <c r="AU39" s="349">
        <v>-86</v>
      </c>
      <c r="AV39" s="349">
        <v>-32</v>
      </c>
      <c r="AW39" s="350">
        <v>-17</v>
      </c>
      <c r="AX39" s="349">
        <v>98</v>
      </c>
      <c r="AY39" s="349">
        <v>110</v>
      </c>
    </row>
    <row r="40" spans="1:51" ht="13">
      <c r="A40" s="1123" t="s">
        <v>463</v>
      </c>
      <c r="B40" s="351">
        <v>-2859</v>
      </c>
      <c r="C40" s="351">
        <v>-3655</v>
      </c>
      <c r="D40" s="349">
        <v>-3292</v>
      </c>
      <c r="E40" s="352" t="s">
        <v>192</v>
      </c>
      <c r="F40" s="352" t="s">
        <v>192</v>
      </c>
      <c r="G40" s="352">
        <v>0</v>
      </c>
      <c r="H40" s="352">
        <v>0</v>
      </c>
      <c r="I40" s="352" t="s">
        <v>192</v>
      </c>
      <c r="J40" s="352" t="s">
        <v>192</v>
      </c>
      <c r="K40" s="352" t="s">
        <v>192</v>
      </c>
      <c r="L40" s="352" t="s">
        <v>192</v>
      </c>
      <c r="M40" s="341"/>
      <c r="N40" s="351">
        <v>574</v>
      </c>
      <c r="O40" s="352">
        <v>-1581</v>
      </c>
      <c r="P40" s="352">
        <v>-645</v>
      </c>
      <c r="Q40" s="350">
        <v>-1640</v>
      </c>
      <c r="R40" s="352" t="s">
        <v>192</v>
      </c>
      <c r="S40" s="352" t="s">
        <v>192</v>
      </c>
      <c r="T40" s="352" t="s">
        <v>192</v>
      </c>
      <c r="U40" s="1124" t="s">
        <v>192</v>
      </c>
      <c r="V40" s="352" t="s">
        <v>192</v>
      </c>
      <c r="W40" s="352" t="s">
        <v>192</v>
      </c>
      <c r="X40" s="352" t="s">
        <v>192</v>
      </c>
      <c r="Y40" s="1124" t="s">
        <v>192</v>
      </c>
      <c r="Z40" s="352" t="s">
        <v>192</v>
      </c>
      <c r="AA40" s="352" t="s">
        <v>192</v>
      </c>
      <c r="AB40" s="352" t="s">
        <v>192</v>
      </c>
      <c r="AC40" s="1134" t="s">
        <v>192</v>
      </c>
      <c r="AD40" s="352" t="s">
        <v>192</v>
      </c>
      <c r="AE40" s="352" t="s">
        <v>192</v>
      </c>
      <c r="AF40" s="352" t="s">
        <v>192</v>
      </c>
      <c r="AG40" s="1134" t="s">
        <v>192</v>
      </c>
      <c r="AH40" s="352" t="s">
        <v>192</v>
      </c>
      <c r="AI40" s="352" t="s">
        <v>192</v>
      </c>
      <c r="AJ40" s="352" t="s">
        <v>192</v>
      </c>
      <c r="AK40" s="1134" t="s">
        <v>192</v>
      </c>
      <c r="AL40" s="352" t="s">
        <v>192</v>
      </c>
      <c r="AM40" s="352" t="s">
        <v>192</v>
      </c>
      <c r="AN40" s="352" t="s">
        <v>192</v>
      </c>
      <c r="AO40" s="1134" t="s">
        <v>192</v>
      </c>
      <c r="AP40" s="352" t="s">
        <v>192</v>
      </c>
      <c r="AQ40" s="352" t="s">
        <v>192</v>
      </c>
      <c r="AR40" s="352" t="s">
        <v>192</v>
      </c>
      <c r="AS40" s="1124" t="s">
        <v>192</v>
      </c>
      <c r="AT40" s="352" t="s">
        <v>192</v>
      </c>
      <c r="AU40" s="352" t="s">
        <v>192</v>
      </c>
      <c r="AV40" s="352" t="s">
        <v>192</v>
      </c>
      <c r="AW40" s="1124" t="s">
        <v>192</v>
      </c>
      <c r="AX40" s="352" t="s">
        <v>192</v>
      </c>
      <c r="AY40" s="352" t="s">
        <v>192</v>
      </c>
    </row>
    <row r="41" spans="1:51" ht="13">
      <c r="A41" s="1125" t="s">
        <v>464</v>
      </c>
      <c r="B41" s="1126">
        <v>461</v>
      </c>
      <c r="C41" s="1126">
        <v>481</v>
      </c>
      <c r="D41" s="1127">
        <v>1808</v>
      </c>
      <c r="E41" s="1127">
        <v>5872</v>
      </c>
      <c r="F41" s="1127">
        <v>8540</v>
      </c>
      <c r="G41" s="1127">
        <v>15053</v>
      </c>
      <c r="H41" s="1127">
        <v>10792</v>
      </c>
      <c r="I41" s="1127">
        <v>7326</v>
      </c>
      <c r="J41" s="1127">
        <v>6400.7292419365003</v>
      </c>
      <c r="K41" s="1127">
        <v>7179</v>
      </c>
      <c r="L41" s="1127">
        <v>9574</v>
      </c>
      <c r="M41" s="341"/>
      <c r="N41" s="1126">
        <v>615</v>
      </c>
      <c r="O41" s="1127">
        <v>610</v>
      </c>
      <c r="P41" s="1127">
        <v>728</v>
      </c>
      <c r="Q41" s="1128">
        <v>1808</v>
      </c>
      <c r="R41" s="1127">
        <v>2255</v>
      </c>
      <c r="S41" s="1127">
        <v>4205</v>
      </c>
      <c r="T41" s="1127">
        <v>3949</v>
      </c>
      <c r="U41" s="1128">
        <v>5872</v>
      </c>
      <c r="V41" s="1127">
        <v>5371</v>
      </c>
      <c r="W41" s="1127">
        <v>4883</v>
      </c>
      <c r="X41" s="1127">
        <v>6814</v>
      </c>
      <c r="Y41" s="1128">
        <v>8540</v>
      </c>
      <c r="Z41" s="1127">
        <v>10225</v>
      </c>
      <c r="AA41" s="1127">
        <v>13005</v>
      </c>
      <c r="AB41" s="1127">
        <v>14250</v>
      </c>
      <c r="AC41" s="1128">
        <v>15053</v>
      </c>
      <c r="AD41" s="1127">
        <v>16191</v>
      </c>
      <c r="AE41" s="1127">
        <v>10931</v>
      </c>
      <c r="AF41" s="1127">
        <v>11745</v>
      </c>
      <c r="AG41" s="1128">
        <v>10792</v>
      </c>
      <c r="AH41" s="1127">
        <v>11207</v>
      </c>
      <c r="AI41" s="1127">
        <v>10380</v>
      </c>
      <c r="AJ41" s="1127">
        <v>11879</v>
      </c>
      <c r="AK41" s="1128">
        <v>7326</v>
      </c>
      <c r="AL41" s="1127">
        <v>4587</v>
      </c>
      <c r="AM41" s="1127">
        <v>4949</v>
      </c>
      <c r="AN41" s="1127">
        <v>6330</v>
      </c>
      <c r="AO41" s="1128">
        <v>6401</v>
      </c>
      <c r="AP41" s="1127">
        <v>13879</v>
      </c>
      <c r="AQ41" s="1127">
        <v>6598</v>
      </c>
      <c r="AR41" s="1127">
        <v>7129</v>
      </c>
      <c r="AS41" s="1128">
        <v>7179</v>
      </c>
      <c r="AT41" s="1127">
        <v>9107</v>
      </c>
      <c r="AU41" s="1127">
        <v>7659</v>
      </c>
      <c r="AV41" s="1127">
        <v>10050</v>
      </c>
      <c r="AW41" s="1128">
        <v>9574</v>
      </c>
      <c r="AX41" s="1127">
        <v>9214</v>
      </c>
      <c r="AY41" s="1127">
        <v>6928</v>
      </c>
    </row>
    <row r="42" spans="1:51" ht="13">
      <c r="A42" s="347"/>
      <c r="B42" s="348"/>
      <c r="C42" s="348"/>
      <c r="D42" s="349"/>
      <c r="E42" s="349"/>
      <c r="F42" s="349"/>
      <c r="G42" s="349"/>
      <c r="H42" s="349"/>
      <c r="I42" s="349"/>
      <c r="J42" s="349"/>
      <c r="K42" s="349"/>
      <c r="L42" s="349"/>
      <c r="M42" s="341"/>
      <c r="N42" s="348"/>
      <c r="O42" s="337"/>
      <c r="P42" s="337"/>
      <c r="Q42" s="370"/>
      <c r="R42" s="349"/>
      <c r="S42" s="349"/>
      <c r="T42" s="349"/>
      <c r="U42" s="350"/>
      <c r="V42" s="349"/>
      <c r="W42" s="349"/>
      <c r="X42" s="349"/>
      <c r="Y42" s="350"/>
      <c r="Z42" s="349"/>
      <c r="AA42" s="349"/>
      <c r="AB42" s="349"/>
      <c r="AC42" s="350"/>
      <c r="AD42" s="349"/>
      <c r="AE42" s="349"/>
      <c r="AF42" s="349"/>
      <c r="AG42" s="350"/>
      <c r="AH42" s="349"/>
      <c r="AI42" s="349"/>
      <c r="AJ42" s="349"/>
      <c r="AK42" s="350"/>
      <c r="AL42" s="349"/>
      <c r="AM42" s="349"/>
      <c r="AN42" s="349"/>
      <c r="AO42" s="350"/>
      <c r="AP42" s="349"/>
      <c r="AQ42" s="349"/>
      <c r="AR42" s="349"/>
      <c r="AS42" s="350"/>
      <c r="AT42" s="349"/>
      <c r="AU42" s="349"/>
      <c r="AV42" s="349"/>
      <c r="AW42" s="350"/>
      <c r="AX42" s="349"/>
      <c r="AY42" s="349"/>
    </row>
    <row r="43" spans="1:51" ht="13">
      <c r="A43" s="342"/>
      <c r="B43" s="371"/>
      <c r="C43" s="371"/>
      <c r="D43" s="349"/>
      <c r="E43" s="349"/>
      <c r="F43" s="349"/>
      <c r="G43" s="349"/>
      <c r="H43" s="349"/>
      <c r="I43" s="349"/>
      <c r="J43" s="349"/>
      <c r="K43" s="349"/>
      <c r="L43" s="349"/>
      <c r="M43" s="341"/>
      <c r="N43" s="371"/>
      <c r="O43" s="371"/>
      <c r="P43" s="371"/>
      <c r="Q43" s="372"/>
      <c r="R43" s="349"/>
      <c r="S43" s="349"/>
      <c r="T43" s="349"/>
      <c r="U43" s="350"/>
      <c r="V43" s="349"/>
      <c r="W43" s="349"/>
      <c r="X43" s="349"/>
      <c r="Y43" s="350"/>
      <c r="Z43" s="349"/>
      <c r="AA43" s="349"/>
      <c r="AB43" s="349"/>
      <c r="AC43" s="350"/>
      <c r="AD43" s="349"/>
      <c r="AE43" s="349"/>
      <c r="AF43" s="349"/>
      <c r="AG43" s="350"/>
      <c r="AH43" s="349"/>
      <c r="AI43" s="349"/>
      <c r="AJ43" s="349"/>
      <c r="AK43" s="350"/>
      <c r="AL43" s="349"/>
      <c r="AM43" s="349"/>
      <c r="AN43" s="349"/>
      <c r="AO43" s="350"/>
      <c r="AP43" s="349"/>
      <c r="AQ43" s="349"/>
      <c r="AR43" s="349"/>
      <c r="AS43" s="350"/>
      <c r="AT43" s="349"/>
      <c r="AU43" s="349"/>
      <c r="AV43" s="349"/>
      <c r="AW43" s="350"/>
      <c r="AX43" s="349"/>
      <c r="AY43" s="349"/>
    </row>
    <row r="44" spans="1:51" ht="13">
      <c r="A44" s="347" t="s">
        <v>465</v>
      </c>
      <c r="B44" s="349">
        <v>5858</v>
      </c>
      <c r="C44" s="349">
        <v>5402</v>
      </c>
      <c r="D44" s="349">
        <v>5176</v>
      </c>
      <c r="E44" s="349">
        <v>4324</v>
      </c>
      <c r="F44" s="349">
        <v>7228</v>
      </c>
      <c r="G44" s="349">
        <v>8334</v>
      </c>
      <c r="H44" s="349">
        <v>7607</v>
      </c>
      <c r="I44" s="349">
        <v>5558</v>
      </c>
      <c r="J44" s="349">
        <v>7143</v>
      </c>
      <c r="K44" s="349">
        <v>10460</v>
      </c>
      <c r="L44" s="349">
        <v>10675</v>
      </c>
      <c r="M44" s="341"/>
      <c r="N44" s="349">
        <v>1255</v>
      </c>
      <c r="O44" s="349">
        <v>1486</v>
      </c>
      <c r="P44" s="349">
        <v>1419</v>
      </c>
      <c r="Q44" s="350">
        <v>1016</v>
      </c>
      <c r="R44" s="349">
        <v>979</v>
      </c>
      <c r="S44" s="349">
        <v>-62</v>
      </c>
      <c r="T44" s="349">
        <v>920</v>
      </c>
      <c r="U44" s="350">
        <v>2487</v>
      </c>
      <c r="V44" s="349">
        <v>589</v>
      </c>
      <c r="W44" s="349">
        <v>1610</v>
      </c>
      <c r="X44" s="349">
        <v>1852</v>
      </c>
      <c r="Y44" s="350">
        <v>3177</v>
      </c>
      <c r="Z44" s="349">
        <v>1781</v>
      </c>
      <c r="AA44" s="349">
        <v>2383</v>
      </c>
      <c r="AB44" s="349">
        <v>1819</v>
      </c>
      <c r="AC44" s="350">
        <v>2351</v>
      </c>
      <c r="AD44" s="349">
        <v>1823</v>
      </c>
      <c r="AE44" s="349">
        <v>1422</v>
      </c>
      <c r="AF44" s="349">
        <v>1818</v>
      </c>
      <c r="AG44" s="350">
        <v>2544</v>
      </c>
      <c r="AH44" s="349">
        <v>751</v>
      </c>
      <c r="AI44" s="349">
        <v>1400</v>
      </c>
      <c r="AJ44" s="349">
        <v>1664</v>
      </c>
      <c r="AK44" s="350">
        <v>1743</v>
      </c>
      <c r="AL44" s="349">
        <v>739</v>
      </c>
      <c r="AM44" s="349">
        <v>1694</v>
      </c>
      <c r="AN44" s="349">
        <v>1917</v>
      </c>
      <c r="AO44" s="350">
        <v>2793</v>
      </c>
      <c r="AP44" s="349">
        <v>2404</v>
      </c>
      <c r="AQ44" s="349">
        <v>1611</v>
      </c>
      <c r="AR44" s="349">
        <v>2501</v>
      </c>
      <c r="AS44" s="350">
        <v>3944</v>
      </c>
      <c r="AT44" s="349">
        <v>2588</v>
      </c>
      <c r="AU44" s="349">
        <v>2122</v>
      </c>
      <c r="AV44" s="349">
        <v>2884</v>
      </c>
      <c r="AW44" s="350">
        <v>3081</v>
      </c>
      <c r="AX44" s="349">
        <v>1656</v>
      </c>
      <c r="AY44" s="349">
        <v>1972</v>
      </c>
    </row>
    <row r="45" spans="1:51" ht="13">
      <c r="A45" s="347" t="s">
        <v>450</v>
      </c>
      <c r="B45" s="349">
        <v>-3175</v>
      </c>
      <c r="C45" s="349">
        <v>-1805</v>
      </c>
      <c r="D45" s="349">
        <v>5543</v>
      </c>
      <c r="E45" s="349">
        <v>-1337</v>
      </c>
      <c r="F45" s="349">
        <v>-1655</v>
      </c>
      <c r="G45" s="349">
        <v>-608</v>
      </c>
      <c r="H45" s="349">
        <v>-3473</v>
      </c>
      <c r="I45" s="349">
        <v>-5991</v>
      </c>
      <c r="J45" s="349">
        <v>-5237</v>
      </c>
      <c r="K45" s="349">
        <v>-11690</v>
      </c>
      <c r="L45" s="349">
        <v>-2239</v>
      </c>
      <c r="M45" s="341"/>
      <c r="N45" s="349">
        <v>1152</v>
      </c>
      <c r="O45" s="349">
        <v>-1272</v>
      </c>
      <c r="P45" s="349">
        <v>2801</v>
      </c>
      <c r="Q45" s="350">
        <v>2862</v>
      </c>
      <c r="R45" s="349">
        <v>-841</v>
      </c>
      <c r="S45" s="349">
        <v>-317</v>
      </c>
      <c r="T45" s="349">
        <v>62</v>
      </c>
      <c r="U45" s="350">
        <v>-241</v>
      </c>
      <c r="V45" s="349">
        <v>-828</v>
      </c>
      <c r="W45" s="349">
        <v>-763</v>
      </c>
      <c r="X45" s="349">
        <v>-71</v>
      </c>
      <c r="Y45" s="350">
        <v>7</v>
      </c>
      <c r="Z45" s="349">
        <v>-200</v>
      </c>
      <c r="AA45" s="349">
        <v>-119</v>
      </c>
      <c r="AB45" s="349">
        <v>-183</v>
      </c>
      <c r="AC45" s="350">
        <v>-106</v>
      </c>
      <c r="AD45" s="349">
        <v>-333</v>
      </c>
      <c r="AE45" s="349">
        <v>-1486</v>
      </c>
      <c r="AF45" s="349">
        <v>-802</v>
      </c>
      <c r="AG45" s="350">
        <v>-852</v>
      </c>
      <c r="AH45" s="349">
        <v>-354</v>
      </c>
      <c r="AI45" s="349">
        <v>-623</v>
      </c>
      <c r="AJ45" s="349">
        <v>-587</v>
      </c>
      <c r="AK45" s="350">
        <v>-4427</v>
      </c>
      <c r="AL45" s="349">
        <v>-3739</v>
      </c>
      <c r="AM45" s="349">
        <v>-774</v>
      </c>
      <c r="AN45" s="349">
        <v>-371</v>
      </c>
      <c r="AO45" s="350">
        <v>-353</v>
      </c>
      <c r="AP45" s="349">
        <v>-511</v>
      </c>
      <c r="AQ45" s="349">
        <v>-8703</v>
      </c>
      <c r="AR45" s="349">
        <v>-1730</v>
      </c>
      <c r="AS45" s="350">
        <v>-746</v>
      </c>
      <c r="AT45" s="349">
        <v>-281</v>
      </c>
      <c r="AU45" s="349">
        <v>-692</v>
      </c>
      <c r="AV45" s="349">
        <v>-527</v>
      </c>
      <c r="AW45" s="350">
        <v>-739</v>
      </c>
      <c r="AX45" s="349">
        <v>-707</v>
      </c>
      <c r="AY45" s="349">
        <v>-516</v>
      </c>
    </row>
    <row r="46" spans="1:51" ht="13">
      <c r="A46" s="347" t="s">
        <v>466</v>
      </c>
      <c r="B46" s="362" t="s">
        <v>192</v>
      </c>
      <c r="C46" s="362" t="s">
        <v>192</v>
      </c>
      <c r="D46" s="349">
        <v>137</v>
      </c>
      <c r="E46" s="349">
        <v>546</v>
      </c>
      <c r="F46" s="349">
        <v>984</v>
      </c>
      <c r="G46" s="349">
        <v>75</v>
      </c>
      <c r="H46" s="349">
        <v>2352</v>
      </c>
      <c r="I46" s="349">
        <v>4686</v>
      </c>
      <c r="J46" s="349">
        <v>3666</v>
      </c>
      <c r="K46" s="349">
        <v>9658</v>
      </c>
      <c r="L46" s="349">
        <v>87</v>
      </c>
      <c r="M46" s="341"/>
      <c r="N46" s="349">
        <v>66</v>
      </c>
      <c r="O46" s="349">
        <v>6</v>
      </c>
      <c r="P46" s="349">
        <v>65</v>
      </c>
      <c r="Q46" s="363" t="s">
        <v>192</v>
      </c>
      <c r="R46" s="349">
        <v>482</v>
      </c>
      <c r="S46" s="362" t="s">
        <v>192</v>
      </c>
      <c r="T46" s="362" t="s">
        <v>192</v>
      </c>
      <c r="U46" s="350">
        <v>64</v>
      </c>
      <c r="V46" s="349">
        <v>449</v>
      </c>
      <c r="W46" s="349">
        <v>578</v>
      </c>
      <c r="X46" s="349">
        <v>-33</v>
      </c>
      <c r="Y46" s="350">
        <v>-10</v>
      </c>
      <c r="Z46" s="349">
        <v>15</v>
      </c>
      <c r="AA46" s="349">
        <v>28</v>
      </c>
      <c r="AB46" s="349">
        <v>31</v>
      </c>
      <c r="AC46" s="350">
        <v>1</v>
      </c>
      <c r="AD46" s="362" t="s">
        <v>192</v>
      </c>
      <c r="AE46" s="349">
        <v>1282</v>
      </c>
      <c r="AF46" s="349">
        <v>492</v>
      </c>
      <c r="AG46" s="350">
        <v>578</v>
      </c>
      <c r="AH46" s="349">
        <v>18</v>
      </c>
      <c r="AI46" s="349">
        <v>257</v>
      </c>
      <c r="AJ46" s="349">
        <v>210</v>
      </c>
      <c r="AK46" s="350">
        <v>4201</v>
      </c>
      <c r="AL46" s="349">
        <v>3279</v>
      </c>
      <c r="AM46" s="349">
        <v>38</v>
      </c>
      <c r="AN46" s="349">
        <v>7</v>
      </c>
      <c r="AO46" s="350">
        <v>342</v>
      </c>
      <c r="AP46" s="349">
        <v>0</v>
      </c>
      <c r="AQ46" s="349">
        <v>8294</v>
      </c>
      <c r="AR46" s="349">
        <v>1080</v>
      </c>
      <c r="AS46" s="350">
        <v>284</v>
      </c>
      <c r="AT46" s="349">
        <v>74</v>
      </c>
      <c r="AU46" s="349">
        <v>13</v>
      </c>
      <c r="AV46" s="362" t="s">
        <v>192</v>
      </c>
      <c r="AW46" s="350" t="s">
        <v>192</v>
      </c>
      <c r="AX46" s="349">
        <v>145</v>
      </c>
      <c r="AY46" s="349">
        <v>8</v>
      </c>
    </row>
    <row r="47" spans="1:51" ht="13">
      <c r="A47" s="347" t="s">
        <v>467</v>
      </c>
      <c r="B47" s="349">
        <v>2947</v>
      </c>
      <c r="C47" s="349">
        <v>1283</v>
      </c>
      <c r="D47" s="349">
        <v>-6246</v>
      </c>
      <c r="E47" s="349">
        <v>351</v>
      </c>
      <c r="F47" s="349">
        <v>131</v>
      </c>
      <c r="G47" s="349">
        <v>-795</v>
      </c>
      <c r="H47" s="349">
        <v>381</v>
      </c>
      <c r="I47" s="349">
        <v>1409</v>
      </c>
      <c r="J47" s="349">
        <v>639</v>
      </c>
      <c r="K47" s="349">
        <v>704</v>
      </c>
      <c r="L47" s="349">
        <v>-797</v>
      </c>
      <c r="M47" s="341"/>
      <c r="N47" s="349">
        <v>-1362</v>
      </c>
      <c r="O47" s="349">
        <v>1093</v>
      </c>
      <c r="P47" s="349">
        <v>-3043</v>
      </c>
      <c r="Q47" s="350">
        <v>-2934</v>
      </c>
      <c r="R47" s="349">
        <v>46</v>
      </c>
      <c r="S47" s="349">
        <v>578</v>
      </c>
      <c r="T47" s="349">
        <v>-205</v>
      </c>
      <c r="U47" s="350">
        <v>-68</v>
      </c>
      <c r="V47" s="349">
        <v>262</v>
      </c>
      <c r="W47" s="349">
        <v>81</v>
      </c>
      <c r="X47" s="349">
        <v>135</v>
      </c>
      <c r="Y47" s="350">
        <v>-347</v>
      </c>
      <c r="Z47" s="349">
        <v>-64</v>
      </c>
      <c r="AA47" s="349">
        <v>-329</v>
      </c>
      <c r="AB47" s="349">
        <v>-312</v>
      </c>
      <c r="AC47" s="350">
        <v>-90</v>
      </c>
      <c r="AD47" s="349">
        <v>120</v>
      </c>
      <c r="AE47" s="349">
        <v>11</v>
      </c>
      <c r="AF47" s="349">
        <v>105</v>
      </c>
      <c r="AG47" s="350">
        <v>145</v>
      </c>
      <c r="AH47" s="349">
        <v>452</v>
      </c>
      <c r="AI47" s="349">
        <v>428</v>
      </c>
      <c r="AJ47" s="349">
        <v>527</v>
      </c>
      <c r="AK47" s="350">
        <v>2</v>
      </c>
      <c r="AL47" s="349">
        <v>59</v>
      </c>
      <c r="AM47" s="349">
        <v>591</v>
      </c>
      <c r="AN47" s="349">
        <v>336</v>
      </c>
      <c r="AO47" s="350">
        <v>-347</v>
      </c>
      <c r="AP47" s="349">
        <v>-115</v>
      </c>
      <c r="AQ47" s="349">
        <v>407</v>
      </c>
      <c r="AR47" s="349">
        <v>-62</v>
      </c>
      <c r="AS47" s="350">
        <v>474</v>
      </c>
      <c r="AT47" s="349">
        <v>-812</v>
      </c>
      <c r="AU47" s="349">
        <v>-339</v>
      </c>
      <c r="AV47" s="349">
        <v>119</v>
      </c>
      <c r="AW47" s="350">
        <v>235</v>
      </c>
      <c r="AX47" s="349">
        <v>206</v>
      </c>
      <c r="AY47" s="349">
        <v>438</v>
      </c>
    </row>
    <row r="48" spans="1:51" ht="13">
      <c r="A48" s="353" t="s">
        <v>91</v>
      </c>
      <c r="B48" s="373">
        <v>5630</v>
      </c>
      <c r="C48" s="373">
        <v>4880</v>
      </c>
      <c r="D48" s="373">
        <v>4610</v>
      </c>
      <c r="E48" s="373">
        <v>3884</v>
      </c>
      <c r="F48" s="373">
        <v>6688</v>
      </c>
      <c r="G48" s="373">
        <v>7006</v>
      </c>
      <c r="H48" s="373">
        <v>6867</v>
      </c>
      <c r="I48" s="373">
        <v>5662</v>
      </c>
      <c r="J48" s="373">
        <v>6211</v>
      </c>
      <c r="K48" s="373">
        <v>9132</v>
      </c>
      <c r="L48" s="373">
        <v>7726</v>
      </c>
      <c r="M48" s="341"/>
      <c r="N48" s="373">
        <v>1111</v>
      </c>
      <c r="O48" s="373">
        <v>1313</v>
      </c>
      <c r="P48" s="373">
        <v>1242</v>
      </c>
      <c r="Q48" s="374">
        <v>944</v>
      </c>
      <c r="R48" s="373">
        <v>666</v>
      </c>
      <c r="S48" s="373">
        <v>199</v>
      </c>
      <c r="T48" s="373">
        <v>777</v>
      </c>
      <c r="U48" s="374">
        <v>2242</v>
      </c>
      <c r="V48" s="373">
        <v>472</v>
      </c>
      <c r="W48" s="373">
        <v>1506</v>
      </c>
      <c r="X48" s="373">
        <v>1883</v>
      </c>
      <c r="Y48" s="374">
        <v>2827</v>
      </c>
      <c r="Z48" s="373">
        <v>1532</v>
      </c>
      <c r="AA48" s="373">
        <v>1963</v>
      </c>
      <c r="AB48" s="373">
        <v>1355</v>
      </c>
      <c r="AC48" s="374">
        <v>2156</v>
      </c>
      <c r="AD48" s="373">
        <v>1610</v>
      </c>
      <c r="AE48" s="373">
        <v>1229</v>
      </c>
      <c r="AF48" s="373">
        <v>1613</v>
      </c>
      <c r="AG48" s="374">
        <v>2415</v>
      </c>
      <c r="AH48" s="373">
        <v>867</v>
      </c>
      <c r="AI48" s="373">
        <v>1462</v>
      </c>
      <c r="AJ48" s="373">
        <v>1814</v>
      </c>
      <c r="AK48" s="374">
        <v>1519</v>
      </c>
      <c r="AL48" s="373">
        <v>338</v>
      </c>
      <c r="AM48" s="373">
        <v>1549</v>
      </c>
      <c r="AN48" s="373">
        <v>1889</v>
      </c>
      <c r="AO48" s="374">
        <v>2435</v>
      </c>
      <c r="AP48" s="373">
        <v>1778</v>
      </c>
      <c r="AQ48" s="373">
        <v>1609</v>
      </c>
      <c r="AR48" s="373">
        <v>1789</v>
      </c>
      <c r="AS48" s="374">
        <v>3956</v>
      </c>
      <c r="AT48" s="373">
        <v>1569</v>
      </c>
      <c r="AU48" s="373">
        <v>1104</v>
      </c>
      <c r="AV48" s="373">
        <v>2476</v>
      </c>
      <c r="AW48" s="374">
        <v>2577</v>
      </c>
      <c r="AX48" s="373">
        <v>1300</v>
      </c>
      <c r="AY48" s="373">
        <v>1902</v>
      </c>
    </row>
    <row r="49" spans="1:51" ht="13">
      <c r="A49" s="347"/>
      <c r="B49" s="348"/>
      <c r="C49" s="348"/>
      <c r="D49" s="341"/>
      <c r="E49" s="341"/>
      <c r="F49" s="341"/>
      <c r="G49" s="341"/>
      <c r="H49" s="341"/>
      <c r="I49" s="341"/>
      <c r="J49" s="341"/>
      <c r="K49" s="341"/>
      <c r="L49" s="341"/>
      <c r="M49" s="341"/>
      <c r="N49" s="348"/>
      <c r="O49" s="348"/>
      <c r="P49" s="348"/>
      <c r="Q49" s="375"/>
      <c r="R49" s="341"/>
      <c r="S49" s="341"/>
      <c r="T49" s="341"/>
      <c r="U49" s="346"/>
      <c r="V49" s="341"/>
      <c r="W49" s="341"/>
      <c r="X49" s="341"/>
      <c r="Y49" s="346"/>
      <c r="Z49" s="341"/>
      <c r="AA49" s="341"/>
      <c r="AB49" s="341"/>
      <c r="AC49" s="346"/>
      <c r="AD49" s="341"/>
      <c r="AE49" s="341"/>
      <c r="AF49" s="341"/>
      <c r="AG49" s="346"/>
      <c r="AH49" s="341"/>
      <c r="AI49" s="341"/>
      <c r="AJ49" s="341"/>
      <c r="AK49" s="346"/>
      <c r="AL49" s="341"/>
      <c r="AM49" s="341"/>
      <c r="AN49" s="341"/>
      <c r="AO49" s="346"/>
      <c r="AP49" s="341"/>
      <c r="AQ49" s="341"/>
      <c r="AR49" s="341"/>
      <c r="AS49" s="346"/>
      <c r="AT49" s="341"/>
      <c r="AU49" s="341"/>
      <c r="AV49" s="341"/>
      <c r="AW49" s="346"/>
      <c r="AX49" s="341"/>
      <c r="AY49" s="341"/>
    </row>
    <row r="50" spans="1:51" ht="11.25" customHeight="1">
      <c r="A50" s="376" t="s">
        <v>468</v>
      </c>
      <c r="B50" s="376"/>
      <c r="C50" s="376"/>
      <c r="D50" s="376"/>
      <c r="E50" s="341"/>
      <c r="F50" s="341"/>
      <c r="G50" s="341"/>
      <c r="H50" s="341"/>
      <c r="I50" s="341"/>
      <c r="J50" s="341"/>
      <c r="K50" s="341"/>
      <c r="L50" s="341"/>
      <c r="M50" s="341"/>
      <c r="N50" s="376"/>
      <c r="O50" s="376"/>
      <c r="P50" s="376"/>
      <c r="Q50" s="377"/>
      <c r="R50" s="376"/>
      <c r="S50" s="341"/>
      <c r="T50" s="341"/>
      <c r="U50" s="346"/>
      <c r="V50" s="341"/>
      <c r="W50" s="341"/>
      <c r="X50" s="341"/>
      <c r="Y50" s="346"/>
      <c r="Z50" s="341"/>
      <c r="AA50" s="341"/>
      <c r="AB50" s="341"/>
      <c r="AC50" s="346"/>
      <c r="AD50" s="341"/>
      <c r="AE50" s="341"/>
      <c r="AF50" s="341"/>
      <c r="AG50" s="346"/>
      <c r="AH50" s="341"/>
      <c r="AI50" s="341"/>
      <c r="AJ50" s="341"/>
      <c r="AK50" s="346"/>
      <c r="AL50" s="341"/>
      <c r="AM50" s="341"/>
      <c r="AN50" s="341"/>
      <c r="AO50" s="346"/>
      <c r="AP50" s="341"/>
      <c r="AQ50" s="341"/>
      <c r="AR50" s="341"/>
      <c r="AS50" s="346"/>
      <c r="AT50" s="341"/>
      <c r="AU50" s="341"/>
      <c r="AV50" s="341"/>
      <c r="AW50" s="346"/>
      <c r="AX50" s="341"/>
      <c r="AY50" s="341"/>
    </row>
    <row r="51" spans="1:51" ht="13">
      <c r="A51" s="342"/>
      <c r="B51" s="371"/>
      <c r="C51" s="371"/>
      <c r="D51" s="349"/>
      <c r="E51" s="349"/>
      <c r="F51" s="349"/>
      <c r="G51" s="349"/>
      <c r="H51" s="349"/>
      <c r="I51" s="349"/>
      <c r="J51" s="349"/>
      <c r="K51" s="349"/>
      <c r="L51" s="349"/>
      <c r="M51" s="341"/>
      <c r="N51" s="371"/>
      <c r="O51" s="371"/>
      <c r="P51" s="371"/>
      <c r="Q51" s="372"/>
      <c r="R51" s="349"/>
      <c r="S51" s="349"/>
      <c r="T51" s="349"/>
      <c r="U51" s="350"/>
      <c r="V51" s="349"/>
      <c r="W51" s="349"/>
      <c r="X51" s="349"/>
      <c r="Y51" s="350"/>
      <c r="Z51" s="341"/>
      <c r="AA51" s="341"/>
      <c r="AB51" s="341"/>
      <c r="AC51" s="346"/>
      <c r="AD51" s="341"/>
      <c r="AE51" s="341"/>
      <c r="AF51" s="341"/>
      <c r="AG51" s="346"/>
      <c r="AH51" s="341"/>
      <c r="AI51" s="341"/>
      <c r="AJ51" s="341"/>
      <c r="AK51" s="346"/>
      <c r="AL51" s="349"/>
      <c r="AM51" s="349"/>
      <c r="AN51" s="349"/>
      <c r="AO51" s="350"/>
      <c r="AP51" s="349"/>
      <c r="AQ51" s="349"/>
      <c r="AR51" s="349"/>
      <c r="AS51" s="350"/>
      <c r="AT51" s="349"/>
      <c r="AU51" s="349"/>
      <c r="AV51" s="349"/>
      <c r="AW51" s="350"/>
      <c r="AX51" s="349"/>
      <c r="AY51" s="349"/>
    </row>
    <row r="52" spans="1:51" ht="13">
      <c r="A52" s="342" t="s">
        <v>469</v>
      </c>
      <c r="B52" s="343"/>
      <c r="C52" s="343"/>
      <c r="D52" s="349"/>
      <c r="E52" s="349"/>
      <c r="F52" s="349"/>
      <c r="G52" s="349"/>
      <c r="H52" s="349"/>
      <c r="I52" s="349"/>
      <c r="J52" s="349"/>
      <c r="K52" s="349"/>
      <c r="L52" s="349"/>
      <c r="M52" s="341"/>
      <c r="N52" s="343"/>
      <c r="O52" s="359"/>
      <c r="P52" s="359"/>
      <c r="Q52" s="350"/>
      <c r="R52" s="349"/>
      <c r="S52" s="349"/>
      <c r="T52" s="349"/>
      <c r="U52" s="350"/>
      <c r="V52" s="349"/>
      <c r="W52" s="349"/>
      <c r="X52" s="349"/>
      <c r="Y52" s="350"/>
      <c r="Z52" s="349"/>
      <c r="AA52" s="349"/>
      <c r="AB52" s="349"/>
      <c r="AC52" s="350"/>
      <c r="AD52" s="349"/>
      <c r="AE52" s="349"/>
      <c r="AF52" s="349"/>
      <c r="AG52" s="350"/>
      <c r="AH52" s="349"/>
      <c r="AI52" s="349"/>
      <c r="AJ52" s="349"/>
      <c r="AK52" s="350"/>
      <c r="AL52" s="349"/>
      <c r="AM52" s="349"/>
      <c r="AN52" s="349"/>
      <c r="AO52" s="350"/>
      <c r="AP52" s="349"/>
      <c r="AQ52" s="349"/>
      <c r="AR52" s="349"/>
      <c r="AS52" s="350"/>
      <c r="AT52" s="349"/>
      <c r="AU52" s="349"/>
      <c r="AV52" s="349"/>
      <c r="AW52" s="350"/>
      <c r="AX52" s="349"/>
      <c r="AY52" s="349"/>
    </row>
    <row r="53" spans="1:51" ht="13">
      <c r="A53" s="347" t="s">
        <v>403</v>
      </c>
      <c r="B53" s="337"/>
      <c r="C53" s="337"/>
      <c r="D53" s="337"/>
      <c r="E53" s="337">
        <v>491</v>
      </c>
      <c r="F53" s="337">
        <v>560</v>
      </c>
      <c r="G53" s="337">
        <v>443</v>
      </c>
      <c r="H53" s="337">
        <v>393</v>
      </c>
      <c r="I53" s="337">
        <v>491</v>
      </c>
      <c r="J53" s="337">
        <v>558</v>
      </c>
      <c r="K53" s="337">
        <v>657</v>
      </c>
      <c r="L53" s="337">
        <v>577</v>
      </c>
      <c r="M53" s="341"/>
      <c r="N53" s="337"/>
      <c r="O53" s="337"/>
      <c r="P53" s="337"/>
      <c r="Q53" s="338"/>
      <c r="R53" s="337"/>
      <c r="S53" s="337"/>
      <c r="T53" s="337"/>
      <c r="U53" s="350"/>
      <c r="V53" s="337"/>
      <c r="W53" s="337"/>
      <c r="X53" s="337"/>
      <c r="Y53" s="338"/>
      <c r="Z53" s="337">
        <v>114</v>
      </c>
      <c r="AA53" s="337">
        <v>113</v>
      </c>
      <c r="AB53" s="337">
        <v>111</v>
      </c>
      <c r="AC53" s="338">
        <v>105</v>
      </c>
      <c r="AD53" s="337">
        <v>90</v>
      </c>
      <c r="AE53" s="337">
        <v>96</v>
      </c>
      <c r="AF53" s="337">
        <v>96</v>
      </c>
      <c r="AG53" s="338">
        <v>111</v>
      </c>
      <c r="AH53" s="337">
        <v>110</v>
      </c>
      <c r="AI53" s="337">
        <v>117</v>
      </c>
      <c r="AJ53" s="337">
        <v>130</v>
      </c>
      <c r="AK53" s="338">
        <v>134</v>
      </c>
      <c r="AL53" s="337">
        <v>134</v>
      </c>
      <c r="AM53" s="337">
        <v>138</v>
      </c>
      <c r="AN53" s="337">
        <v>140</v>
      </c>
      <c r="AO53" s="338">
        <v>146</v>
      </c>
      <c r="AP53" s="337">
        <v>153</v>
      </c>
      <c r="AQ53" s="337">
        <v>173</v>
      </c>
      <c r="AR53" s="337">
        <v>173</v>
      </c>
      <c r="AS53" s="338">
        <v>158</v>
      </c>
      <c r="AT53" s="337">
        <v>147</v>
      </c>
      <c r="AU53" s="337">
        <v>148</v>
      </c>
      <c r="AV53" s="337">
        <v>143</v>
      </c>
      <c r="AW53" s="338">
        <v>139</v>
      </c>
      <c r="AX53" s="337">
        <v>134</v>
      </c>
      <c r="AY53" s="337">
        <v>141</v>
      </c>
    </row>
    <row r="54" spans="1:51" ht="13">
      <c r="A54" s="347" t="s">
        <v>470</v>
      </c>
      <c r="B54" s="337"/>
      <c r="C54" s="337"/>
      <c r="D54" s="337"/>
      <c r="E54" s="337">
        <v>470</v>
      </c>
      <c r="F54" s="337">
        <v>948</v>
      </c>
      <c r="G54" s="337">
        <v>920</v>
      </c>
      <c r="H54" s="337">
        <v>920</v>
      </c>
      <c r="I54" s="337">
        <v>1011</v>
      </c>
      <c r="J54" s="337">
        <v>1210</v>
      </c>
      <c r="K54" s="337">
        <v>1404</v>
      </c>
      <c r="L54" s="337">
        <v>1474</v>
      </c>
      <c r="M54" s="341"/>
      <c r="N54" s="337"/>
      <c r="O54" s="337"/>
      <c r="P54" s="337"/>
      <c r="Q54" s="338"/>
      <c r="R54" s="337"/>
      <c r="S54" s="337"/>
      <c r="T54" s="337"/>
      <c r="U54" s="350"/>
      <c r="V54" s="337"/>
      <c r="W54" s="337"/>
      <c r="X54" s="337"/>
      <c r="Y54" s="338"/>
      <c r="Z54" s="337">
        <v>231</v>
      </c>
      <c r="AA54" s="337">
        <v>235</v>
      </c>
      <c r="AB54" s="337">
        <v>215</v>
      </c>
      <c r="AC54" s="338">
        <v>239</v>
      </c>
      <c r="AD54" s="337">
        <v>220</v>
      </c>
      <c r="AE54" s="337">
        <v>226</v>
      </c>
      <c r="AF54" s="337">
        <v>248</v>
      </c>
      <c r="AG54" s="338">
        <v>226</v>
      </c>
      <c r="AH54" s="337">
        <v>232</v>
      </c>
      <c r="AI54" s="337">
        <v>238</v>
      </c>
      <c r="AJ54" s="337">
        <v>256</v>
      </c>
      <c r="AK54" s="338">
        <v>285</v>
      </c>
      <c r="AL54" s="337">
        <v>288</v>
      </c>
      <c r="AM54" s="337">
        <v>314</v>
      </c>
      <c r="AN54" s="337">
        <v>288</v>
      </c>
      <c r="AO54" s="338">
        <v>320</v>
      </c>
      <c r="AP54" s="337">
        <v>304</v>
      </c>
      <c r="AQ54" s="337">
        <v>345</v>
      </c>
      <c r="AR54" s="337">
        <v>374</v>
      </c>
      <c r="AS54" s="338">
        <v>381</v>
      </c>
      <c r="AT54" s="337">
        <v>366</v>
      </c>
      <c r="AU54" s="337">
        <v>369</v>
      </c>
      <c r="AV54" s="337">
        <v>377</v>
      </c>
      <c r="AW54" s="338">
        <v>362</v>
      </c>
      <c r="AX54" s="337">
        <v>364</v>
      </c>
      <c r="AY54" s="337">
        <v>393</v>
      </c>
    </row>
    <row r="55" spans="1:51" ht="13">
      <c r="A55" s="347" t="s">
        <v>401</v>
      </c>
      <c r="B55" s="337"/>
      <c r="C55" s="337"/>
      <c r="D55" s="337"/>
      <c r="E55" s="337">
        <v>408</v>
      </c>
      <c r="F55" s="337">
        <v>470</v>
      </c>
      <c r="G55" s="337">
        <v>383</v>
      </c>
      <c r="H55" s="337">
        <v>433</v>
      </c>
      <c r="I55" s="337">
        <v>628</v>
      </c>
      <c r="J55" s="337">
        <v>895</v>
      </c>
      <c r="K55" s="337">
        <v>1383</v>
      </c>
      <c r="L55" s="337">
        <v>1037</v>
      </c>
      <c r="M55" s="341"/>
      <c r="N55" s="337"/>
      <c r="O55" s="337"/>
      <c r="P55" s="337"/>
      <c r="Q55" s="338"/>
      <c r="R55" s="337"/>
      <c r="S55" s="337"/>
      <c r="T55" s="337"/>
      <c r="U55" s="350"/>
      <c r="V55" s="337"/>
      <c r="W55" s="337"/>
      <c r="X55" s="337"/>
      <c r="Y55" s="338"/>
      <c r="Z55" s="337">
        <v>95</v>
      </c>
      <c r="AA55" s="337">
        <v>93</v>
      </c>
      <c r="AB55" s="337">
        <v>100</v>
      </c>
      <c r="AC55" s="338">
        <v>95</v>
      </c>
      <c r="AD55" s="337">
        <v>72</v>
      </c>
      <c r="AE55" s="337">
        <v>89</v>
      </c>
      <c r="AF55" s="337">
        <v>118</v>
      </c>
      <c r="AG55" s="338">
        <v>154</v>
      </c>
      <c r="AH55" s="337">
        <v>124</v>
      </c>
      <c r="AI55" s="337">
        <v>132</v>
      </c>
      <c r="AJ55" s="337">
        <v>140</v>
      </c>
      <c r="AK55" s="338">
        <v>232</v>
      </c>
      <c r="AL55" s="337">
        <v>213</v>
      </c>
      <c r="AM55" s="337">
        <v>192</v>
      </c>
      <c r="AN55" s="337">
        <v>273</v>
      </c>
      <c r="AO55" s="338">
        <v>217</v>
      </c>
      <c r="AP55" s="337">
        <v>216</v>
      </c>
      <c r="AQ55" s="337">
        <v>270</v>
      </c>
      <c r="AR55" s="337">
        <v>621</v>
      </c>
      <c r="AS55" s="338">
        <v>276</v>
      </c>
      <c r="AT55" s="337">
        <v>266</v>
      </c>
      <c r="AU55" s="337">
        <v>251</v>
      </c>
      <c r="AV55" s="337">
        <v>245</v>
      </c>
      <c r="AW55" s="338">
        <v>275</v>
      </c>
      <c r="AX55" s="337">
        <v>258</v>
      </c>
      <c r="AY55" s="337">
        <v>269</v>
      </c>
    </row>
    <row r="56" spans="1:51" ht="13">
      <c r="A56" s="353" t="s">
        <v>471</v>
      </c>
      <c r="B56" s="373"/>
      <c r="C56" s="373"/>
      <c r="D56" s="373"/>
      <c r="E56" s="373">
        <f t="shared" ref="E56:K56" si="0">SUM(E53:E55)</f>
        <v>1369</v>
      </c>
      <c r="F56" s="373">
        <f t="shared" si="0"/>
        <v>1978</v>
      </c>
      <c r="G56" s="373">
        <f t="shared" si="0"/>
        <v>1746</v>
      </c>
      <c r="H56" s="373">
        <f t="shared" si="0"/>
        <v>1746</v>
      </c>
      <c r="I56" s="373">
        <f t="shared" si="0"/>
        <v>2130</v>
      </c>
      <c r="J56" s="373">
        <f t="shared" si="0"/>
        <v>2663</v>
      </c>
      <c r="K56" s="373">
        <f t="shared" si="0"/>
        <v>3444</v>
      </c>
      <c r="L56" s="373">
        <v>3088</v>
      </c>
      <c r="M56" s="341"/>
      <c r="N56" s="373"/>
      <c r="O56" s="373"/>
      <c r="P56" s="373"/>
      <c r="Q56" s="355"/>
      <c r="R56" s="354"/>
      <c r="S56" s="373"/>
      <c r="T56" s="373"/>
      <c r="U56" s="373"/>
      <c r="V56" s="373"/>
      <c r="W56" s="373"/>
      <c r="X56" s="373"/>
      <c r="Y56" s="355"/>
      <c r="Z56" s="354">
        <f t="shared" ref="Z56:AO56" si="1">SUM(Z53:Z55)</f>
        <v>440</v>
      </c>
      <c r="AA56" s="373">
        <f t="shared" si="1"/>
        <v>441</v>
      </c>
      <c r="AB56" s="373">
        <f t="shared" si="1"/>
        <v>426</v>
      </c>
      <c r="AC56" s="355">
        <f t="shared" si="1"/>
        <v>439</v>
      </c>
      <c r="AD56" s="354">
        <f t="shared" si="1"/>
        <v>382</v>
      </c>
      <c r="AE56" s="373">
        <f t="shared" si="1"/>
        <v>411</v>
      </c>
      <c r="AF56" s="373">
        <f t="shared" si="1"/>
        <v>462</v>
      </c>
      <c r="AG56" s="355">
        <f t="shared" si="1"/>
        <v>491</v>
      </c>
      <c r="AH56" s="354">
        <f t="shared" si="1"/>
        <v>466</v>
      </c>
      <c r="AI56" s="373">
        <f t="shared" si="1"/>
        <v>487</v>
      </c>
      <c r="AJ56" s="373">
        <f t="shared" si="1"/>
        <v>526</v>
      </c>
      <c r="AK56" s="355">
        <f t="shared" si="1"/>
        <v>651</v>
      </c>
      <c r="AL56" s="354">
        <f t="shared" si="1"/>
        <v>635</v>
      </c>
      <c r="AM56" s="373">
        <f t="shared" si="1"/>
        <v>644</v>
      </c>
      <c r="AN56" s="373">
        <f t="shared" si="1"/>
        <v>701</v>
      </c>
      <c r="AO56" s="374">
        <f t="shared" si="1"/>
        <v>683</v>
      </c>
      <c r="AP56" s="373">
        <v>673</v>
      </c>
      <c r="AQ56" s="373">
        <f>SUM(AQ53:AQ55)</f>
        <v>788</v>
      </c>
      <c r="AR56" s="373">
        <v>1168</v>
      </c>
      <c r="AS56" s="374">
        <v>815</v>
      </c>
      <c r="AT56" s="373">
        <v>779</v>
      </c>
      <c r="AU56" s="373">
        <v>768</v>
      </c>
      <c r="AV56" s="373">
        <v>765</v>
      </c>
      <c r="AW56" s="374">
        <v>776</v>
      </c>
      <c r="AX56" s="373">
        <v>756</v>
      </c>
      <c r="AY56" s="373">
        <v>803</v>
      </c>
    </row>
  </sheetData>
  <hyperlinks>
    <hyperlink ref="A2" location="'START PAGE'!A1" display="Back to start page" xr:uid="{3825FA23-E4F1-4C1E-AA96-EEB061C2D39E}"/>
  </hyperlinks>
  <pageMargins left="0.7" right="0.7" top="0.75" bottom="0.75" header="0.3" footer="0.3"/>
  <pageSetup paperSize="9" scale="46"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FD224-4277-4A0B-A32B-E01CDFB4EA2B}">
  <sheetPr>
    <tabColor rgb="FFFFCD00"/>
    <pageSetUpPr fitToPage="1"/>
  </sheetPr>
  <dimension ref="A1:AU99"/>
  <sheetViews>
    <sheetView showGridLines="0" workbookViewId="0"/>
  </sheetViews>
  <sheetFormatPr baseColWidth="10" defaultColWidth="10" defaultRowHeight="13.5" customHeight="1"/>
  <cols>
    <col min="1" max="1" width="37.6640625" customWidth="1"/>
    <col min="2" max="11" width="6.6640625" bestFit="1" customWidth="1"/>
    <col min="12" max="12" width="6.6640625" customWidth="1"/>
    <col min="13" max="13" width="7.33203125" customWidth="1"/>
    <col min="14" max="47" width="6.33203125" customWidth="1"/>
  </cols>
  <sheetData>
    <row r="1" spans="1:47" ht="17" thickBot="1">
      <c r="A1" s="1" t="s">
        <v>10</v>
      </c>
      <c r="B1" s="378" t="s">
        <v>124</v>
      </c>
      <c r="C1" s="379"/>
      <c r="D1" s="379"/>
      <c r="E1" s="379"/>
      <c r="F1" s="379"/>
      <c r="G1" s="379"/>
      <c r="H1" s="379"/>
      <c r="I1" s="379"/>
      <c r="J1" s="379"/>
      <c r="K1" s="379"/>
      <c r="L1" s="379"/>
      <c r="M1" s="265"/>
      <c r="N1" s="378" t="s">
        <v>125</v>
      </c>
      <c r="O1" s="379"/>
      <c r="P1" s="379"/>
      <c r="Q1" s="380"/>
      <c r="R1" s="381"/>
      <c r="S1" s="379"/>
      <c r="T1" s="379"/>
      <c r="U1" s="380"/>
      <c r="V1" s="379"/>
      <c r="W1" s="379"/>
      <c r="X1" s="379"/>
      <c r="Y1" s="380"/>
      <c r="Z1" s="379"/>
      <c r="AA1" s="379"/>
      <c r="AB1" s="379"/>
      <c r="AC1" s="380"/>
      <c r="AD1" s="379"/>
      <c r="AE1" s="379"/>
      <c r="AF1" s="379"/>
      <c r="AG1" s="380"/>
      <c r="AH1" s="382"/>
      <c r="AI1" s="379"/>
      <c r="AJ1" s="379"/>
      <c r="AK1" s="380"/>
      <c r="AL1" s="379"/>
      <c r="AM1" s="379"/>
      <c r="AN1" s="379"/>
      <c r="AO1" s="380"/>
      <c r="AP1" s="379"/>
      <c r="AQ1" s="379"/>
      <c r="AR1" s="379"/>
      <c r="AS1" s="380"/>
      <c r="AT1" s="379"/>
      <c r="AU1" s="379"/>
    </row>
    <row r="2" spans="1:47" ht="15" thickTop="1" thickBot="1">
      <c r="A2" s="18" t="s">
        <v>30</v>
      </c>
      <c r="B2" s="383"/>
      <c r="C2" s="384"/>
      <c r="D2" s="384"/>
      <c r="E2" s="384"/>
      <c r="F2" s="384"/>
      <c r="G2" s="384"/>
      <c r="H2" s="384"/>
      <c r="I2" s="384"/>
      <c r="J2" s="384"/>
      <c r="K2" s="384"/>
      <c r="L2" s="384"/>
      <c r="M2" s="265"/>
      <c r="N2" s="384"/>
      <c r="O2" s="384"/>
      <c r="P2" s="384"/>
      <c r="Q2" s="385"/>
      <c r="R2" s="384"/>
      <c r="S2" s="384"/>
      <c r="T2" s="384"/>
      <c r="U2" s="385"/>
      <c r="V2" s="384"/>
      <c r="W2" s="384"/>
      <c r="X2" s="384"/>
      <c r="Y2" s="385"/>
      <c r="Z2" s="384"/>
      <c r="AA2" s="384"/>
      <c r="AB2" s="384"/>
      <c r="AC2" s="385"/>
      <c r="AD2" s="384"/>
      <c r="AE2" s="384"/>
      <c r="AF2" s="384"/>
      <c r="AG2" s="385"/>
      <c r="AH2" s="386" t="s">
        <v>472</v>
      </c>
      <c r="AI2" s="384"/>
      <c r="AJ2" s="384"/>
      <c r="AK2" s="385"/>
      <c r="AL2" s="387" t="s">
        <v>473</v>
      </c>
      <c r="AM2" s="384"/>
      <c r="AN2" s="384"/>
      <c r="AO2" s="385"/>
      <c r="AP2" s="387"/>
      <c r="AQ2" s="384"/>
      <c r="AR2" s="384"/>
      <c r="AS2" s="385"/>
      <c r="AT2" s="387"/>
      <c r="AU2" s="384"/>
    </row>
    <row r="3" spans="1:47" ht="14" thickTop="1">
      <c r="A3" s="388" t="s">
        <v>474</v>
      </c>
      <c r="B3" s="389">
        <v>2015</v>
      </c>
      <c r="C3" s="389">
        <v>2016</v>
      </c>
      <c r="D3" s="389">
        <v>2017</v>
      </c>
      <c r="E3" s="389">
        <v>2018</v>
      </c>
      <c r="F3" s="389">
        <v>2019</v>
      </c>
      <c r="G3" s="389">
        <v>2020</v>
      </c>
      <c r="H3" s="389">
        <v>2021</v>
      </c>
      <c r="I3" s="389">
        <v>2022</v>
      </c>
      <c r="J3" s="389">
        <v>2023</v>
      </c>
      <c r="K3" s="389">
        <v>2024</v>
      </c>
      <c r="L3" s="389">
        <v>2025</v>
      </c>
      <c r="M3" s="390"/>
      <c r="N3" s="389" t="s">
        <v>128</v>
      </c>
      <c r="O3" s="389" t="s">
        <v>129</v>
      </c>
      <c r="P3" s="389" t="s">
        <v>130</v>
      </c>
      <c r="Q3" s="391" t="s">
        <v>131</v>
      </c>
      <c r="R3" s="389" t="s">
        <v>132</v>
      </c>
      <c r="S3" s="389" t="s">
        <v>133</v>
      </c>
      <c r="T3" s="389" t="s">
        <v>134</v>
      </c>
      <c r="U3" s="391" t="s">
        <v>135</v>
      </c>
      <c r="V3" s="389" t="s">
        <v>136</v>
      </c>
      <c r="W3" s="389" t="s">
        <v>137</v>
      </c>
      <c r="X3" s="389" t="s">
        <v>138</v>
      </c>
      <c r="Y3" s="391" t="s">
        <v>139</v>
      </c>
      <c r="Z3" s="389" t="s">
        <v>140</v>
      </c>
      <c r="AA3" s="389" t="s">
        <v>141</v>
      </c>
      <c r="AB3" s="389" t="s">
        <v>142</v>
      </c>
      <c r="AC3" s="391" t="s">
        <v>143</v>
      </c>
      <c r="AD3" s="389" t="s">
        <v>144</v>
      </c>
      <c r="AE3" s="389" t="s">
        <v>145</v>
      </c>
      <c r="AF3" s="389" t="s">
        <v>146</v>
      </c>
      <c r="AG3" s="391" t="s">
        <v>147</v>
      </c>
      <c r="AH3" s="389" t="s">
        <v>148</v>
      </c>
      <c r="AI3" s="389" t="s">
        <v>149</v>
      </c>
      <c r="AJ3" s="389" t="s">
        <v>150</v>
      </c>
      <c r="AK3" s="391" t="s">
        <v>151</v>
      </c>
      <c r="AL3" s="389" t="s">
        <v>152</v>
      </c>
      <c r="AM3" s="389" t="s">
        <v>153</v>
      </c>
      <c r="AN3" s="389" t="s">
        <v>154</v>
      </c>
      <c r="AO3" s="391" t="s">
        <v>155</v>
      </c>
      <c r="AP3" s="389" t="s">
        <v>156</v>
      </c>
      <c r="AQ3" s="389" t="s">
        <v>157</v>
      </c>
      <c r="AR3" s="389" t="s">
        <v>158</v>
      </c>
      <c r="AS3" s="391" t="s">
        <v>820</v>
      </c>
      <c r="AT3" s="389" t="s">
        <v>1275</v>
      </c>
      <c r="AU3" s="389" t="s">
        <v>1344</v>
      </c>
    </row>
    <row r="4" spans="1:47" ht="13">
      <c r="A4" s="392" t="s">
        <v>475</v>
      </c>
      <c r="B4" s="393">
        <v>27646</v>
      </c>
      <c r="C4" s="393">
        <v>27551</v>
      </c>
      <c r="D4" s="393">
        <v>27634</v>
      </c>
      <c r="E4" s="393">
        <v>33830.761604197898</v>
      </c>
      <c r="F4" s="393">
        <v>39400</v>
      </c>
      <c r="G4" s="393">
        <v>39492</v>
      </c>
      <c r="H4" s="393">
        <v>36579</v>
      </c>
      <c r="I4" s="393">
        <v>45648</v>
      </c>
      <c r="J4" s="393">
        <v>53222</v>
      </c>
      <c r="K4" s="393">
        <v>58899</v>
      </c>
      <c r="L4" s="393">
        <v>62213</v>
      </c>
      <c r="M4" s="265"/>
      <c r="N4" s="393">
        <v>8520</v>
      </c>
      <c r="O4" s="393">
        <v>8662</v>
      </c>
      <c r="P4" s="393">
        <v>8591</v>
      </c>
      <c r="Q4" s="394">
        <v>8058</v>
      </c>
      <c r="R4" s="393">
        <v>10036</v>
      </c>
      <c r="S4" s="393">
        <v>10483</v>
      </c>
      <c r="T4" s="393">
        <v>9413</v>
      </c>
      <c r="U4" s="394">
        <v>9468</v>
      </c>
      <c r="V4" s="393">
        <v>10063</v>
      </c>
      <c r="W4" s="393">
        <v>10553</v>
      </c>
      <c r="X4" s="393">
        <v>9600</v>
      </c>
      <c r="Y4" s="394">
        <v>9276</v>
      </c>
      <c r="Z4" s="393">
        <v>9772</v>
      </c>
      <c r="AA4" s="393">
        <v>8105</v>
      </c>
      <c r="AB4" s="393">
        <v>9373</v>
      </c>
      <c r="AC4" s="394">
        <v>9328.7539173412988</v>
      </c>
      <c r="AD4" s="393">
        <v>10690</v>
      </c>
      <c r="AE4" s="393">
        <v>11070.2641415608</v>
      </c>
      <c r="AF4" s="393">
        <v>12244.811463370999</v>
      </c>
      <c r="AG4" s="394">
        <v>11643.1579745823</v>
      </c>
      <c r="AH4" s="393">
        <v>13817.9803940854</v>
      </c>
      <c r="AI4" s="393">
        <v>13377</v>
      </c>
      <c r="AJ4" s="393">
        <v>12322.0537678564</v>
      </c>
      <c r="AK4" s="394">
        <v>13704.5692464232</v>
      </c>
      <c r="AL4" s="393">
        <v>14715</v>
      </c>
      <c r="AM4" s="393">
        <v>15436.263962106099</v>
      </c>
      <c r="AN4" s="393">
        <v>14359.8582558573</v>
      </c>
      <c r="AO4" s="394">
        <v>14388.595843134801</v>
      </c>
      <c r="AP4" s="393">
        <v>14161.679516402201</v>
      </c>
      <c r="AQ4" s="393">
        <v>16349.3402820848</v>
      </c>
      <c r="AR4" s="393">
        <v>15519.6168080796</v>
      </c>
      <c r="AS4" s="394">
        <v>16182.216636987399</v>
      </c>
      <c r="AT4" s="393">
        <v>16585.737469056599</v>
      </c>
      <c r="AU4" s="393">
        <v>15276.457273009499</v>
      </c>
    </row>
    <row r="5" spans="1:47" ht="13">
      <c r="A5" s="395" t="s">
        <v>476</v>
      </c>
      <c r="B5" s="396">
        <v>-6.6</v>
      </c>
      <c r="C5" s="396">
        <v>2.7</v>
      </c>
      <c r="D5" s="396">
        <v>20.100000000000001</v>
      </c>
      <c r="E5" s="396">
        <v>13</v>
      </c>
      <c r="F5" s="396">
        <v>-5</v>
      </c>
      <c r="G5" s="396">
        <v>0</v>
      </c>
      <c r="H5" s="396">
        <v>26</v>
      </c>
      <c r="I5" s="396">
        <v>2</v>
      </c>
      <c r="J5" s="396">
        <v>1.01</v>
      </c>
      <c r="K5" s="396">
        <v>3.01</v>
      </c>
      <c r="L5" s="396">
        <v>7</v>
      </c>
      <c r="M5" s="265"/>
      <c r="N5" s="396">
        <v>21</v>
      </c>
      <c r="O5" s="396">
        <v>18.082810848828263</v>
      </c>
      <c r="P5" s="396">
        <v>3</v>
      </c>
      <c r="Q5" s="397">
        <v>11.497999999999999</v>
      </c>
      <c r="R5" s="396">
        <v>-5</v>
      </c>
      <c r="S5" s="396">
        <v>-4</v>
      </c>
      <c r="T5" s="396">
        <v>-6</v>
      </c>
      <c r="U5" s="397">
        <v>-7</v>
      </c>
      <c r="V5" s="396">
        <v>-4</v>
      </c>
      <c r="W5" s="396">
        <v>-17</v>
      </c>
      <c r="X5" s="396">
        <v>10</v>
      </c>
      <c r="Y5" s="397">
        <v>13</v>
      </c>
      <c r="Z5" s="396">
        <v>21</v>
      </c>
      <c r="AA5" s="396">
        <v>45</v>
      </c>
      <c r="AB5" s="396">
        <v>24</v>
      </c>
      <c r="AC5" s="397">
        <v>19</v>
      </c>
      <c r="AD5" s="396">
        <v>18</v>
      </c>
      <c r="AE5" s="396">
        <v>6</v>
      </c>
      <c r="AF5" s="396">
        <v>-10</v>
      </c>
      <c r="AG5" s="397">
        <v>-4</v>
      </c>
      <c r="AH5" s="396">
        <v>-6</v>
      </c>
      <c r="AI5" s="396">
        <v>-1</v>
      </c>
      <c r="AJ5" s="396">
        <v>9</v>
      </c>
      <c r="AK5" s="397">
        <v>7</v>
      </c>
      <c r="AL5" s="396">
        <v>-3</v>
      </c>
      <c r="AM5" s="396">
        <v>1</v>
      </c>
      <c r="AN5" s="396">
        <v>6</v>
      </c>
      <c r="AO5" s="397">
        <v>5</v>
      </c>
      <c r="AP5" s="396">
        <v>10</v>
      </c>
      <c r="AQ5" s="396">
        <v>2</v>
      </c>
      <c r="AR5" s="396">
        <v>7</v>
      </c>
      <c r="AS5" s="397">
        <v>11</v>
      </c>
      <c r="AT5" s="396">
        <v>23</v>
      </c>
      <c r="AU5" s="396">
        <v>13</v>
      </c>
    </row>
    <row r="6" spans="1:47" ht="13">
      <c r="A6" s="395" t="s">
        <v>477</v>
      </c>
      <c r="B6" s="396">
        <v>7</v>
      </c>
      <c r="C6" s="396">
        <v>-3</v>
      </c>
      <c r="D6" s="396">
        <v>1</v>
      </c>
      <c r="E6" s="396">
        <v>0.7855044858816459</v>
      </c>
      <c r="F6" s="396">
        <v>3</v>
      </c>
      <c r="G6" s="396">
        <v>-6.7189250363655866</v>
      </c>
      <c r="H6" s="396">
        <v>-4</v>
      </c>
      <c r="I6" s="396">
        <v>10</v>
      </c>
      <c r="J6" s="396">
        <v>2.6744536347260435</v>
      </c>
      <c r="K6" s="396">
        <v>-1.8829422828553199</v>
      </c>
      <c r="L6" s="396">
        <v>-7.6470203115992463</v>
      </c>
      <c r="M6" s="265"/>
      <c r="N6" s="396">
        <v>-5.0006651971129985</v>
      </c>
      <c r="O6" s="396">
        <v>0.56138213551789884</v>
      </c>
      <c r="P6" s="396">
        <v>4.7578784084824957</v>
      </c>
      <c r="Q6" s="397">
        <v>2.9091995892098454</v>
      </c>
      <c r="R6" s="396">
        <v>3.7039007808507058</v>
      </c>
      <c r="S6" s="396">
        <v>2.1960492727564551</v>
      </c>
      <c r="T6" s="396">
        <v>5.2922196797234209</v>
      </c>
      <c r="U6" s="397">
        <v>3</v>
      </c>
      <c r="V6" s="396">
        <v>1</v>
      </c>
      <c r="W6" s="396">
        <v>-4.7290107343320242</v>
      </c>
      <c r="X6" s="396">
        <v>-11.745705381093344</v>
      </c>
      <c r="Y6" s="397">
        <v>-11.894324453671517</v>
      </c>
      <c r="Z6" s="396">
        <v>-11.731869674386317</v>
      </c>
      <c r="AA6" s="396">
        <v>-9.2789792138925886</v>
      </c>
      <c r="AB6" s="396">
        <v>0.29767043740941102</v>
      </c>
      <c r="AC6" s="397">
        <v>2.4809461586630928</v>
      </c>
      <c r="AD6" s="396">
        <v>8.1065017481339012</v>
      </c>
      <c r="AE6" s="396">
        <v>10.130719401744145</v>
      </c>
      <c r="AF6" s="396">
        <v>11.724106130227199</v>
      </c>
      <c r="AG6" s="397">
        <v>10.72074560970999</v>
      </c>
      <c r="AH6" s="396">
        <v>5.9870067219651055</v>
      </c>
      <c r="AI6" s="396">
        <v>4</v>
      </c>
      <c r="AJ6" s="396">
        <v>1.4545478110901222</v>
      </c>
      <c r="AK6" s="397">
        <v>-0.81350660109677964</v>
      </c>
      <c r="AL6" s="396">
        <v>-3</v>
      </c>
      <c r="AM6" s="396">
        <v>-1.2381446821731008</v>
      </c>
      <c r="AN6" s="396">
        <v>-3.8815506337488594</v>
      </c>
      <c r="AO6" s="397">
        <v>0.45511524884192445</v>
      </c>
      <c r="AP6" s="396">
        <v>8.2374768677602669E-2</v>
      </c>
      <c r="AQ6" s="396">
        <v>-9.244485117990882</v>
      </c>
      <c r="AR6" s="396">
        <v>-8.643750390514974</v>
      </c>
      <c r="AS6" s="397">
        <v>-11.841430317864363</v>
      </c>
      <c r="AT6" s="396">
        <v>-12.139472054187312</v>
      </c>
      <c r="AU6" s="396">
        <v>0</v>
      </c>
    </row>
    <row r="7" spans="1:47" ht="13">
      <c r="A7" s="395" t="s">
        <v>478</v>
      </c>
      <c r="B7" s="396">
        <v>0</v>
      </c>
      <c r="C7" s="396">
        <v>0</v>
      </c>
      <c r="D7" s="396">
        <v>0.5</v>
      </c>
      <c r="E7" s="396">
        <v>2.3786044470844803</v>
      </c>
      <c r="F7" s="396">
        <v>2</v>
      </c>
      <c r="G7" s="396">
        <v>-0.47440658721220219</v>
      </c>
      <c r="H7" s="396">
        <v>3</v>
      </c>
      <c r="I7" s="396">
        <v>5</v>
      </c>
      <c r="J7" s="396">
        <v>7.0190001789503489</v>
      </c>
      <c r="K7" s="396">
        <v>5.0580357046126085</v>
      </c>
      <c r="L7" s="396">
        <v>1.8606568978027667</v>
      </c>
      <c r="M7" s="265"/>
      <c r="N7" s="396">
        <v>2</v>
      </c>
      <c r="O7" s="396">
        <v>2</v>
      </c>
      <c r="P7" s="396">
        <v>2.3245553488429764</v>
      </c>
      <c r="Q7" s="397">
        <v>2.6333957413602187</v>
      </c>
      <c r="R7" s="396">
        <v>0.9007556406024837</v>
      </c>
      <c r="S7" s="396">
        <v>2.6270881299855229</v>
      </c>
      <c r="T7" s="396">
        <v>2.9736885282500731</v>
      </c>
      <c r="U7" s="397">
        <v>2</v>
      </c>
      <c r="V7" s="396">
        <v>0</v>
      </c>
      <c r="W7" s="396">
        <v>-1.2140496993896299</v>
      </c>
      <c r="X7" s="396">
        <v>-0.38032844821663953</v>
      </c>
      <c r="Y7" s="397">
        <v>-0.1446549208631788</v>
      </c>
      <c r="Z7" s="396">
        <v>3.7656588427327553E-2</v>
      </c>
      <c r="AA7" s="396">
        <v>1.0818779687451732</v>
      </c>
      <c r="AB7" s="396">
        <v>7.1849056103045328</v>
      </c>
      <c r="AC7" s="397">
        <v>3.9567554397726101</v>
      </c>
      <c r="AD7" s="396">
        <v>3.4230681260333489</v>
      </c>
      <c r="AE7" s="396">
        <v>5.0316475224065078</v>
      </c>
      <c r="AF7" s="396">
        <v>-0.85373986439902616</v>
      </c>
      <c r="AG7" s="397">
        <v>11.411015471735571</v>
      </c>
      <c r="AH7" s="398">
        <v>10.084783483938612</v>
      </c>
      <c r="AI7" s="396">
        <v>12</v>
      </c>
      <c r="AJ7" s="396">
        <v>7.0472157125050749</v>
      </c>
      <c r="AK7" s="397">
        <v>-1.060222957981857</v>
      </c>
      <c r="AL7" s="396">
        <v>2</v>
      </c>
      <c r="AM7" s="396">
        <v>5.7061181396630092</v>
      </c>
      <c r="AN7" s="396">
        <v>5.8810752023128625</v>
      </c>
      <c r="AO7" s="397">
        <v>7.1153617086825314</v>
      </c>
      <c r="AP7" s="396">
        <v>7.3344148831252296</v>
      </c>
      <c r="AQ7" s="396">
        <v>0.49531004580861149</v>
      </c>
      <c r="AR7" s="396">
        <v>0.25103355712440972</v>
      </c>
      <c r="AS7" s="397">
        <v>-6.4759726365589869E-3</v>
      </c>
      <c r="AT7" s="396">
        <v>1.4180858731111833E-3</v>
      </c>
      <c r="AU7" s="396">
        <v>0</v>
      </c>
    </row>
    <row r="8" spans="1:47" ht="13">
      <c r="A8" s="399" t="s">
        <v>479</v>
      </c>
      <c r="B8" s="400">
        <v>0</v>
      </c>
      <c r="C8" s="400">
        <v>0</v>
      </c>
      <c r="D8" s="400">
        <v>22</v>
      </c>
      <c r="E8" s="400">
        <v>16</v>
      </c>
      <c r="F8" s="400">
        <v>0</v>
      </c>
      <c r="G8" s="400">
        <v>-7</v>
      </c>
      <c r="H8" s="400">
        <v>25</v>
      </c>
      <c r="I8" s="400">
        <v>17</v>
      </c>
      <c r="J8" s="400">
        <v>11</v>
      </c>
      <c r="K8" s="400">
        <v>6</v>
      </c>
      <c r="L8" s="400">
        <v>1</v>
      </c>
      <c r="M8" s="265"/>
      <c r="N8" s="400">
        <v>18</v>
      </c>
      <c r="O8" s="400">
        <v>21</v>
      </c>
      <c r="P8" s="400">
        <v>10</v>
      </c>
      <c r="Q8" s="401">
        <v>17.498000000000001</v>
      </c>
      <c r="R8" s="400">
        <v>0</v>
      </c>
      <c r="S8" s="400">
        <v>1</v>
      </c>
      <c r="T8" s="400">
        <v>2</v>
      </c>
      <c r="U8" s="401">
        <v>-2</v>
      </c>
      <c r="V8" s="400">
        <v>-3</v>
      </c>
      <c r="W8" s="400">
        <v>-23</v>
      </c>
      <c r="X8" s="400">
        <v>-2</v>
      </c>
      <c r="Y8" s="401">
        <v>1</v>
      </c>
      <c r="Z8" s="400">
        <v>9</v>
      </c>
      <c r="AA8" s="400">
        <v>37</v>
      </c>
      <c r="AB8" s="400">
        <v>31</v>
      </c>
      <c r="AC8" s="401">
        <v>25</v>
      </c>
      <c r="AD8" s="400">
        <v>29</v>
      </c>
      <c r="AE8" s="400">
        <v>21</v>
      </c>
      <c r="AF8" s="400">
        <v>1</v>
      </c>
      <c r="AG8" s="401">
        <v>18</v>
      </c>
      <c r="AH8" s="402">
        <v>10</v>
      </c>
      <c r="AI8" s="400">
        <v>15</v>
      </c>
      <c r="AJ8" s="400">
        <v>17</v>
      </c>
      <c r="AK8" s="401">
        <v>5</v>
      </c>
      <c r="AL8" s="400">
        <v>-4</v>
      </c>
      <c r="AM8" s="400">
        <v>6</v>
      </c>
      <c r="AN8" s="400">
        <v>8</v>
      </c>
      <c r="AO8" s="401">
        <v>12</v>
      </c>
      <c r="AP8" s="400">
        <v>17</v>
      </c>
      <c r="AQ8" s="400">
        <v>-7</v>
      </c>
      <c r="AR8" s="400">
        <v>-2</v>
      </c>
      <c r="AS8" s="401">
        <v>-1</v>
      </c>
      <c r="AT8" s="400">
        <v>11</v>
      </c>
      <c r="AU8" s="400">
        <v>13</v>
      </c>
    </row>
    <row r="9" spans="1:47" ht="13">
      <c r="A9" s="395" t="s">
        <v>480</v>
      </c>
      <c r="B9" s="393">
        <v>27551</v>
      </c>
      <c r="C9" s="393">
        <v>27634</v>
      </c>
      <c r="D9" s="393">
        <v>33831</v>
      </c>
      <c r="E9" s="393">
        <v>39400.1129006642</v>
      </c>
      <c r="F9" s="393">
        <v>39492</v>
      </c>
      <c r="G9" s="393">
        <v>36579</v>
      </c>
      <c r="H9" s="393">
        <v>45648</v>
      </c>
      <c r="I9" s="393">
        <v>53222</v>
      </c>
      <c r="J9" s="393">
        <v>59332</v>
      </c>
      <c r="K9" s="393">
        <v>62213</v>
      </c>
      <c r="L9" s="393">
        <v>62974</v>
      </c>
      <c r="M9" s="265"/>
      <c r="N9" s="393">
        <v>10036</v>
      </c>
      <c r="O9" s="393">
        <v>10483</v>
      </c>
      <c r="P9" s="393">
        <v>9413</v>
      </c>
      <c r="Q9" s="394">
        <v>9468</v>
      </c>
      <c r="R9" s="393">
        <v>10063</v>
      </c>
      <c r="S9" s="393">
        <v>10553</v>
      </c>
      <c r="T9" s="393">
        <v>9600</v>
      </c>
      <c r="U9" s="394">
        <v>9276</v>
      </c>
      <c r="V9" s="393">
        <v>9772</v>
      </c>
      <c r="W9" s="393">
        <v>8105</v>
      </c>
      <c r="X9" s="393">
        <v>9373</v>
      </c>
      <c r="Y9" s="403">
        <v>9330</v>
      </c>
      <c r="Z9" s="393">
        <v>10690</v>
      </c>
      <c r="AA9" s="393">
        <v>11070</v>
      </c>
      <c r="AB9" s="393">
        <v>12245</v>
      </c>
      <c r="AC9" s="403">
        <v>11643.1579745824</v>
      </c>
      <c r="AD9" s="393">
        <v>13818</v>
      </c>
      <c r="AE9" s="393">
        <v>13377.400910480101</v>
      </c>
      <c r="AF9" s="393">
        <v>12322.0537678566</v>
      </c>
      <c r="AG9" s="403">
        <v>13705</v>
      </c>
      <c r="AH9" s="404">
        <v>15147.6012657669</v>
      </c>
      <c r="AI9" s="393">
        <v>15436</v>
      </c>
      <c r="AJ9" s="393">
        <v>14359.8582558577</v>
      </c>
      <c r="AK9" s="403">
        <v>14388.3958431346</v>
      </c>
      <c r="AL9" s="393">
        <v>14162</v>
      </c>
      <c r="AM9" s="393">
        <v>16349.340282084901</v>
      </c>
      <c r="AN9" s="393">
        <v>15519.6168080795</v>
      </c>
      <c r="AO9" s="403">
        <v>16182.216636987199</v>
      </c>
      <c r="AP9" s="393">
        <v>16585.737469056799</v>
      </c>
      <c r="AQ9" s="393">
        <v>15276.1072730092</v>
      </c>
      <c r="AR9" s="393">
        <v>15141.8834038397</v>
      </c>
      <c r="AS9" s="403">
        <v>15969.921907142299</v>
      </c>
      <c r="AT9" s="393">
        <v>18339.689131611001</v>
      </c>
      <c r="AU9" s="393">
        <v>17305.211290536703</v>
      </c>
    </row>
    <row r="10" spans="1:47" ht="13">
      <c r="A10" s="405" t="s">
        <v>481</v>
      </c>
      <c r="B10" s="393"/>
      <c r="C10" s="393"/>
      <c r="D10" s="393"/>
      <c r="E10" s="393"/>
      <c r="F10" s="393"/>
      <c r="G10" s="393"/>
      <c r="H10" s="393"/>
      <c r="I10" s="393"/>
      <c r="J10" s="393"/>
      <c r="K10" s="393"/>
      <c r="L10" s="393"/>
      <c r="M10" s="265"/>
      <c r="N10" s="393"/>
      <c r="O10" s="393"/>
      <c r="P10" s="393"/>
      <c r="Q10" s="394"/>
      <c r="R10" s="393"/>
      <c r="S10" s="393"/>
      <c r="T10" s="393"/>
      <c r="U10" s="394"/>
      <c r="V10" s="393"/>
      <c r="W10" s="393"/>
      <c r="X10" s="393"/>
      <c r="Y10" s="403"/>
      <c r="Z10" s="393"/>
      <c r="AA10" s="393"/>
      <c r="AB10" s="393"/>
      <c r="AC10" s="403"/>
      <c r="AD10" s="393">
        <v>13</v>
      </c>
      <c r="AE10" s="393">
        <v>-10</v>
      </c>
      <c r="AF10" s="265">
        <v>-12</v>
      </c>
      <c r="AG10" s="403">
        <v>4</v>
      </c>
      <c r="AH10" s="393">
        <v>12</v>
      </c>
      <c r="AI10" s="393">
        <v>-2</v>
      </c>
      <c r="AJ10" s="393">
        <v>-7</v>
      </c>
      <c r="AK10" s="403">
        <v>3</v>
      </c>
      <c r="AL10" s="393">
        <v>2</v>
      </c>
      <c r="AM10" s="265">
        <v>5</v>
      </c>
      <c r="AN10" s="265">
        <v>-3</v>
      </c>
      <c r="AO10" s="403">
        <v>2</v>
      </c>
      <c r="AP10" s="393">
        <v>5.6</v>
      </c>
      <c r="AQ10" s="406">
        <v>1.3</v>
      </c>
      <c r="AR10" s="406">
        <v>0.3</v>
      </c>
      <c r="AS10" s="403">
        <v>6.6</v>
      </c>
      <c r="AT10" s="393">
        <v>17</v>
      </c>
      <c r="AU10" s="406">
        <v>-8.6999999999999993</v>
      </c>
    </row>
    <row r="11" spans="1:47" ht="13">
      <c r="A11" s="407" t="s">
        <v>482</v>
      </c>
      <c r="B11" s="408"/>
      <c r="C11" s="408"/>
      <c r="D11" s="408"/>
      <c r="E11" s="408"/>
      <c r="F11" s="408"/>
      <c r="G11" s="408"/>
      <c r="H11" s="408"/>
      <c r="I11" s="408"/>
      <c r="J11" s="408"/>
      <c r="K11" s="408"/>
      <c r="L11" s="408"/>
      <c r="M11" s="31"/>
      <c r="N11" s="408"/>
      <c r="O11" s="408"/>
      <c r="P11" s="408"/>
      <c r="Q11" s="409"/>
      <c r="R11" s="408"/>
      <c r="S11" s="408"/>
      <c r="T11" s="408"/>
      <c r="U11" s="409"/>
      <c r="V11" s="408"/>
      <c r="W11" s="408"/>
      <c r="X11" s="408"/>
      <c r="Y11" s="409"/>
      <c r="Z11" s="408"/>
      <c r="AA11" s="408"/>
      <c r="AB11" s="410" t="s">
        <v>483</v>
      </c>
      <c r="AC11" s="411"/>
      <c r="AD11" s="411"/>
      <c r="AE11" s="412" t="s">
        <v>484</v>
      </c>
      <c r="AF11" s="412"/>
      <c r="AG11" s="412" t="s">
        <v>485</v>
      </c>
      <c r="AH11" s="413" t="s">
        <v>486</v>
      </c>
      <c r="AI11" s="413"/>
      <c r="AJ11" s="413"/>
      <c r="AK11" s="414"/>
      <c r="AL11" s="408"/>
      <c r="AM11" s="412"/>
      <c r="AN11" s="412"/>
      <c r="AO11" s="414"/>
      <c r="AP11" s="408"/>
      <c r="AQ11" s="412"/>
      <c r="AR11" s="412"/>
      <c r="AS11" s="414"/>
      <c r="AT11" s="408"/>
      <c r="AU11" s="412"/>
    </row>
    <row r="12" spans="1:47" ht="13">
      <c r="A12" s="395"/>
      <c r="B12" s="396"/>
      <c r="C12" s="396"/>
      <c r="D12" s="384"/>
      <c r="E12" s="384"/>
      <c r="F12" s="384"/>
      <c r="G12" s="384"/>
      <c r="H12" s="384"/>
      <c r="I12" s="384"/>
      <c r="J12" s="384"/>
      <c r="K12" s="384"/>
      <c r="L12" s="384"/>
      <c r="M12" s="265"/>
      <c r="N12" s="396"/>
      <c r="O12" s="396"/>
      <c r="P12" s="396"/>
      <c r="Q12" s="397"/>
      <c r="R12" s="396"/>
      <c r="S12" s="396"/>
      <c r="T12" s="396"/>
      <c r="U12" s="397"/>
      <c r="V12" s="396"/>
      <c r="W12" s="396"/>
      <c r="X12" s="396"/>
      <c r="Y12" s="397"/>
      <c r="Z12" s="396"/>
      <c r="AA12" s="396"/>
      <c r="AB12" s="396"/>
      <c r="AC12" s="397"/>
      <c r="AD12" s="396"/>
      <c r="AE12" s="396"/>
      <c r="AF12" s="396"/>
      <c r="AG12" s="397"/>
      <c r="AH12" s="396"/>
      <c r="AI12" s="393"/>
      <c r="AJ12" s="393"/>
      <c r="AK12" s="397"/>
      <c r="AL12" s="396"/>
      <c r="AM12" s="396"/>
      <c r="AN12" s="396"/>
      <c r="AO12" s="397"/>
      <c r="AP12" s="396"/>
      <c r="AQ12" s="396"/>
      <c r="AR12" s="396"/>
      <c r="AS12" s="397"/>
      <c r="AT12" s="396"/>
      <c r="AU12" s="396"/>
    </row>
    <row r="13" spans="1:47" ht="13">
      <c r="A13" s="415" t="s">
        <v>293</v>
      </c>
      <c r="B13" s="389">
        <v>2015</v>
      </c>
      <c r="C13" s="389">
        <v>2016</v>
      </c>
      <c r="D13" s="389">
        <v>2017</v>
      </c>
      <c r="E13" s="389">
        <v>2018</v>
      </c>
      <c r="F13" s="389">
        <v>2019</v>
      </c>
      <c r="G13" s="389">
        <v>2020</v>
      </c>
      <c r="H13" s="389">
        <v>2021</v>
      </c>
      <c r="I13" s="389">
        <v>2022</v>
      </c>
      <c r="J13" s="389">
        <v>2023</v>
      </c>
      <c r="K13" s="389">
        <v>2024</v>
      </c>
      <c r="L13" s="389">
        <v>2025</v>
      </c>
      <c r="M13" s="390"/>
      <c r="N13" s="389" t="s">
        <v>128</v>
      </c>
      <c r="O13" s="389" t="s">
        <v>129</v>
      </c>
      <c r="P13" s="389" t="s">
        <v>130</v>
      </c>
      <c r="Q13" s="391" t="s">
        <v>131</v>
      </c>
      <c r="R13" s="389" t="s">
        <v>132</v>
      </c>
      <c r="S13" s="389" t="s">
        <v>133</v>
      </c>
      <c r="T13" s="389" t="s">
        <v>134</v>
      </c>
      <c r="U13" s="391" t="s">
        <v>135</v>
      </c>
      <c r="V13" s="389" t="s">
        <v>136</v>
      </c>
      <c r="W13" s="389" t="s">
        <v>137</v>
      </c>
      <c r="X13" s="389" t="s">
        <v>138</v>
      </c>
      <c r="Y13" s="391" t="s">
        <v>139</v>
      </c>
      <c r="Z13" s="389" t="s">
        <v>140</v>
      </c>
      <c r="AA13" s="389" t="s">
        <v>141</v>
      </c>
      <c r="AB13" s="389" t="s">
        <v>142</v>
      </c>
      <c r="AC13" s="391" t="s">
        <v>143</v>
      </c>
      <c r="AD13" s="389" t="s">
        <v>144</v>
      </c>
      <c r="AE13" s="389" t="s">
        <v>145</v>
      </c>
      <c r="AF13" s="389" t="s">
        <v>146</v>
      </c>
      <c r="AG13" s="391" t="s">
        <v>147</v>
      </c>
      <c r="AH13" s="389" t="s">
        <v>148</v>
      </c>
      <c r="AI13" s="389" t="s">
        <v>149</v>
      </c>
      <c r="AJ13" s="389" t="s">
        <v>150</v>
      </c>
      <c r="AK13" s="391" t="s">
        <v>151</v>
      </c>
      <c r="AL13" s="389" t="s">
        <v>152</v>
      </c>
      <c r="AM13" s="389" t="s">
        <v>153</v>
      </c>
      <c r="AN13" s="389" t="s">
        <v>154</v>
      </c>
      <c r="AO13" s="391" t="s">
        <v>155</v>
      </c>
      <c r="AP13" s="389" t="s">
        <v>156</v>
      </c>
      <c r="AQ13" s="389" t="s">
        <v>157</v>
      </c>
      <c r="AR13" s="389" t="s">
        <v>158</v>
      </c>
      <c r="AS13" s="391" t="s">
        <v>820</v>
      </c>
      <c r="AT13" s="389" t="s">
        <v>1275</v>
      </c>
      <c r="AU13" s="389" t="s">
        <v>1344</v>
      </c>
    </row>
    <row r="14" spans="1:47" ht="13">
      <c r="A14" s="392" t="s">
        <v>475</v>
      </c>
      <c r="B14" s="393">
        <v>19524</v>
      </c>
      <c r="C14" s="393">
        <v>19213</v>
      </c>
      <c r="D14" s="393">
        <v>19413</v>
      </c>
      <c r="E14" s="393">
        <v>24573.604511091697</v>
      </c>
      <c r="F14" s="393">
        <v>29695</v>
      </c>
      <c r="G14" s="393">
        <v>28509</v>
      </c>
      <c r="H14" s="393">
        <v>27252</v>
      </c>
      <c r="I14" s="393">
        <v>34513</v>
      </c>
      <c r="J14" s="393">
        <v>42691</v>
      </c>
      <c r="K14" s="393">
        <v>46678</v>
      </c>
      <c r="L14" s="393">
        <v>47423</v>
      </c>
      <c r="M14" s="265"/>
      <c r="N14" s="393">
        <v>6200</v>
      </c>
      <c r="O14" s="393">
        <v>6323</v>
      </c>
      <c r="P14" s="393">
        <v>6263</v>
      </c>
      <c r="Q14" s="394">
        <v>5788</v>
      </c>
      <c r="R14" s="393">
        <v>7442</v>
      </c>
      <c r="S14" s="393">
        <v>7947</v>
      </c>
      <c r="T14" s="393">
        <v>7190</v>
      </c>
      <c r="U14" s="394">
        <v>7116</v>
      </c>
      <c r="V14" s="393">
        <v>7248</v>
      </c>
      <c r="W14" s="393">
        <v>7677</v>
      </c>
      <c r="X14" s="393">
        <v>6874</v>
      </c>
      <c r="Y14" s="394">
        <v>6710</v>
      </c>
      <c r="Z14" s="393">
        <v>7101</v>
      </c>
      <c r="AA14" s="393">
        <v>6129</v>
      </c>
      <c r="AB14" s="393">
        <v>7068</v>
      </c>
      <c r="AC14" s="394">
        <v>6953.7317741347997</v>
      </c>
      <c r="AD14" s="393">
        <v>7991</v>
      </c>
      <c r="AE14" s="393">
        <v>8386.6407264833997</v>
      </c>
      <c r="AF14" s="393">
        <v>9336.3862631517004</v>
      </c>
      <c r="AG14" s="394">
        <v>8798.6758246157005</v>
      </c>
      <c r="AH14" s="393">
        <v>10839.9189195621</v>
      </c>
      <c r="AI14" s="393">
        <v>10897</v>
      </c>
      <c r="AJ14" s="393">
        <v>9790.7239444646002</v>
      </c>
      <c r="AK14" s="394">
        <v>11163.2592285675</v>
      </c>
      <c r="AL14" s="393">
        <v>11539</v>
      </c>
      <c r="AM14" s="393">
        <v>12275.685550455</v>
      </c>
      <c r="AN14" s="393">
        <v>11310.67786046</v>
      </c>
      <c r="AO14" s="394">
        <v>11551.576897335101</v>
      </c>
      <c r="AP14" s="393">
        <v>11025.0502131555</v>
      </c>
      <c r="AQ14" s="393">
        <v>12387.9736662832</v>
      </c>
      <c r="AR14" s="393">
        <v>11829.947638979</v>
      </c>
      <c r="AS14" s="394">
        <v>12179.8085609993</v>
      </c>
      <c r="AT14" s="393">
        <v>12377.2136426959</v>
      </c>
      <c r="AU14" s="393">
        <v>11505.5559033388</v>
      </c>
    </row>
    <row r="15" spans="1:47" ht="13">
      <c r="A15" s="395" t="s">
        <v>476</v>
      </c>
      <c r="B15" s="396">
        <v>-7.3</v>
      </c>
      <c r="C15" s="396">
        <v>3.6</v>
      </c>
      <c r="D15" s="396">
        <v>24.4</v>
      </c>
      <c r="E15" s="396">
        <v>17</v>
      </c>
      <c r="F15" s="396">
        <v>-6</v>
      </c>
      <c r="G15" s="396">
        <v>3</v>
      </c>
      <c r="H15" s="396">
        <v>29</v>
      </c>
      <c r="I15" s="396">
        <v>3</v>
      </c>
      <c r="J15" s="396">
        <v>2</v>
      </c>
      <c r="K15" s="396">
        <v>4</v>
      </c>
      <c r="L15" s="396">
        <v>8</v>
      </c>
      <c r="M15" s="265"/>
      <c r="N15" s="396">
        <v>22</v>
      </c>
      <c r="O15" s="396">
        <v>22.467917901876827</v>
      </c>
      <c r="P15" s="396">
        <v>7</v>
      </c>
      <c r="Q15" s="397">
        <v>17</v>
      </c>
      <c r="R15" s="396">
        <v>-5</v>
      </c>
      <c r="S15" s="396">
        <v>-4</v>
      </c>
      <c r="T15" s="396">
        <v>-8</v>
      </c>
      <c r="U15" s="397">
        <v>-7</v>
      </c>
      <c r="V15" s="396">
        <v>-3</v>
      </c>
      <c r="W15" s="396">
        <v>-15</v>
      </c>
      <c r="X15" s="396">
        <v>15</v>
      </c>
      <c r="Y15" s="397">
        <v>16</v>
      </c>
      <c r="Z15" s="396">
        <v>25</v>
      </c>
      <c r="AA15" s="396">
        <v>46</v>
      </c>
      <c r="AB15" s="396">
        <v>26</v>
      </c>
      <c r="AC15" s="397">
        <v>20</v>
      </c>
      <c r="AD15" s="396">
        <v>20</v>
      </c>
      <c r="AE15" s="396">
        <v>10</v>
      </c>
      <c r="AF15" s="396">
        <v>-10</v>
      </c>
      <c r="AG15" s="397">
        <v>-2</v>
      </c>
      <c r="AH15" s="396">
        <v>-5</v>
      </c>
      <c r="AI15" s="396" t="s">
        <v>488</v>
      </c>
      <c r="AJ15" s="396">
        <v>9</v>
      </c>
      <c r="AK15" s="397">
        <v>8</v>
      </c>
      <c r="AL15" s="396">
        <v>-2</v>
      </c>
      <c r="AM15" s="396">
        <v>3</v>
      </c>
      <c r="AN15" s="396">
        <v>9</v>
      </c>
      <c r="AO15" s="397">
        <v>5</v>
      </c>
      <c r="AP15" s="396">
        <v>12</v>
      </c>
      <c r="AQ15" s="396">
        <v>2</v>
      </c>
      <c r="AR15" s="396">
        <v>6</v>
      </c>
      <c r="AS15" s="397">
        <v>13</v>
      </c>
      <c r="AT15" s="396">
        <v>27</v>
      </c>
      <c r="AU15" s="396">
        <v>17</v>
      </c>
    </row>
    <row r="16" spans="1:47" ht="13">
      <c r="A16" s="395" t="s">
        <v>477</v>
      </c>
      <c r="B16" s="396">
        <v>5</v>
      </c>
      <c r="C16" s="396">
        <v>-3</v>
      </c>
      <c r="D16" s="396">
        <v>3</v>
      </c>
      <c r="E16" s="396">
        <v>0.66237745083807753</v>
      </c>
      <c r="F16" s="396">
        <v>3</v>
      </c>
      <c r="G16" s="396">
        <v>-7.0310880804713483</v>
      </c>
      <c r="H16" s="396">
        <v>-4.6286371381934766</v>
      </c>
      <c r="I16" s="396">
        <v>11</v>
      </c>
      <c r="J16" s="396">
        <v>2.8533144099895478</v>
      </c>
      <c r="K16" s="396">
        <v>-2.0500040864303157</v>
      </c>
      <c r="L16" s="396">
        <v>-7.7284886987718124</v>
      </c>
      <c r="M16" s="265"/>
      <c r="N16" s="396">
        <v>-5.1304052989387516</v>
      </c>
      <c r="O16" s="396">
        <v>0.19812560689927411</v>
      </c>
      <c r="P16" s="396">
        <v>4.8947207129841832</v>
      </c>
      <c r="Q16" s="397">
        <v>2.7956695685291799</v>
      </c>
      <c r="R16" s="396">
        <v>3.4903278477988962</v>
      </c>
      <c r="S16" s="396">
        <v>2.1165668504519091</v>
      </c>
      <c r="T16" s="396">
        <v>5.1949975808167173</v>
      </c>
      <c r="U16" s="397">
        <v>2</v>
      </c>
      <c r="V16" s="396">
        <v>1</v>
      </c>
      <c r="W16" s="396">
        <v>-5.019294441943229</v>
      </c>
      <c r="X16" s="396">
        <v>-12.248003268346677</v>
      </c>
      <c r="Y16" s="397">
        <v>-12.216517461630927</v>
      </c>
      <c r="Z16" s="396">
        <v>-11.859950547910099</v>
      </c>
      <c r="AA16" s="396">
        <v>-9.8990701805958352</v>
      </c>
      <c r="AB16" s="396">
        <v>-0.3087028222808193</v>
      </c>
      <c r="AC16" s="397">
        <v>3.0074112323258251</v>
      </c>
      <c r="AD16" s="396">
        <v>8.3194778673484748</v>
      </c>
      <c r="AE16" s="396">
        <v>10.506812068407077</v>
      </c>
      <c r="AF16" s="396">
        <v>11.756177264083341</v>
      </c>
      <c r="AG16" s="397">
        <v>11.579447149119758</v>
      </c>
      <c r="AH16" s="396">
        <v>6.1663248363729402</v>
      </c>
      <c r="AI16" s="396">
        <v>4</v>
      </c>
      <c r="AJ16" s="396">
        <v>1.7071830240953976</v>
      </c>
      <c r="AK16" s="397">
        <v>-0.66090523345311014</v>
      </c>
      <c r="AL16" s="396">
        <v>-3</v>
      </c>
      <c r="AM16" s="396">
        <v>-1.3998599578812259</v>
      </c>
      <c r="AN16" s="396">
        <v>-4.0429100813533747</v>
      </c>
      <c r="AO16" s="397">
        <v>0.24199595798498366</v>
      </c>
      <c r="AP16" s="396">
        <v>0.10407095774410745</v>
      </c>
      <c r="AQ16" s="396">
        <v>-9.3552711468440002</v>
      </c>
      <c r="AR16" s="396">
        <v>-8.8263733316472219</v>
      </c>
      <c r="AS16" s="397">
        <v>-12.097515304997719</v>
      </c>
      <c r="AT16" s="396">
        <v>-12.36956272989103</v>
      </c>
      <c r="AU16" s="396">
        <v>0</v>
      </c>
    </row>
    <row r="17" spans="1:47" ht="13">
      <c r="A17" s="395" t="s">
        <v>478</v>
      </c>
      <c r="B17" s="396">
        <v>0</v>
      </c>
      <c r="C17" s="396">
        <v>0</v>
      </c>
      <c r="D17" s="396">
        <v>0.3</v>
      </c>
      <c r="E17" s="396">
        <v>2.9547193280467745</v>
      </c>
      <c r="F17" s="396">
        <v>-1</v>
      </c>
      <c r="G17" s="396">
        <v>7.4063442694813353E-3</v>
      </c>
      <c r="H17" s="396">
        <v>2.9785887009915641</v>
      </c>
      <c r="I17" s="396">
        <v>6</v>
      </c>
      <c r="J17" s="396">
        <v>3.9259000125423835</v>
      </c>
      <c r="K17" s="396">
        <v>0.15561498428519305</v>
      </c>
      <c r="L17" s="396">
        <v>5.2084003553432436E-2</v>
      </c>
      <c r="M17" s="265"/>
      <c r="N17" s="396">
        <v>3</v>
      </c>
      <c r="O17" s="396">
        <v>4</v>
      </c>
      <c r="P17" s="396">
        <v>2.6986319803669701</v>
      </c>
      <c r="Q17" s="397">
        <v>3.4693029755978113</v>
      </c>
      <c r="R17" s="396">
        <v>-0.65842515452835249</v>
      </c>
      <c r="S17" s="396">
        <v>-0.95004404177677104</v>
      </c>
      <c r="T17" s="396">
        <v>-0.78998609179415857</v>
      </c>
      <c r="U17" s="397">
        <v>-1</v>
      </c>
      <c r="V17" s="396">
        <v>0</v>
      </c>
      <c r="W17" s="396">
        <v>-1.5914811191868571E-2</v>
      </c>
      <c r="X17" s="396">
        <v>0.19665817207519709</v>
      </c>
      <c r="Y17" s="397">
        <v>6.5401668619220699E-2</v>
      </c>
      <c r="Z17" s="396">
        <v>5.1821902770704864E-2</v>
      </c>
      <c r="AA17" s="396">
        <v>1.4305746362044731</v>
      </c>
      <c r="AB17" s="396">
        <v>6.0681717366895276</v>
      </c>
      <c r="AC17" s="397">
        <v>4.1912709200257137</v>
      </c>
      <c r="AD17" s="396">
        <v>3.5178293963662597</v>
      </c>
      <c r="AE17" s="396">
        <v>5.4482496175881527</v>
      </c>
      <c r="AF17" s="396">
        <v>0.4705982896381169</v>
      </c>
      <c r="AG17" s="397">
        <v>14.399140396120877</v>
      </c>
      <c r="AH17" s="398">
        <v>6.2440373133849505</v>
      </c>
      <c r="AI17" s="396">
        <v>9</v>
      </c>
      <c r="AJ17" s="396">
        <v>4.963470440012232</v>
      </c>
      <c r="AK17" s="397">
        <v>-4.2174582119339989</v>
      </c>
      <c r="AL17" s="396">
        <v>1</v>
      </c>
      <c r="AM17" s="396">
        <v>-0.94906285584988603</v>
      </c>
      <c r="AN17" s="396">
        <v>0.29094452076687166</v>
      </c>
      <c r="AO17" s="397">
        <v>0.27457188381195874</v>
      </c>
      <c r="AP17" s="396">
        <v>0.22346278821118071</v>
      </c>
      <c r="AQ17" s="396">
        <v>-2.4772468731932198E-3</v>
      </c>
      <c r="AR17" s="396">
        <v>4.0057716607180089E-3</v>
      </c>
      <c r="AS17" s="397">
        <v>-8.5553188687762655E-4</v>
      </c>
      <c r="AT17" s="396">
        <v>1.9002661405848587E-3</v>
      </c>
      <c r="AU17" s="396">
        <v>0</v>
      </c>
    </row>
    <row r="18" spans="1:47" ht="13">
      <c r="A18" s="399" t="s">
        <v>479</v>
      </c>
      <c r="B18" s="400">
        <v>-2</v>
      </c>
      <c r="C18" s="400">
        <v>1</v>
      </c>
      <c r="D18" s="400">
        <v>27</v>
      </c>
      <c r="E18" s="400">
        <v>21</v>
      </c>
      <c r="F18" s="400">
        <v>-4</v>
      </c>
      <c r="G18" s="400">
        <v>-4</v>
      </c>
      <c r="H18" s="400">
        <v>27</v>
      </c>
      <c r="I18" s="400">
        <v>20</v>
      </c>
      <c r="J18" s="400">
        <v>9</v>
      </c>
      <c r="K18" s="400">
        <v>2</v>
      </c>
      <c r="L18" s="400">
        <v>0</v>
      </c>
      <c r="M18" s="265"/>
      <c r="N18" s="400">
        <v>20</v>
      </c>
      <c r="O18" s="400">
        <v>26</v>
      </c>
      <c r="P18" s="400">
        <v>15</v>
      </c>
      <c r="Q18" s="401">
        <v>23</v>
      </c>
      <c r="R18" s="400">
        <v>-3</v>
      </c>
      <c r="S18" s="400">
        <v>-3</v>
      </c>
      <c r="T18" s="400">
        <v>-4</v>
      </c>
      <c r="U18" s="401">
        <v>-6</v>
      </c>
      <c r="V18" s="400">
        <v>-2</v>
      </c>
      <c r="W18" s="400">
        <v>-20</v>
      </c>
      <c r="X18" s="400">
        <v>3</v>
      </c>
      <c r="Y18" s="401">
        <v>4</v>
      </c>
      <c r="Z18" s="400">
        <v>13</v>
      </c>
      <c r="AA18" s="400">
        <v>37</v>
      </c>
      <c r="AB18" s="400">
        <v>32</v>
      </c>
      <c r="AC18" s="401">
        <v>27</v>
      </c>
      <c r="AD18" s="400">
        <v>32</v>
      </c>
      <c r="AE18" s="400">
        <v>26</v>
      </c>
      <c r="AF18" s="400">
        <v>2</v>
      </c>
      <c r="AG18" s="401">
        <v>24</v>
      </c>
      <c r="AH18" s="402">
        <v>7</v>
      </c>
      <c r="AI18" s="400">
        <v>13</v>
      </c>
      <c r="AJ18" s="400">
        <v>16</v>
      </c>
      <c r="AK18" s="401">
        <v>3</v>
      </c>
      <c r="AL18" s="400">
        <v>-4</v>
      </c>
      <c r="AM18" s="400">
        <v>1</v>
      </c>
      <c r="AN18" s="400">
        <v>5</v>
      </c>
      <c r="AO18" s="401">
        <v>5</v>
      </c>
      <c r="AP18" s="400">
        <v>12</v>
      </c>
      <c r="AQ18" s="400">
        <v>-7</v>
      </c>
      <c r="AR18" s="400">
        <v>-3</v>
      </c>
      <c r="AS18" s="401">
        <v>1</v>
      </c>
      <c r="AT18" s="400">
        <v>15</v>
      </c>
      <c r="AU18" s="400">
        <v>17</v>
      </c>
    </row>
    <row r="19" spans="1:47" ht="13">
      <c r="A19" s="395" t="s">
        <v>480</v>
      </c>
      <c r="B19" s="416">
        <v>19213</v>
      </c>
      <c r="C19" s="416">
        <v>19413</v>
      </c>
      <c r="D19" s="416">
        <v>24574</v>
      </c>
      <c r="E19" s="416">
        <v>29694.783514310002</v>
      </c>
      <c r="F19" s="416">
        <v>28509</v>
      </c>
      <c r="G19" s="416">
        <v>27252</v>
      </c>
      <c r="H19" s="416">
        <v>34513</v>
      </c>
      <c r="I19" s="416">
        <v>41566</v>
      </c>
      <c r="J19" s="416">
        <v>46708</v>
      </c>
      <c r="K19" s="416">
        <v>47423</v>
      </c>
      <c r="L19" s="416">
        <v>47635</v>
      </c>
      <c r="M19" s="265"/>
      <c r="N19" s="416">
        <v>7442</v>
      </c>
      <c r="O19" s="416">
        <v>7947</v>
      </c>
      <c r="P19" s="416">
        <v>7190</v>
      </c>
      <c r="Q19" s="417">
        <v>7116</v>
      </c>
      <c r="R19" s="416">
        <v>7248</v>
      </c>
      <c r="S19" s="416">
        <v>7677</v>
      </c>
      <c r="T19" s="416">
        <v>6874</v>
      </c>
      <c r="U19" s="417">
        <v>6710</v>
      </c>
      <c r="V19" s="416">
        <v>7101</v>
      </c>
      <c r="W19" s="416">
        <v>6129</v>
      </c>
      <c r="X19" s="416">
        <v>7068</v>
      </c>
      <c r="Y19" s="417">
        <v>6954</v>
      </c>
      <c r="Z19" s="416">
        <v>7991</v>
      </c>
      <c r="AA19" s="416">
        <v>8388</v>
      </c>
      <c r="AB19" s="416">
        <v>9336</v>
      </c>
      <c r="AC19" s="417">
        <v>8798.6758246160007</v>
      </c>
      <c r="AD19" s="416">
        <v>10547</v>
      </c>
      <c r="AE19" s="416">
        <v>10566.551841625</v>
      </c>
      <c r="AF19" s="416">
        <v>9526.4974461537986</v>
      </c>
      <c r="AG19" s="417">
        <v>10925.7846083122</v>
      </c>
      <c r="AH19" s="418">
        <v>11570.379972948</v>
      </c>
      <c r="AI19" s="416">
        <v>12276</v>
      </c>
      <c r="AJ19" s="416">
        <v>11310.677860460199</v>
      </c>
      <c r="AK19" s="417">
        <v>11551.3768973348</v>
      </c>
      <c r="AL19" s="416">
        <v>11025</v>
      </c>
      <c r="AM19" s="416">
        <v>12387.9736662834</v>
      </c>
      <c r="AN19" s="416">
        <v>11829.9476389789</v>
      </c>
      <c r="AO19" s="417">
        <v>12179.8085609993</v>
      </c>
      <c r="AP19" s="416">
        <v>12377.213642696001</v>
      </c>
      <c r="AQ19" s="416">
        <v>11505.5559033386</v>
      </c>
      <c r="AR19" s="416">
        <v>11439.145796677099</v>
      </c>
      <c r="AS19" s="417">
        <v>12313.335646351599</v>
      </c>
      <c r="AT19" s="416">
        <v>14229.713230277499</v>
      </c>
      <c r="AU19" s="416">
        <v>13432.227103119301</v>
      </c>
    </row>
    <row r="20" spans="1:47" ht="9.75" customHeight="1">
      <c r="A20" s="405" t="s">
        <v>481</v>
      </c>
      <c r="B20" s="393"/>
      <c r="C20" s="393"/>
      <c r="D20" s="393"/>
      <c r="E20" s="393"/>
      <c r="F20" s="393"/>
      <c r="G20" s="393"/>
      <c r="H20" s="393"/>
      <c r="I20" s="393"/>
      <c r="J20" s="393"/>
      <c r="K20" s="393"/>
      <c r="L20" s="393"/>
      <c r="M20" s="265"/>
      <c r="N20" s="393"/>
      <c r="O20" s="393"/>
      <c r="P20" s="393"/>
      <c r="Q20" s="394"/>
      <c r="R20" s="393"/>
      <c r="S20" s="393"/>
      <c r="T20" s="393"/>
      <c r="U20" s="394"/>
      <c r="V20" s="393"/>
      <c r="W20" s="393"/>
      <c r="X20" s="393"/>
      <c r="Y20" s="403"/>
      <c r="Z20" s="393"/>
      <c r="AA20" s="393"/>
      <c r="AB20" s="393"/>
      <c r="AC20" s="403"/>
      <c r="AD20" s="393">
        <v>14</v>
      </c>
      <c r="AE20" s="393">
        <v>-7</v>
      </c>
      <c r="AF20" s="393">
        <v>-14</v>
      </c>
      <c r="AG20" s="403">
        <v>6</v>
      </c>
      <c r="AH20" s="393">
        <v>5</v>
      </c>
      <c r="AI20" s="416">
        <v>2</v>
      </c>
      <c r="AJ20" s="416">
        <v>-7</v>
      </c>
      <c r="AK20" s="403">
        <v>5</v>
      </c>
      <c r="AL20" s="393">
        <v>-1</v>
      </c>
      <c r="AM20" s="393">
        <v>9</v>
      </c>
      <c r="AN20" s="393">
        <v>-2</v>
      </c>
      <c r="AO20" s="403">
        <v>1</v>
      </c>
      <c r="AP20" s="393">
        <v>4.5999999999999996</v>
      </c>
      <c r="AQ20" s="393">
        <v>2.1</v>
      </c>
      <c r="AR20" s="393">
        <v>0.4</v>
      </c>
      <c r="AS20" s="403">
        <v>8.4774999999999991</v>
      </c>
      <c r="AT20" s="393">
        <v>17.399999999999999</v>
      </c>
      <c r="AU20" s="393">
        <v>-8.6</v>
      </c>
    </row>
    <row r="21" spans="1:47" ht="13">
      <c r="A21" s="419" t="s">
        <v>482</v>
      </c>
      <c r="B21" s="420"/>
      <c r="C21" s="420"/>
      <c r="D21" s="420"/>
      <c r="E21" s="420"/>
      <c r="F21" s="420"/>
      <c r="G21" s="420"/>
      <c r="H21" s="420"/>
      <c r="I21" s="420"/>
      <c r="J21" s="420"/>
      <c r="K21" s="420"/>
      <c r="L21" s="420"/>
      <c r="M21" s="31"/>
      <c r="N21" s="420"/>
      <c r="O21" s="420"/>
      <c r="P21" s="420"/>
      <c r="Q21" s="403"/>
      <c r="R21" s="420"/>
      <c r="S21" s="420"/>
      <c r="T21" s="420"/>
      <c r="U21" s="403"/>
      <c r="V21" s="420"/>
      <c r="W21" s="420"/>
      <c r="X21" s="420"/>
      <c r="Y21" s="403"/>
      <c r="Z21" s="420"/>
      <c r="AA21" s="420"/>
      <c r="AB21" s="420" t="s">
        <v>486</v>
      </c>
      <c r="AC21" s="403" t="s">
        <v>489</v>
      </c>
      <c r="AD21" s="420" t="s">
        <v>489</v>
      </c>
      <c r="AE21" s="420" t="s">
        <v>486</v>
      </c>
      <c r="AF21" s="31" t="s">
        <v>489</v>
      </c>
      <c r="AG21" s="403" t="s">
        <v>490</v>
      </c>
      <c r="AH21" s="420" t="s">
        <v>489</v>
      </c>
      <c r="AI21" s="420" t="s">
        <v>489</v>
      </c>
      <c r="AJ21" s="420" t="s">
        <v>489</v>
      </c>
      <c r="AK21" s="403" t="s">
        <v>489</v>
      </c>
      <c r="AL21" s="420"/>
      <c r="AM21" s="420"/>
      <c r="AN21" s="420"/>
      <c r="AO21" s="403"/>
      <c r="AP21" s="420"/>
      <c r="AQ21" s="420"/>
      <c r="AR21" s="420"/>
      <c r="AS21" s="403"/>
      <c r="AT21" s="420"/>
      <c r="AU21" s="420"/>
    </row>
    <row r="22" spans="1:47" ht="13">
      <c r="A22" s="395"/>
      <c r="B22" s="396"/>
      <c r="C22" s="396"/>
      <c r="D22" s="384"/>
      <c r="E22" s="396"/>
      <c r="F22" s="396"/>
      <c r="G22" s="396"/>
      <c r="H22" s="396"/>
      <c r="I22" s="396"/>
      <c r="J22" s="396"/>
      <c r="K22" s="396"/>
      <c r="L22" s="396"/>
      <c r="M22" s="265"/>
      <c r="N22" s="396"/>
      <c r="O22" s="384"/>
      <c r="P22" s="384"/>
      <c r="Q22" s="385"/>
      <c r="R22" s="396"/>
      <c r="S22" s="384"/>
      <c r="T22" s="384"/>
      <c r="U22" s="385"/>
      <c r="V22" s="396"/>
      <c r="W22" s="396"/>
      <c r="X22" s="396"/>
      <c r="Y22" s="397"/>
      <c r="Z22" s="396"/>
      <c r="AA22" s="396"/>
      <c r="AB22" s="396"/>
      <c r="AC22" s="397"/>
      <c r="AD22" s="396"/>
      <c r="AE22" s="396"/>
      <c r="AF22" s="396"/>
      <c r="AG22" s="397"/>
      <c r="AH22" s="396"/>
      <c r="AI22" s="396"/>
      <c r="AJ22" s="396"/>
      <c r="AK22" s="397"/>
      <c r="AL22" s="396"/>
      <c r="AM22" s="396"/>
      <c r="AN22" s="396"/>
      <c r="AO22" s="397"/>
      <c r="AP22" s="396"/>
      <c r="AQ22" s="396"/>
      <c r="AR22" s="396"/>
      <c r="AS22" s="397"/>
      <c r="AT22" s="396"/>
      <c r="AU22" s="396"/>
    </row>
    <row r="23" spans="1:47" ht="13">
      <c r="A23" s="415" t="s">
        <v>334</v>
      </c>
      <c r="B23" s="389">
        <v>2015</v>
      </c>
      <c r="C23" s="389">
        <v>2016</v>
      </c>
      <c r="D23" s="389">
        <v>2017</v>
      </c>
      <c r="E23" s="389">
        <v>2018</v>
      </c>
      <c r="F23" s="389">
        <v>2019</v>
      </c>
      <c r="G23" s="389">
        <v>2020</v>
      </c>
      <c r="H23" s="389">
        <v>2021</v>
      </c>
      <c r="I23" s="389">
        <v>2022</v>
      </c>
      <c r="J23" s="389">
        <v>2023</v>
      </c>
      <c r="K23" s="389">
        <v>2024</v>
      </c>
      <c r="L23" s="389">
        <v>2025</v>
      </c>
      <c r="M23" s="390"/>
      <c r="N23" s="389" t="s">
        <v>128</v>
      </c>
      <c r="O23" s="389" t="s">
        <v>129</v>
      </c>
      <c r="P23" s="389" t="s">
        <v>130</v>
      </c>
      <c r="Q23" s="391" t="s">
        <v>131</v>
      </c>
      <c r="R23" s="389" t="s">
        <v>132</v>
      </c>
      <c r="S23" s="389" t="s">
        <v>133</v>
      </c>
      <c r="T23" s="389" t="s">
        <v>134</v>
      </c>
      <c r="U23" s="391" t="s">
        <v>135</v>
      </c>
      <c r="V23" s="389" t="s">
        <v>136</v>
      </c>
      <c r="W23" s="389" t="s">
        <v>137</v>
      </c>
      <c r="X23" s="389" t="s">
        <v>138</v>
      </c>
      <c r="Y23" s="391" t="s">
        <v>139</v>
      </c>
      <c r="Z23" s="389" t="s">
        <v>140</v>
      </c>
      <c r="AA23" s="389" t="s">
        <v>141</v>
      </c>
      <c r="AB23" s="389" t="s">
        <v>142</v>
      </c>
      <c r="AC23" s="391" t="s">
        <v>143</v>
      </c>
      <c r="AD23" s="389" t="s">
        <v>144</v>
      </c>
      <c r="AE23" s="389" t="s">
        <v>145</v>
      </c>
      <c r="AF23" s="389" t="s">
        <v>146</v>
      </c>
      <c r="AG23" s="391" t="s">
        <v>147</v>
      </c>
      <c r="AH23" s="389" t="s">
        <v>148</v>
      </c>
      <c r="AI23" s="389" t="s">
        <v>149</v>
      </c>
      <c r="AJ23" s="389" t="s">
        <v>150</v>
      </c>
      <c r="AK23" s="391" t="s">
        <v>151</v>
      </c>
      <c r="AL23" s="389" t="s">
        <v>152</v>
      </c>
      <c r="AM23" s="389" t="s">
        <v>153</v>
      </c>
      <c r="AN23" s="389" t="s">
        <v>154</v>
      </c>
      <c r="AO23" s="391" t="s">
        <v>155</v>
      </c>
      <c r="AP23" s="389" t="s">
        <v>156</v>
      </c>
      <c r="AQ23" s="389" t="s">
        <v>157</v>
      </c>
      <c r="AR23" s="389" t="s">
        <v>158</v>
      </c>
      <c r="AS23" s="391" t="s">
        <v>820</v>
      </c>
      <c r="AT23" s="389" t="s">
        <v>1275</v>
      </c>
      <c r="AU23" s="389" t="s">
        <v>1344</v>
      </c>
    </row>
    <row r="24" spans="1:47" ht="13">
      <c r="A24" s="392" t="s">
        <v>475</v>
      </c>
      <c r="B24" s="416">
        <v>9042</v>
      </c>
      <c r="C24" s="416">
        <v>7776</v>
      </c>
      <c r="D24" s="416">
        <v>8505</v>
      </c>
      <c r="E24" s="416">
        <v>12245.390259563095</v>
      </c>
      <c r="F24" s="416">
        <v>15244</v>
      </c>
      <c r="G24" s="416">
        <v>12355</v>
      </c>
      <c r="H24" s="416">
        <v>11326</v>
      </c>
      <c r="I24" s="416">
        <v>16402</v>
      </c>
      <c r="J24" s="416">
        <v>18314</v>
      </c>
      <c r="K24" s="416">
        <v>20218</v>
      </c>
      <c r="L24" s="416">
        <v>20102</v>
      </c>
      <c r="M24" s="265"/>
      <c r="N24" s="416">
        <v>3147</v>
      </c>
      <c r="O24" s="416">
        <v>3142</v>
      </c>
      <c r="P24" s="416">
        <v>3281</v>
      </c>
      <c r="Q24" s="417">
        <v>2676</v>
      </c>
      <c r="R24" s="416">
        <v>4054</v>
      </c>
      <c r="S24" s="416">
        <v>4234</v>
      </c>
      <c r="T24" s="416">
        <v>3601</v>
      </c>
      <c r="U24" s="417">
        <v>3355</v>
      </c>
      <c r="V24" s="416">
        <v>3442</v>
      </c>
      <c r="W24" s="416">
        <v>3580</v>
      </c>
      <c r="X24" s="416">
        <v>2727</v>
      </c>
      <c r="Y24" s="417">
        <v>2606</v>
      </c>
      <c r="Z24" s="416">
        <v>2850</v>
      </c>
      <c r="AA24" s="416">
        <v>2410</v>
      </c>
      <c r="AB24" s="416">
        <v>3099</v>
      </c>
      <c r="AC24" s="417">
        <v>2966.8275951098999</v>
      </c>
      <c r="AD24" s="416">
        <v>4028</v>
      </c>
      <c r="AE24" s="416">
        <v>4030.6095123400992</v>
      </c>
      <c r="AF24" s="416">
        <v>4532.4801173631004</v>
      </c>
      <c r="AG24" s="417">
        <v>3812.0690948048004</v>
      </c>
      <c r="AH24" s="416">
        <v>5537.0618158543002</v>
      </c>
      <c r="AI24" s="416">
        <v>5012</v>
      </c>
      <c r="AJ24" s="416">
        <v>3701.9869424073004</v>
      </c>
      <c r="AK24" s="417">
        <v>4063.2596197312005</v>
      </c>
      <c r="AL24" s="416">
        <v>5151</v>
      </c>
      <c r="AM24" s="416">
        <v>5404.0296979431005</v>
      </c>
      <c r="AN24" s="416">
        <v>4739</v>
      </c>
      <c r="AO24" s="417">
        <v>4922.7257207490002</v>
      </c>
      <c r="AP24" s="416">
        <v>4404.4101382397002</v>
      </c>
      <c r="AQ24" s="416">
        <v>5405.6293657841006</v>
      </c>
      <c r="AR24" s="416">
        <v>5170.3375722871997</v>
      </c>
      <c r="AS24" s="417">
        <v>5121.5287045519999</v>
      </c>
      <c r="AT24" s="416">
        <v>5721.8356697284999</v>
      </c>
      <c r="AU24" s="416">
        <v>5008.8522625669993</v>
      </c>
    </row>
    <row r="25" spans="1:47" ht="13">
      <c r="A25" s="395" t="s">
        <v>476</v>
      </c>
      <c r="B25" s="396">
        <v>-19.8</v>
      </c>
      <c r="C25" s="396">
        <v>11.1</v>
      </c>
      <c r="D25" s="396">
        <v>41.7</v>
      </c>
      <c r="E25" s="396">
        <v>20</v>
      </c>
      <c r="F25" s="396">
        <v>-20</v>
      </c>
      <c r="G25" s="396">
        <v>-2</v>
      </c>
      <c r="H25" s="396">
        <v>47</v>
      </c>
      <c r="I25" s="396">
        <v>-5</v>
      </c>
      <c r="J25" s="396">
        <v>-1</v>
      </c>
      <c r="K25" s="396">
        <v>-1</v>
      </c>
      <c r="L25" s="396">
        <v>15</v>
      </c>
      <c r="M25" s="265"/>
      <c r="N25" s="396">
        <v>30</v>
      </c>
      <c r="O25" s="396">
        <v>30.723707310660561</v>
      </c>
      <c r="P25" s="396">
        <v>2</v>
      </c>
      <c r="Q25" s="397">
        <v>17</v>
      </c>
      <c r="R25" s="396">
        <v>-16</v>
      </c>
      <c r="S25" s="396">
        <v>-15</v>
      </c>
      <c r="T25" s="396">
        <v>-27</v>
      </c>
      <c r="U25" s="397">
        <v>-22</v>
      </c>
      <c r="V25" s="396">
        <v>-17</v>
      </c>
      <c r="W25" s="396">
        <v>-29</v>
      </c>
      <c r="X25" s="396">
        <v>25</v>
      </c>
      <c r="Y25" s="397">
        <v>26</v>
      </c>
      <c r="Z25" s="396">
        <v>55</v>
      </c>
      <c r="AA25" s="396">
        <v>76</v>
      </c>
      <c r="AB25" s="396">
        <v>43</v>
      </c>
      <c r="AC25" s="397">
        <v>20</v>
      </c>
      <c r="AD25" s="396">
        <v>18</v>
      </c>
      <c r="AE25" s="396">
        <v>5</v>
      </c>
      <c r="AF25" s="396">
        <v>-33</v>
      </c>
      <c r="AG25" s="397">
        <v>-10</v>
      </c>
      <c r="AH25" s="396">
        <v>-16</v>
      </c>
      <c r="AI25" s="396">
        <v>-6</v>
      </c>
      <c r="AJ25" s="396">
        <v>14</v>
      </c>
      <c r="AK25" s="397">
        <v>13</v>
      </c>
      <c r="AL25" s="396">
        <v>-16</v>
      </c>
      <c r="AM25" s="396">
        <v>2</v>
      </c>
      <c r="AN25" s="396">
        <v>11</v>
      </c>
      <c r="AO25" s="397">
        <v>1</v>
      </c>
      <c r="AP25" s="396">
        <v>29</v>
      </c>
      <c r="AQ25" s="396">
        <v>2</v>
      </c>
      <c r="AR25" s="396">
        <v>10</v>
      </c>
      <c r="AS25" s="397">
        <v>22</v>
      </c>
      <c r="AT25" s="396">
        <v>44</v>
      </c>
      <c r="AU25" s="396">
        <v>30</v>
      </c>
    </row>
    <row r="26" spans="1:47" ht="13">
      <c r="A26" s="395" t="s">
        <v>477</v>
      </c>
      <c r="B26" s="396">
        <v>6</v>
      </c>
      <c r="C26" s="396">
        <v>-2</v>
      </c>
      <c r="D26" s="396">
        <v>1</v>
      </c>
      <c r="E26" s="396">
        <v>1.1222959087038848</v>
      </c>
      <c r="F26" s="396">
        <v>3</v>
      </c>
      <c r="G26" s="396">
        <v>-5.8192707990658423</v>
      </c>
      <c r="H26" s="396">
        <v>-5.1189507344259244</v>
      </c>
      <c r="I26" s="396">
        <v>9</v>
      </c>
      <c r="J26" s="396">
        <v>2.8867511763427904</v>
      </c>
      <c r="K26" s="396">
        <v>-1.7816200198845711</v>
      </c>
      <c r="L26" s="396">
        <v>-7.8795427569242262</v>
      </c>
      <c r="M26" s="265"/>
      <c r="N26" s="396">
        <v>-5</v>
      </c>
      <c r="O26" s="396">
        <v>0.39649341578796293</v>
      </c>
      <c r="P26" s="396">
        <v>5.4845110024117769</v>
      </c>
      <c r="Q26" s="397">
        <v>3.7707250410714237</v>
      </c>
      <c r="R26" s="396">
        <v>3.2005019985570424</v>
      </c>
      <c r="S26" s="396">
        <v>2.1166473258183012</v>
      </c>
      <c r="T26" s="396">
        <v>4.8987598459338875</v>
      </c>
      <c r="U26" s="397">
        <v>2</v>
      </c>
      <c r="V26" s="396">
        <v>1</v>
      </c>
      <c r="W26" s="396">
        <v>-3.8271830616205178</v>
      </c>
      <c r="X26" s="396">
        <v>-11.430755955441871</v>
      </c>
      <c r="Y26" s="397">
        <v>-11.933172875144413</v>
      </c>
      <c r="Z26" s="396">
        <v>-13.592251655464372</v>
      </c>
      <c r="AA26" s="396">
        <v>-11.782262783389378</v>
      </c>
      <c r="AB26" s="396">
        <v>-0.87471123039490406</v>
      </c>
      <c r="AC26" s="397">
        <v>3.9888566663125955</v>
      </c>
      <c r="AD26" s="396">
        <v>8.6228234737894809</v>
      </c>
      <c r="AE26" s="396">
        <v>9.9592702507085793</v>
      </c>
      <c r="AF26" s="396">
        <v>8.8948648297398023</v>
      </c>
      <c r="AG26" s="397">
        <v>9.9549562615993104</v>
      </c>
      <c r="AH26" s="396">
        <v>5.2638525408026249</v>
      </c>
      <c r="AI26" s="396">
        <v>3</v>
      </c>
      <c r="AJ26" s="396">
        <v>2.6081839130162972</v>
      </c>
      <c r="AK26" s="397">
        <v>-0.23803183721841087</v>
      </c>
      <c r="AL26" s="396">
        <v>-3</v>
      </c>
      <c r="AM26" s="396">
        <v>-1.0316557267947311</v>
      </c>
      <c r="AN26" s="396">
        <v>-4.4782626315746139</v>
      </c>
      <c r="AO26" s="397">
        <v>1.0326791486249831</v>
      </c>
      <c r="AP26" s="396">
        <v>0.61729172631194451</v>
      </c>
      <c r="AQ26" s="396">
        <v>-8.9951543972425405</v>
      </c>
      <c r="AR26" s="396">
        <v>-8.7458757631717443</v>
      </c>
      <c r="AS26" s="397">
        <v>-13.13394560159152</v>
      </c>
      <c r="AT26" s="396">
        <v>-13.922181975455331</v>
      </c>
      <c r="AU26" s="396">
        <v>5.894802703664187E-2</v>
      </c>
    </row>
    <row r="27" spans="1:47" ht="13">
      <c r="A27" s="395" t="s">
        <v>478</v>
      </c>
      <c r="B27" s="396">
        <v>0</v>
      </c>
      <c r="C27" s="396">
        <v>0</v>
      </c>
      <c r="D27" s="396">
        <v>0.5</v>
      </c>
      <c r="E27" s="396">
        <v>3.3790560327373638</v>
      </c>
      <c r="F27" s="396">
        <v>-2</v>
      </c>
      <c r="G27" s="396">
        <v>-0.12159949177316953</v>
      </c>
      <c r="H27" s="396">
        <v>2.8024229909191805</v>
      </c>
      <c r="I27" s="396">
        <v>1</v>
      </c>
      <c r="J27" s="396">
        <v>2.7102766694204821</v>
      </c>
      <c r="K27" s="396">
        <v>1.8429293752438674</v>
      </c>
      <c r="L27" s="396">
        <v>2.9999989324182855E-2</v>
      </c>
      <c r="M27" s="265"/>
      <c r="N27" s="396">
        <v>4</v>
      </c>
      <c r="O27" s="396">
        <v>4</v>
      </c>
      <c r="P27" s="396">
        <v>2.5396778447715604</v>
      </c>
      <c r="Q27" s="397">
        <v>4.1031829385226102</v>
      </c>
      <c r="R27" s="396">
        <v>-1.5883761518782293</v>
      </c>
      <c r="S27" s="396">
        <v>-2.3100681733279953</v>
      </c>
      <c r="T27" s="396">
        <v>-1.9689297631817679</v>
      </c>
      <c r="U27" s="397">
        <v>-2</v>
      </c>
      <c r="V27" s="396">
        <v>-1</v>
      </c>
      <c r="W27" s="396">
        <v>-3.4125783463196377E-2</v>
      </c>
      <c r="X27" s="396">
        <v>0.38160796996696583</v>
      </c>
      <c r="Y27" s="397">
        <v>-0.22483749333106273</v>
      </c>
      <c r="Z27" s="396">
        <v>0.17058680123355985</v>
      </c>
      <c r="AA27" s="396">
        <v>3.0848186305235905</v>
      </c>
      <c r="AB27" s="396">
        <v>3.9560878595138051</v>
      </c>
      <c r="AC27" s="397">
        <v>4.2238694211942569</v>
      </c>
      <c r="AD27" s="396">
        <v>2.5642075476430435</v>
      </c>
      <c r="AE27" s="396">
        <v>1.0434627813296138</v>
      </c>
      <c r="AF27" s="396">
        <v>0.4747368511903885</v>
      </c>
      <c r="AG27" s="397">
        <v>-1.1646227163222223E-2</v>
      </c>
      <c r="AH27" s="396">
        <v>0.2607559735018472</v>
      </c>
      <c r="AI27" s="396">
        <v>5</v>
      </c>
      <c r="AJ27" s="396">
        <v>3.6663122586607741</v>
      </c>
      <c r="AK27" s="397">
        <v>2.1911712926847113</v>
      </c>
      <c r="AL27" s="396">
        <v>5</v>
      </c>
      <c r="AM27" s="396">
        <v>-1.0447457108773732</v>
      </c>
      <c r="AN27" s="396">
        <v>1.9939485406536663</v>
      </c>
      <c r="AO27" s="397">
        <v>1.9598790017844119</v>
      </c>
      <c r="AP27" s="396">
        <v>6.81135476906109E-12</v>
      </c>
      <c r="AQ27" s="396">
        <v>3.5721464964328122E-7</v>
      </c>
      <c r="AR27" s="396">
        <v>-3.734765811714272E-7</v>
      </c>
      <c r="AS27" s="397">
        <v>-4.1901551739671812E-8</v>
      </c>
      <c r="AT27" s="396">
        <v>-0.98989510492683475</v>
      </c>
      <c r="AU27" s="396">
        <v>-1.1308013939599078</v>
      </c>
    </row>
    <row r="28" spans="1:47" ht="13">
      <c r="A28" s="399" t="s">
        <v>479</v>
      </c>
      <c r="B28" s="400">
        <v>-14</v>
      </c>
      <c r="C28" s="400">
        <v>9</v>
      </c>
      <c r="D28" s="400">
        <v>44</v>
      </c>
      <c r="E28" s="400">
        <v>24</v>
      </c>
      <c r="F28" s="400">
        <v>-19</v>
      </c>
      <c r="G28" s="400">
        <v>-8</v>
      </c>
      <c r="H28" s="400">
        <v>45</v>
      </c>
      <c r="I28" s="400">
        <v>5</v>
      </c>
      <c r="J28" s="400">
        <v>5</v>
      </c>
      <c r="K28" s="400">
        <v>-1</v>
      </c>
      <c r="L28" s="400">
        <v>7</v>
      </c>
      <c r="M28" s="265"/>
      <c r="N28" s="400">
        <v>29</v>
      </c>
      <c r="O28" s="400">
        <v>35</v>
      </c>
      <c r="P28" s="400">
        <v>10</v>
      </c>
      <c r="Q28" s="401">
        <v>25</v>
      </c>
      <c r="R28" s="400">
        <v>-15</v>
      </c>
      <c r="S28" s="400">
        <v>-15</v>
      </c>
      <c r="T28" s="400">
        <v>-24</v>
      </c>
      <c r="U28" s="401">
        <v>-22</v>
      </c>
      <c r="V28" s="400">
        <v>-17</v>
      </c>
      <c r="W28" s="400">
        <v>-33</v>
      </c>
      <c r="X28" s="400">
        <v>14</v>
      </c>
      <c r="Y28" s="401">
        <v>14</v>
      </c>
      <c r="Z28" s="400">
        <v>41</v>
      </c>
      <c r="AA28" s="400">
        <v>67</v>
      </c>
      <c r="AB28" s="400">
        <v>46</v>
      </c>
      <c r="AC28" s="401">
        <v>28</v>
      </c>
      <c r="AD28" s="400">
        <v>30</v>
      </c>
      <c r="AE28" s="400">
        <v>16</v>
      </c>
      <c r="AF28" s="400">
        <v>-24</v>
      </c>
      <c r="AG28" s="401">
        <v>0</v>
      </c>
      <c r="AH28" s="400">
        <v>-11</v>
      </c>
      <c r="AI28" s="400">
        <v>2</v>
      </c>
      <c r="AJ28" s="400">
        <v>21</v>
      </c>
      <c r="AK28" s="401">
        <v>15</v>
      </c>
      <c r="AL28" s="400">
        <v>-14</v>
      </c>
      <c r="AM28" s="400">
        <v>0</v>
      </c>
      <c r="AN28" s="400">
        <v>9.1</v>
      </c>
      <c r="AO28" s="401">
        <v>4</v>
      </c>
      <c r="AP28" s="400">
        <v>30</v>
      </c>
      <c r="AQ28" s="400">
        <v>-7</v>
      </c>
      <c r="AR28" s="400">
        <v>1</v>
      </c>
      <c r="AS28" s="401">
        <v>9</v>
      </c>
      <c r="AT28" s="400">
        <v>29</v>
      </c>
      <c r="AU28" s="400">
        <v>29</v>
      </c>
    </row>
    <row r="29" spans="1:47" ht="13">
      <c r="A29" s="395" t="s">
        <v>480</v>
      </c>
      <c r="B29" s="416">
        <v>7776</v>
      </c>
      <c r="C29" s="416">
        <v>8505</v>
      </c>
      <c r="D29" s="416">
        <v>12245</v>
      </c>
      <c r="E29" s="416">
        <v>15243.9871176177</v>
      </c>
      <c r="F29" s="416">
        <v>12355</v>
      </c>
      <c r="G29" s="416">
        <v>11326</v>
      </c>
      <c r="H29" s="416">
        <v>16403</v>
      </c>
      <c r="I29" s="416">
        <v>17189</v>
      </c>
      <c r="J29" s="416">
        <v>19221</v>
      </c>
      <c r="K29" s="416">
        <v>20102</v>
      </c>
      <c r="L29" s="416">
        <v>21553</v>
      </c>
      <c r="M29" s="265"/>
      <c r="N29" s="416">
        <v>4054</v>
      </c>
      <c r="O29" s="416">
        <v>4234</v>
      </c>
      <c r="P29" s="416">
        <v>3601</v>
      </c>
      <c r="Q29" s="417">
        <v>3355</v>
      </c>
      <c r="R29" s="416">
        <v>3442</v>
      </c>
      <c r="S29" s="416">
        <v>3580</v>
      </c>
      <c r="T29" s="416">
        <v>2727</v>
      </c>
      <c r="U29" s="417">
        <v>2606</v>
      </c>
      <c r="V29" s="416">
        <v>2850</v>
      </c>
      <c r="W29" s="416">
        <v>2410</v>
      </c>
      <c r="X29" s="416">
        <v>3099</v>
      </c>
      <c r="Y29" s="417">
        <v>2967</v>
      </c>
      <c r="Z29" s="416">
        <v>4028</v>
      </c>
      <c r="AA29" s="416">
        <v>4031</v>
      </c>
      <c r="AB29" s="416">
        <v>4532</v>
      </c>
      <c r="AC29" s="417">
        <v>3812.0690948051006</v>
      </c>
      <c r="AD29" s="416">
        <v>5244</v>
      </c>
      <c r="AE29" s="416">
        <v>4682.2110083405996</v>
      </c>
      <c r="AF29" s="416">
        <v>3436.7604440964988</v>
      </c>
      <c r="AG29" s="417">
        <v>3825.9849258151007</v>
      </c>
      <c r="AH29" s="416">
        <v>4936.626141024999</v>
      </c>
      <c r="AI29" s="416">
        <v>5109</v>
      </c>
      <c r="AJ29" s="416">
        <v>4487.1110507396979</v>
      </c>
      <c r="AK29" s="417">
        <v>4687.1638479654994</v>
      </c>
      <c r="AL29" s="416">
        <v>4404</v>
      </c>
      <c r="AM29" s="416">
        <v>5405.6293657843007</v>
      </c>
      <c r="AN29" s="416">
        <v>5170</v>
      </c>
      <c r="AO29" s="417">
        <v>5121.0287045519999</v>
      </c>
      <c r="AP29" s="416">
        <v>5721.8356697285999</v>
      </c>
      <c r="AQ29" s="416">
        <v>5008.8522625667993</v>
      </c>
      <c r="AR29" s="416">
        <v>5217.1680333576996</v>
      </c>
      <c r="AS29" s="417">
        <v>5604.9522226538993</v>
      </c>
      <c r="AT29" s="416">
        <v>7409.7525027499987</v>
      </c>
      <c r="AU29" s="416">
        <v>6467.3453453196016</v>
      </c>
    </row>
    <row r="30" spans="1:47" ht="13">
      <c r="A30" s="395"/>
      <c r="B30" s="396"/>
      <c r="C30" s="396"/>
      <c r="D30" s="384"/>
      <c r="E30" s="396"/>
      <c r="F30" s="396"/>
      <c r="G30" s="396"/>
      <c r="H30" s="396"/>
      <c r="I30" s="396"/>
      <c r="J30" s="396"/>
      <c r="K30" s="396"/>
      <c r="L30" s="396"/>
      <c r="M30" s="265"/>
      <c r="N30" s="396"/>
      <c r="O30" s="384"/>
      <c r="P30" s="384"/>
      <c r="Q30" s="385"/>
      <c r="R30" s="396"/>
      <c r="S30" s="384"/>
      <c r="T30" s="384"/>
      <c r="U30" s="385"/>
      <c r="V30" s="396"/>
      <c r="W30" s="396"/>
      <c r="X30" s="396"/>
      <c r="Y30" s="397"/>
      <c r="Z30" s="396"/>
      <c r="AA30" s="396"/>
      <c r="AB30" s="396"/>
      <c r="AC30" s="397"/>
      <c r="AD30" s="396"/>
      <c r="AE30" s="396"/>
      <c r="AF30" s="396"/>
      <c r="AG30" s="397"/>
      <c r="AH30" s="396"/>
      <c r="AI30" s="396"/>
      <c r="AJ30" s="396"/>
      <c r="AK30" s="397"/>
      <c r="AL30" s="396"/>
      <c r="AM30" s="396"/>
      <c r="AN30" s="396"/>
      <c r="AO30" s="397"/>
      <c r="AP30" s="396"/>
      <c r="AQ30" s="396"/>
      <c r="AR30" s="396"/>
      <c r="AS30" s="397"/>
      <c r="AT30" s="396"/>
      <c r="AU30" s="396"/>
    </row>
    <row r="31" spans="1:47" ht="13">
      <c r="A31" s="415" t="s">
        <v>295</v>
      </c>
      <c r="B31" s="389">
        <v>2015</v>
      </c>
      <c r="C31" s="389">
        <v>2016</v>
      </c>
      <c r="D31" s="389">
        <v>2017</v>
      </c>
      <c r="E31" s="389">
        <v>2018</v>
      </c>
      <c r="F31" s="389">
        <v>2019</v>
      </c>
      <c r="G31" s="389">
        <v>2020</v>
      </c>
      <c r="H31" s="389">
        <v>2021</v>
      </c>
      <c r="I31" s="389">
        <v>2022</v>
      </c>
      <c r="J31" s="389">
        <v>2023</v>
      </c>
      <c r="K31" s="389">
        <v>2024</v>
      </c>
      <c r="L31" s="389">
        <v>2025</v>
      </c>
      <c r="M31" s="390"/>
      <c r="N31" s="389" t="s">
        <v>128</v>
      </c>
      <c r="O31" s="389" t="s">
        <v>129</v>
      </c>
      <c r="P31" s="389" t="s">
        <v>130</v>
      </c>
      <c r="Q31" s="391" t="s">
        <v>131</v>
      </c>
      <c r="R31" s="389" t="s">
        <v>132</v>
      </c>
      <c r="S31" s="389" t="s">
        <v>133</v>
      </c>
      <c r="T31" s="389" t="s">
        <v>134</v>
      </c>
      <c r="U31" s="391" t="s">
        <v>135</v>
      </c>
      <c r="V31" s="389" t="s">
        <v>136</v>
      </c>
      <c r="W31" s="389" t="s">
        <v>137</v>
      </c>
      <c r="X31" s="389" t="s">
        <v>138</v>
      </c>
      <c r="Y31" s="391" t="s">
        <v>139</v>
      </c>
      <c r="Z31" s="389" t="s">
        <v>140</v>
      </c>
      <c r="AA31" s="389" t="s">
        <v>141</v>
      </c>
      <c r="AB31" s="389" t="s">
        <v>142</v>
      </c>
      <c r="AC31" s="391" t="s">
        <v>143</v>
      </c>
      <c r="AD31" s="389" t="s">
        <v>144</v>
      </c>
      <c r="AE31" s="389" t="s">
        <v>145</v>
      </c>
      <c r="AF31" s="389" t="s">
        <v>146</v>
      </c>
      <c r="AG31" s="391" t="s">
        <v>147</v>
      </c>
      <c r="AH31" s="389" t="s">
        <v>148</v>
      </c>
      <c r="AI31" s="389" t="s">
        <v>149</v>
      </c>
      <c r="AJ31" s="389" t="s">
        <v>150</v>
      </c>
      <c r="AK31" s="391" t="s">
        <v>151</v>
      </c>
      <c r="AL31" s="389" t="s">
        <v>152</v>
      </c>
      <c r="AM31" s="389" t="s">
        <v>153</v>
      </c>
      <c r="AN31" s="389" t="s">
        <v>154</v>
      </c>
      <c r="AO31" s="391" t="s">
        <v>155</v>
      </c>
      <c r="AP31" s="389" t="s">
        <v>156</v>
      </c>
      <c r="AQ31" s="389" t="s">
        <v>157</v>
      </c>
      <c r="AR31" s="389" t="s">
        <v>158</v>
      </c>
      <c r="AS31" s="391" t="s">
        <v>820</v>
      </c>
      <c r="AT31" s="389" t="s">
        <v>1275</v>
      </c>
      <c r="AU31" s="389" t="s">
        <v>1344</v>
      </c>
    </row>
    <row r="32" spans="1:47" ht="13">
      <c r="A32" s="392" t="s">
        <v>475</v>
      </c>
      <c r="B32" s="416">
        <v>10482</v>
      </c>
      <c r="C32" s="416">
        <v>11437</v>
      </c>
      <c r="D32" s="416">
        <v>10907</v>
      </c>
      <c r="E32" s="416">
        <v>12328.214251528601</v>
      </c>
      <c r="F32" s="416">
        <v>14451</v>
      </c>
      <c r="G32" s="416">
        <v>16154</v>
      </c>
      <c r="H32" s="416">
        <v>15926</v>
      </c>
      <c r="I32" s="416">
        <v>18110</v>
      </c>
      <c r="J32" s="416">
        <v>24377</v>
      </c>
      <c r="K32" s="416">
        <v>26460</v>
      </c>
      <c r="L32" s="416">
        <v>27321</v>
      </c>
      <c r="M32" s="265"/>
      <c r="N32" s="416">
        <v>3053</v>
      </c>
      <c r="O32" s="416">
        <v>3181</v>
      </c>
      <c r="P32" s="416">
        <v>2982</v>
      </c>
      <c r="Q32" s="417">
        <v>3112</v>
      </c>
      <c r="R32" s="416">
        <v>3388</v>
      </c>
      <c r="S32" s="416">
        <v>3713</v>
      </c>
      <c r="T32" s="416">
        <v>3589</v>
      </c>
      <c r="U32" s="417">
        <v>3761</v>
      </c>
      <c r="V32" s="416">
        <v>3806</v>
      </c>
      <c r="W32" s="416">
        <v>4097</v>
      </c>
      <c r="X32" s="416">
        <v>4147</v>
      </c>
      <c r="Y32" s="417">
        <v>4104</v>
      </c>
      <c r="Z32" s="416">
        <v>4251</v>
      </c>
      <c r="AA32" s="416">
        <v>3719</v>
      </c>
      <c r="AB32" s="416">
        <v>3969</v>
      </c>
      <c r="AC32" s="417">
        <v>3986.9041790248998</v>
      </c>
      <c r="AD32" s="416">
        <v>3963</v>
      </c>
      <c r="AE32" s="416">
        <v>4356.0312141433005</v>
      </c>
      <c r="AF32" s="416">
        <v>4803.9061457886</v>
      </c>
      <c r="AG32" s="417">
        <v>4986.6067298109001</v>
      </c>
      <c r="AH32" s="416">
        <v>5302.8571037078</v>
      </c>
      <c r="AI32" s="416">
        <v>5885</v>
      </c>
      <c r="AJ32" s="416">
        <v>6088.7370020572998</v>
      </c>
      <c r="AK32" s="417">
        <v>7099.9996088362996</v>
      </c>
      <c r="AL32" s="416">
        <v>6388</v>
      </c>
      <c r="AM32" s="416">
        <v>6871.6558525118999</v>
      </c>
      <c r="AN32" s="416">
        <v>6571.7114311847999</v>
      </c>
      <c r="AO32" s="417">
        <v>6628.8511765861003</v>
      </c>
      <c r="AP32" s="416">
        <v>6620.6400749158001</v>
      </c>
      <c r="AQ32" s="416">
        <v>6982.3443004990995</v>
      </c>
      <c r="AR32" s="416">
        <v>6659.6100666918001</v>
      </c>
      <c r="AS32" s="417">
        <v>7058.2798564472996</v>
      </c>
      <c r="AT32" s="416">
        <v>6655.3779729674006</v>
      </c>
      <c r="AU32" s="416">
        <v>6496.7036407718006</v>
      </c>
    </row>
    <row r="33" spans="1:47" ht="13">
      <c r="A33" s="395" t="s">
        <v>476</v>
      </c>
      <c r="B33" s="396">
        <v>3.3</v>
      </c>
      <c r="C33" s="396">
        <v>-1.5</v>
      </c>
      <c r="D33" s="396">
        <v>11</v>
      </c>
      <c r="E33" s="396">
        <v>14</v>
      </c>
      <c r="F33" s="396">
        <v>8</v>
      </c>
      <c r="G33" s="396">
        <v>7</v>
      </c>
      <c r="H33" s="396">
        <v>15</v>
      </c>
      <c r="I33" s="396">
        <v>13</v>
      </c>
      <c r="J33" s="396">
        <v>5</v>
      </c>
      <c r="K33" s="396">
        <v>6</v>
      </c>
      <c r="L33" s="396">
        <v>3</v>
      </c>
      <c r="M33" s="265"/>
      <c r="N33" s="396">
        <v>14.586022131384713</v>
      </c>
      <c r="O33" s="421">
        <v>14.312795112846995</v>
      </c>
      <c r="P33" s="421">
        <v>13</v>
      </c>
      <c r="Q33" s="422">
        <v>16</v>
      </c>
      <c r="R33" s="396">
        <v>8</v>
      </c>
      <c r="S33" s="421">
        <v>7</v>
      </c>
      <c r="T33" s="421">
        <v>11</v>
      </c>
      <c r="U33" s="422">
        <v>6</v>
      </c>
      <c r="V33" s="396">
        <v>12</v>
      </c>
      <c r="W33" s="396">
        <v>-3</v>
      </c>
      <c r="X33" s="396">
        <v>9</v>
      </c>
      <c r="Y33" s="397">
        <v>9</v>
      </c>
      <c r="Z33" s="396">
        <v>4</v>
      </c>
      <c r="AA33" s="396">
        <v>26</v>
      </c>
      <c r="AB33" s="396">
        <v>13</v>
      </c>
      <c r="AC33" s="397">
        <v>19</v>
      </c>
      <c r="AD33" s="396">
        <v>22</v>
      </c>
      <c r="AE33" s="396">
        <v>14</v>
      </c>
      <c r="AF33" s="396">
        <v>12</v>
      </c>
      <c r="AG33" s="397">
        <v>4</v>
      </c>
      <c r="AH33" s="396">
        <v>6</v>
      </c>
      <c r="AI33" s="396">
        <v>5</v>
      </c>
      <c r="AJ33" s="396">
        <v>5</v>
      </c>
      <c r="AK33" s="397">
        <v>6</v>
      </c>
      <c r="AL33" s="396">
        <v>9</v>
      </c>
      <c r="AM33" s="396">
        <v>5</v>
      </c>
      <c r="AN33" s="396">
        <v>6</v>
      </c>
      <c r="AO33" s="397">
        <v>7</v>
      </c>
      <c r="AP33" s="396">
        <v>1</v>
      </c>
      <c r="AQ33" s="396">
        <v>3</v>
      </c>
      <c r="AR33" s="396">
        <v>2</v>
      </c>
      <c r="AS33" s="397">
        <v>6</v>
      </c>
      <c r="AT33" s="396">
        <v>12</v>
      </c>
      <c r="AU33" s="396">
        <v>6</v>
      </c>
    </row>
    <row r="34" spans="1:47" ht="13">
      <c r="A34" s="395" t="s">
        <v>477</v>
      </c>
      <c r="B34" s="396">
        <v>6</v>
      </c>
      <c r="C34" s="396">
        <v>-3</v>
      </c>
      <c r="D34" s="396">
        <v>2</v>
      </c>
      <c r="E34" s="396">
        <v>0.20554883890468861</v>
      </c>
      <c r="F34" s="396">
        <v>4</v>
      </c>
      <c r="G34" s="396">
        <v>-7.9531815178996572</v>
      </c>
      <c r="H34" s="396">
        <v>-4.2814495236376651</v>
      </c>
      <c r="I34" s="396">
        <v>12</v>
      </c>
      <c r="J34" s="396">
        <v>2.8268109229667786</v>
      </c>
      <c r="K34" s="396">
        <v>-2.2606505108352901</v>
      </c>
      <c r="L34" s="396">
        <v>-7.6173234682628914</v>
      </c>
      <c r="M34" s="265"/>
      <c r="N34" s="396">
        <v>-5.5400152177288042</v>
      </c>
      <c r="O34" s="396">
        <v>2.1765875169604269E-3</v>
      </c>
      <c r="P34" s="396">
        <v>4.2461084118082013</v>
      </c>
      <c r="Q34" s="397">
        <v>1.957213530912558</v>
      </c>
      <c r="R34" s="396">
        <v>3.8284425768942048</v>
      </c>
      <c r="S34" s="396">
        <v>2.1164773209626255</v>
      </c>
      <c r="T34" s="396">
        <v>5.4857284788174328</v>
      </c>
      <c r="U34" s="397">
        <v>3</v>
      </c>
      <c r="V34" s="396">
        <v>0</v>
      </c>
      <c r="W34" s="396">
        <v>-6.0597309006097246</v>
      </c>
      <c r="X34" s="396">
        <v>-12.784015729787622</v>
      </c>
      <c r="Y34" s="397">
        <v>-12.395470617802449</v>
      </c>
      <c r="Z34" s="396">
        <v>-10.706444598378459</v>
      </c>
      <c r="AA34" s="396">
        <v>-8.6801016790722318</v>
      </c>
      <c r="AB34" s="396">
        <v>0.13054359190531967</v>
      </c>
      <c r="AC34" s="397">
        <v>2.2790204049053098</v>
      </c>
      <c r="AD34" s="396">
        <v>8.0122403948673906</v>
      </c>
      <c r="AE34" s="396">
        <v>11.00930371238152</v>
      </c>
      <c r="AF34" s="396">
        <v>14.566938902534291</v>
      </c>
      <c r="AG34" s="397">
        <v>12.815659296637591</v>
      </c>
      <c r="AH34" s="396">
        <v>7.1089961477168186</v>
      </c>
      <c r="AI34" s="396">
        <v>5</v>
      </c>
      <c r="AJ34" s="396">
        <v>1.159369283230226</v>
      </c>
      <c r="AK34" s="397">
        <v>-0.93271480196919532</v>
      </c>
      <c r="AL34" s="396">
        <v>-3</v>
      </c>
      <c r="AM34" s="396">
        <v>-1.6899960775210414</v>
      </c>
      <c r="AN34" s="396">
        <v>-3.7184572727989704</v>
      </c>
      <c r="AO34" s="397">
        <v>-0.36457773099005286</v>
      </c>
      <c r="AP34" s="396">
        <v>-0.23735143203355377</v>
      </c>
      <c r="AQ34" s="396">
        <v>-9.6340682957572916</v>
      </c>
      <c r="AR34" s="396">
        <v>-8.8888694233168746</v>
      </c>
      <c r="AS34" s="397">
        <v>-11.345475485097451</v>
      </c>
      <c r="AT34" s="396">
        <v>-11.05888045480128</v>
      </c>
      <c r="AU34" s="396">
        <v>0</v>
      </c>
    </row>
    <row r="35" spans="1:47" ht="13">
      <c r="A35" s="395" t="s">
        <v>478</v>
      </c>
      <c r="B35" s="396">
        <v>0</v>
      </c>
      <c r="C35" s="396">
        <v>0</v>
      </c>
      <c r="D35" s="396">
        <v>0.3</v>
      </c>
      <c r="E35" s="396">
        <v>2.5332334222718198</v>
      </c>
      <c r="F35" s="396">
        <v>0</v>
      </c>
      <c r="G35" s="396">
        <v>0.10607846699928622</v>
      </c>
      <c r="H35" s="396">
        <v>3.1038695978260256</v>
      </c>
      <c r="I35" s="396">
        <v>10</v>
      </c>
      <c r="J35" s="396">
        <v>4.8391971995015179</v>
      </c>
      <c r="K35" s="396">
        <v>-1.1336410020398526</v>
      </c>
      <c r="L35" s="396">
        <v>9.0404253965391645E-2</v>
      </c>
      <c r="M35" s="265"/>
      <c r="N35" s="396">
        <v>2</v>
      </c>
      <c r="O35" s="396">
        <v>3</v>
      </c>
      <c r="P35" s="396">
        <v>2.8734392118831722</v>
      </c>
      <c r="Q35" s="397">
        <v>2.9242258010112425</v>
      </c>
      <c r="R35" s="396">
        <v>0.45460653825999908</v>
      </c>
      <c r="S35" s="396">
        <v>0.60053449553701088</v>
      </c>
      <c r="T35" s="396">
        <v>0.39286064059843262</v>
      </c>
      <c r="U35" s="397">
        <v>0</v>
      </c>
      <c r="V35" s="396">
        <v>0</v>
      </c>
      <c r="W35" s="396">
        <v>0</v>
      </c>
      <c r="X35" s="396">
        <v>7.5010747319582419E-2</v>
      </c>
      <c r="Y35" s="397">
        <v>0.24968235141237682</v>
      </c>
      <c r="Z35" s="396">
        <v>0.20092758105282674</v>
      </c>
      <c r="AA35" s="396">
        <v>0.35825790510248584</v>
      </c>
      <c r="AB35" s="396">
        <v>7.7168720401789779</v>
      </c>
      <c r="AC35" s="397">
        <v>4.1670129673678922</v>
      </c>
      <c r="AD35" s="396">
        <v>4.4871523303978558</v>
      </c>
      <c r="AE35" s="396">
        <v>9.5230369784000697</v>
      </c>
      <c r="AF35" s="396">
        <v>0.46669356140636342</v>
      </c>
      <c r="AG35" s="397">
        <v>25.417842290510244</v>
      </c>
      <c r="AH35" s="398">
        <v>12.493831444191732</v>
      </c>
      <c r="AI35" s="396">
        <v>12</v>
      </c>
      <c r="AJ35" s="396">
        <v>5.7521500377641708</v>
      </c>
      <c r="AK35" s="397">
        <v>-7.885053552577002</v>
      </c>
      <c r="AL35" s="396">
        <v>-2</v>
      </c>
      <c r="AM35" s="396">
        <v>-0.87381563723903088</v>
      </c>
      <c r="AN35" s="396">
        <v>-0.93711896979775067</v>
      </c>
      <c r="AO35" s="397">
        <v>-0.9769729881423117</v>
      </c>
      <c r="AP35" s="396">
        <v>0.37212239796940372</v>
      </c>
      <c r="AQ35" s="396">
        <v>-4.3953719093752317E-3</v>
      </c>
      <c r="AR35" s="396">
        <v>7.1160322489483624E-3</v>
      </c>
      <c r="AS35" s="397">
        <v>-1.4762803702777496E-3</v>
      </c>
      <c r="AT35" s="396">
        <v>0.85457762786147606</v>
      </c>
      <c r="AU35" s="396">
        <v>1</v>
      </c>
    </row>
    <row r="36" spans="1:47" ht="13">
      <c r="A36" s="399" t="s">
        <v>479</v>
      </c>
      <c r="B36" s="400">
        <v>9</v>
      </c>
      <c r="C36" s="400">
        <v>-5</v>
      </c>
      <c r="D36" s="400">
        <v>13</v>
      </c>
      <c r="E36" s="400">
        <v>17</v>
      </c>
      <c r="F36" s="400">
        <v>12</v>
      </c>
      <c r="G36" s="400">
        <v>-1</v>
      </c>
      <c r="H36" s="400">
        <v>14</v>
      </c>
      <c r="I36" s="400">
        <v>35</v>
      </c>
      <c r="J36" s="400">
        <v>13</v>
      </c>
      <c r="K36" s="400">
        <v>3</v>
      </c>
      <c r="L36" s="400">
        <v>-5</v>
      </c>
      <c r="M36" s="265"/>
      <c r="N36" s="400">
        <v>11</v>
      </c>
      <c r="O36" s="400">
        <v>17</v>
      </c>
      <c r="P36" s="400">
        <v>20</v>
      </c>
      <c r="Q36" s="401">
        <v>21</v>
      </c>
      <c r="R36" s="400">
        <v>12</v>
      </c>
      <c r="S36" s="400">
        <v>10</v>
      </c>
      <c r="T36" s="400">
        <v>16</v>
      </c>
      <c r="U36" s="401">
        <v>9</v>
      </c>
      <c r="V36" s="400">
        <v>12</v>
      </c>
      <c r="W36" s="400">
        <v>-9</v>
      </c>
      <c r="X36" s="400">
        <v>-4</v>
      </c>
      <c r="Y36" s="401">
        <v>-3</v>
      </c>
      <c r="Z36" s="400">
        <v>-7</v>
      </c>
      <c r="AA36" s="400">
        <v>17</v>
      </c>
      <c r="AB36" s="400">
        <v>21</v>
      </c>
      <c r="AC36" s="401">
        <v>25</v>
      </c>
      <c r="AD36" s="400">
        <v>34</v>
      </c>
      <c r="AE36" s="400">
        <v>35</v>
      </c>
      <c r="AF36" s="400">
        <v>27</v>
      </c>
      <c r="AG36" s="401">
        <v>42</v>
      </c>
      <c r="AH36" s="402">
        <v>25</v>
      </c>
      <c r="AI36" s="400">
        <v>22</v>
      </c>
      <c r="AJ36" s="400">
        <v>12</v>
      </c>
      <c r="AK36" s="401">
        <v>-3</v>
      </c>
      <c r="AL36" s="400">
        <v>4</v>
      </c>
      <c r="AM36" s="400">
        <v>2</v>
      </c>
      <c r="AN36" s="400">
        <v>1</v>
      </c>
      <c r="AO36" s="401">
        <v>6</v>
      </c>
      <c r="AP36" s="400">
        <v>1</v>
      </c>
      <c r="AQ36" s="400">
        <v>-7</v>
      </c>
      <c r="AR36" s="400">
        <v>-7</v>
      </c>
      <c r="AS36" s="401">
        <v>-5</v>
      </c>
      <c r="AT36" s="400">
        <v>2</v>
      </c>
      <c r="AU36" s="400">
        <v>7</v>
      </c>
    </row>
    <row r="37" spans="1:47" ht="13">
      <c r="A37" s="395" t="s">
        <v>480</v>
      </c>
      <c r="B37" s="416">
        <v>11437</v>
      </c>
      <c r="C37" s="416">
        <v>10907</v>
      </c>
      <c r="D37" s="416">
        <v>12328</v>
      </c>
      <c r="E37" s="416">
        <v>14450.796396692302</v>
      </c>
      <c r="F37" s="416">
        <v>16154</v>
      </c>
      <c r="G37" s="416">
        <v>15926</v>
      </c>
      <c r="H37" s="416">
        <v>18110</v>
      </c>
      <c r="I37" s="416">
        <v>24377</v>
      </c>
      <c r="J37" s="416">
        <v>27487</v>
      </c>
      <c r="K37" s="416">
        <v>27321</v>
      </c>
      <c r="L37" s="416">
        <v>26082</v>
      </c>
      <c r="M37" s="265"/>
      <c r="N37" s="416">
        <v>3388</v>
      </c>
      <c r="O37" s="416">
        <v>3713</v>
      </c>
      <c r="P37" s="416">
        <v>3589</v>
      </c>
      <c r="Q37" s="417">
        <v>3761</v>
      </c>
      <c r="R37" s="416">
        <v>3806</v>
      </c>
      <c r="S37" s="416">
        <v>4097</v>
      </c>
      <c r="T37" s="416">
        <v>4147</v>
      </c>
      <c r="U37" s="417">
        <v>4104</v>
      </c>
      <c r="V37" s="416">
        <v>4251</v>
      </c>
      <c r="W37" s="416">
        <v>3719</v>
      </c>
      <c r="X37" s="416">
        <v>3969</v>
      </c>
      <c r="Y37" s="417">
        <v>3987</v>
      </c>
      <c r="Z37" s="416">
        <v>3963</v>
      </c>
      <c r="AA37" s="416">
        <v>4357</v>
      </c>
      <c r="AB37" s="416">
        <v>4804</v>
      </c>
      <c r="AC37" s="417">
        <v>4986.6067298109001</v>
      </c>
      <c r="AD37" s="416">
        <v>5303</v>
      </c>
      <c r="AE37" s="416">
        <v>5885.3408332844001</v>
      </c>
      <c r="AF37" s="416">
        <v>6088.7370020572998</v>
      </c>
      <c r="AG37" s="417">
        <v>7099.7996824970996</v>
      </c>
      <c r="AH37" s="418">
        <v>6632.7538319230007</v>
      </c>
      <c r="AI37" s="416">
        <v>7167</v>
      </c>
      <c r="AJ37" s="416">
        <v>6823.5668097205007</v>
      </c>
      <c r="AK37" s="417">
        <v>6864.2130493693003</v>
      </c>
      <c r="AL37" s="416">
        <v>6621</v>
      </c>
      <c r="AM37" s="416">
        <v>6982.3443004990995</v>
      </c>
      <c r="AN37" s="416">
        <v>6659.6100666918001</v>
      </c>
      <c r="AO37" s="417">
        <v>7058.7798564472996</v>
      </c>
      <c r="AP37" s="416">
        <v>6655.3779729674006</v>
      </c>
      <c r="AQ37" s="416">
        <v>6496.7036407718006</v>
      </c>
      <c r="AR37" s="416">
        <v>6221.9777633193999</v>
      </c>
      <c r="AS37" s="417">
        <v>6708.3834236977</v>
      </c>
      <c r="AT37" s="416">
        <v>6819.9607275275002</v>
      </c>
      <c r="AU37" s="416">
        <v>6964.8817577996997</v>
      </c>
    </row>
    <row r="38" spans="1:47" ht="13">
      <c r="A38" s="395"/>
      <c r="B38" s="396"/>
      <c r="C38" s="396"/>
      <c r="D38" s="396"/>
      <c r="E38" s="396"/>
      <c r="F38" s="396"/>
      <c r="G38" s="396"/>
      <c r="H38" s="396"/>
      <c r="I38" s="396"/>
      <c r="J38" s="396"/>
      <c r="K38" s="396"/>
      <c r="L38" s="396"/>
      <c r="M38" s="265"/>
      <c r="N38" s="396"/>
      <c r="O38" s="396"/>
      <c r="P38" s="396"/>
      <c r="Q38" s="397"/>
      <c r="R38" s="396"/>
      <c r="S38" s="396"/>
      <c r="T38" s="396"/>
      <c r="U38" s="397"/>
      <c r="V38" s="396"/>
      <c r="W38" s="396"/>
      <c r="X38" s="396"/>
      <c r="Y38" s="397"/>
      <c r="Z38" s="396"/>
      <c r="AA38" s="396"/>
      <c r="AB38" s="396"/>
      <c r="AC38" s="397"/>
      <c r="AD38" s="396"/>
      <c r="AE38" s="396"/>
      <c r="AF38" s="396"/>
      <c r="AG38" s="397"/>
      <c r="AH38" s="396"/>
      <c r="AI38" s="396"/>
      <c r="AJ38" s="396"/>
      <c r="AK38" s="397"/>
      <c r="AL38" s="396"/>
      <c r="AM38" s="396"/>
      <c r="AN38" s="396"/>
      <c r="AO38" s="397"/>
      <c r="AP38" s="396"/>
      <c r="AQ38" s="396"/>
      <c r="AR38" s="396"/>
      <c r="AS38" s="397"/>
      <c r="AT38" s="396"/>
      <c r="AU38" s="396"/>
    </row>
    <row r="39" spans="1:47" ht="13">
      <c r="A39" s="415" t="s">
        <v>296</v>
      </c>
      <c r="B39" s="389">
        <v>2015</v>
      </c>
      <c r="C39" s="389">
        <v>2016</v>
      </c>
      <c r="D39" s="389">
        <v>2017</v>
      </c>
      <c r="E39" s="389">
        <v>2018</v>
      </c>
      <c r="F39" s="389">
        <v>2019</v>
      </c>
      <c r="G39" s="389">
        <v>2020</v>
      </c>
      <c r="H39" s="389">
        <v>2021</v>
      </c>
      <c r="I39" s="389">
        <v>2022</v>
      </c>
      <c r="J39" s="389">
        <v>2023</v>
      </c>
      <c r="K39" s="389">
        <v>2024</v>
      </c>
      <c r="L39" s="389">
        <v>2025</v>
      </c>
      <c r="M39" s="390"/>
      <c r="N39" s="389" t="s">
        <v>128</v>
      </c>
      <c r="O39" s="389" t="s">
        <v>129</v>
      </c>
      <c r="P39" s="389" t="s">
        <v>130</v>
      </c>
      <c r="Q39" s="391" t="s">
        <v>131</v>
      </c>
      <c r="R39" s="389" t="s">
        <v>132</v>
      </c>
      <c r="S39" s="389" t="s">
        <v>133</v>
      </c>
      <c r="T39" s="389" t="s">
        <v>134</v>
      </c>
      <c r="U39" s="391" t="s">
        <v>135</v>
      </c>
      <c r="V39" s="389" t="s">
        <v>136</v>
      </c>
      <c r="W39" s="389" t="s">
        <v>137</v>
      </c>
      <c r="X39" s="389" t="s">
        <v>138</v>
      </c>
      <c r="Y39" s="391" t="s">
        <v>139</v>
      </c>
      <c r="Z39" s="389" t="s">
        <v>140</v>
      </c>
      <c r="AA39" s="389" t="s">
        <v>141</v>
      </c>
      <c r="AB39" s="389" t="s">
        <v>142</v>
      </c>
      <c r="AC39" s="391" t="s">
        <v>143</v>
      </c>
      <c r="AD39" s="389" t="s">
        <v>144</v>
      </c>
      <c r="AE39" s="389" t="s">
        <v>145</v>
      </c>
      <c r="AF39" s="389" t="s">
        <v>146</v>
      </c>
      <c r="AG39" s="391" t="s">
        <v>147</v>
      </c>
      <c r="AH39" s="389" t="s">
        <v>148</v>
      </c>
      <c r="AI39" s="389" t="s">
        <v>149</v>
      </c>
      <c r="AJ39" s="389" t="s">
        <v>150</v>
      </c>
      <c r="AK39" s="391" t="s">
        <v>151</v>
      </c>
      <c r="AL39" s="389" t="s">
        <v>152</v>
      </c>
      <c r="AM39" s="389" t="s">
        <v>153</v>
      </c>
      <c r="AN39" s="389" t="s">
        <v>154</v>
      </c>
      <c r="AO39" s="391" t="s">
        <v>155</v>
      </c>
      <c r="AP39" s="389" t="s">
        <v>156</v>
      </c>
      <c r="AQ39" s="389" t="s">
        <v>157</v>
      </c>
      <c r="AR39" s="389" t="s">
        <v>158</v>
      </c>
      <c r="AS39" s="391" t="s">
        <v>820</v>
      </c>
      <c r="AT39" s="389" t="s">
        <v>1275</v>
      </c>
      <c r="AU39" s="389" t="s">
        <v>1344</v>
      </c>
    </row>
    <row r="40" spans="1:47" ht="13">
      <c r="A40" s="392" t="s">
        <v>475</v>
      </c>
      <c r="B40" s="393">
        <v>7819</v>
      </c>
      <c r="C40" s="393">
        <v>8109</v>
      </c>
      <c r="D40" s="393">
        <v>7947</v>
      </c>
      <c r="E40" s="393">
        <v>9046.9119178254005</v>
      </c>
      <c r="F40" s="393">
        <v>9611</v>
      </c>
      <c r="G40" s="393">
        <v>10767</v>
      </c>
      <c r="H40" s="393">
        <v>9185</v>
      </c>
      <c r="I40" s="393">
        <v>11025</v>
      </c>
      <c r="J40" s="393">
        <v>10670</v>
      </c>
      <c r="K40" s="393">
        <v>12064</v>
      </c>
      <c r="L40" s="393">
        <v>14663</v>
      </c>
      <c r="M40" s="265"/>
      <c r="N40" s="393">
        <v>2341</v>
      </c>
      <c r="O40" s="393">
        <v>2270</v>
      </c>
      <c r="P40" s="393">
        <v>2239</v>
      </c>
      <c r="Q40" s="394">
        <v>2197</v>
      </c>
      <c r="R40" s="393">
        <v>2550</v>
      </c>
      <c r="S40" s="393">
        <v>2470</v>
      </c>
      <c r="T40" s="393">
        <v>2285</v>
      </c>
      <c r="U40" s="394">
        <v>2306</v>
      </c>
      <c r="V40" s="393">
        <v>2760</v>
      </c>
      <c r="W40" s="393">
        <v>2826</v>
      </c>
      <c r="X40" s="393">
        <v>2665</v>
      </c>
      <c r="Y40" s="394">
        <v>2517</v>
      </c>
      <c r="Z40" s="393">
        <v>2619</v>
      </c>
      <c r="AA40" s="393">
        <v>1980</v>
      </c>
      <c r="AB40" s="393">
        <v>2249</v>
      </c>
      <c r="AC40" s="394">
        <v>2336.7296487217</v>
      </c>
      <c r="AD40" s="393">
        <v>2674</v>
      </c>
      <c r="AE40" s="393">
        <v>2678.1897058862</v>
      </c>
      <c r="AF40" s="393">
        <v>2865.7169198725001</v>
      </c>
      <c r="AG40" s="394">
        <v>2806.7545752073001</v>
      </c>
      <c r="AH40" s="393">
        <v>2969.734969355</v>
      </c>
      <c r="AI40" s="393">
        <v>2495</v>
      </c>
      <c r="AJ40" s="393">
        <v>2501.9835914729001</v>
      </c>
      <c r="AK40" s="394">
        <v>2702.5942401177999</v>
      </c>
      <c r="AL40" s="393">
        <v>3133</v>
      </c>
      <c r="AM40" s="393">
        <v>3179.7004841978001</v>
      </c>
      <c r="AN40" s="393">
        <v>2924.4664529245001</v>
      </c>
      <c r="AO40" s="394">
        <v>2826.5591424526001</v>
      </c>
      <c r="AP40" s="393">
        <v>3121.6294955535</v>
      </c>
      <c r="AQ40" s="393">
        <v>3946.5945244220998</v>
      </c>
      <c r="AR40" s="393">
        <v>3656.4140737458001</v>
      </c>
      <c r="AS40" s="394">
        <v>3937.7525133743998</v>
      </c>
      <c r="AT40" s="393">
        <v>4187.0443860788</v>
      </c>
      <c r="AU40" s="393">
        <v>3743.1885320718002</v>
      </c>
    </row>
    <row r="41" spans="1:47" ht="13">
      <c r="A41" s="395" t="s">
        <v>476</v>
      </c>
      <c r="B41" s="396">
        <v>-3.3</v>
      </c>
      <c r="C41" s="396">
        <v>0.2</v>
      </c>
      <c r="D41" s="396">
        <v>10.7</v>
      </c>
      <c r="E41" s="396">
        <v>4</v>
      </c>
      <c r="F41" s="396">
        <v>-3</v>
      </c>
      <c r="G41" s="396">
        <v>-7</v>
      </c>
      <c r="H41" s="396">
        <v>20</v>
      </c>
      <c r="I41" s="396">
        <v>-4</v>
      </c>
      <c r="J41" s="396">
        <v>-4</v>
      </c>
      <c r="K41" s="396">
        <v>-1</v>
      </c>
      <c r="L41" s="396">
        <v>3</v>
      </c>
      <c r="M41" s="265"/>
      <c r="N41" s="396">
        <v>13</v>
      </c>
      <c r="O41" s="396">
        <v>6.4912047924012608</v>
      </c>
      <c r="P41" s="396">
        <v>-4</v>
      </c>
      <c r="Q41" s="397">
        <v>1</v>
      </c>
      <c r="R41" s="396">
        <v>-1</v>
      </c>
      <c r="S41" s="396">
        <v>-2</v>
      </c>
      <c r="T41" s="396">
        <v>-3</v>
      </c>
      <c r="U41" s="397">
        <v>-4</v>
      </c>
      <c r="V41" s="396">
        <v>-7</v>
      </c>
      <c r="W41" s="396">
        <v>-22</v>
      </c>
      <c r="X41" s="396">
        <v>-3</v>
      </c>
      <c r="Y41" s="397">
        <v>5</v>
      </c>
      <c r="Z41" s="396">
        <v>14</v>
      </c>
      <c r="AA41" s="396">
        <v>42</v>
      </c>
      <c r="AB41" s="396">
        <v>14</v>
      </c>
      <c r="AC41" s="397">
        <v>16</v>
      </c>
      <c r="AD41" s="396">
        <v>11</v>
      </c>
      <c r="AE41" s="396">
        <v>-8</v>
      </c>
      <c r="AF41" s="396">
        <v>-10</v>
      </c>
      <c r="AG41" s="397">
        <v>-7</v>
      </c>
      <c r="AH41" s="396">
        <v>-10</v>
      </c>
      <c r="AI41" s="396">
        <v>-1</v>
      </c>
      <c r="AJ41" s="396">
        <v>2</v>
      </c>
      <c r="AK41" s="397">
        <v>-6</v>
      </c>
      <c r="AL41" s="396">
        <v>-1</v>
      </c>
      <c r="AM41" s="396">
        <v>-6</v>
      </c>
      <c r="AN41" s="396">
        <v>0</v>
      </c>
      <c r="AO41" s="397">
        <v>3</v>
      </c>
      <c r="AP41" s="396">
        <v>2</v>
      </c>
      <c r="AQ41" s="396">
        <v>2</v>
      </c>
      <c r="AR41" s="396">
        <v>8</v>
      </c>
      <c r="AS41" s="397">
        <v>4</v>
      </c>
      <c r="AT41" s="396">
        <v>9</v>
      </c>
      <c r="AU41" s="396">
        <v>4</v>
      </c>
    </row>
    <row r="42" spans="1:47" ht="13">
      <c r="A42" s="395" t="s">
        <v>477</v>
      </c>
      <c r="B42" s="396">
        <v>7</v>
      </c>
      <c r="C42" s="396">
        <v>-2</v>
      </c>
      <c r="D42" s="396">
        <v>2</v>
      </c>
      <c r="E42" s="396">
        <v>1.1586400491804034</v>
      </c>
      <c r="F42" s="396">
        <v>4</v>
      </c>
      <c r="G42" s="396">
        <v>-5.971418616766071</v>
      </c>
      <c r="H42" s="396">
        <v>-4.083182608544794</v>
      </c>
      <c r="I42" s="396">
        <v>10</v>
      </c>
      <c r="J42" s="396">
        <v>1.8871423424659326</v>
      </c>
      <c r="K42" s="396">
        <v>-1.2789383460010324</v>
      </c>
      <c r="L42" s="396">
        <v>-7.4183976753818284</v>
      </c>
      <c r="M42" s="265"/>
      <c r="N42" s="396">
        <v>-5</v>
      </c>
      <c r="O42" s="396">
        <v>1.6220011635119005</v>
      </c>
      <c r="P42" s="396">
        <v>4.5202872883908931</v>
      </c>
      <c r="Q42" s="397">
        <v>3.3255581517195836</v>
      </c>
      <c r="R42" s="396">
        <v>4.2654307786442214</v>
      </c>
      <c r="S42" s="396">
        <v>2.42606750478497</v>
      </c>
      <c r="T42" s="396">
        <v>5.3119620897946387</v>
      </c>
      <c r="U42" s="397">
        <v>3</v>
      </c>
      <c r="V42" s="396">
        <v>2</v>
      </c>
      <c r="W42" s="396">
        <v>-3.9657663695967322</v>
      </c>
      <c r="X42" s="396">
        <v>-10.629186939252701</v>
      </c>
      <c r="Y42" s="397">
        <v>-11.172206583033395</v>
      </c>
      <c r="Z42" s="396">
        <v>-11.588156910275133</v>
      </c>
      <c r="AA42" s="396">
        <v>-7.3044925465504642</v>
      </c>
      <c r="AB42" s="396">
        <v>2.2885422220546401</v>
      </c>
      <c r="AC42" s="397">
        <v>0.92564885192998547</v>
      </c>
      <c r="AD42" s="396">
        <v>7.5606167218913791</v>
      </c>
      <c r="AE42" s="396">
        <v>9.0928274090434282</v>
      </c>
      <c r="AF42" s="396">
        <v>11.653780883098058</v>
      </c>
      <c r="AG42" s="397">
        <v>9.9677228808328753</v>
      </c>
      <c r="AH42" s="396">
        <v>4.9636051196080748</v>
      </c>
      <c r="AI42" s="396">
        <v>3</v>
      </c>
      <c r="AJ42" s="396">
        <v>0.48977256283228221</v>
      </c>
      <c r="AK42" s="397">
        <v>-1.2133929898359495</v>
      </c>
      <c r="AL42" s="396">
        <v>-2</v>
      </c>
      <c r="AM42" s="396">
        <v>-0.61653814045777544</v>
      </c>
      <c r="AN42" s="396">
        <v>-3.4200063187536953</v>
      </c>
      <c r="AO42" s="397">
        <v>1.3149713190309902</v>
      </c>
      <c r="AP42" s="396">
        <v>-1.5795791515372335E-3</v>
      </c>
      <c r="AQ42" s="396">
        <v>-8.8946880061716609</v>
      </c>
      <c r="AR42" s="396">
        <v>-8.0807836706281453</v>
      </c>
      <c r="AS42" s="397">
        <v>-11.204122814166604</v>
      </c>
      <c r="AT42" s="396">
        <v>-11.498147258373475</v>
      </c>
      <c r="AU42" s="396">
        <v>-1</v>
      </c>
    </row>
    <row r="43" spans="1:47" ht="13">
      <c r="A43" s="395" t="s">
        <v>478</v>
      </c>
      <c r="B43" s="396">
        <v>0.1</v>
      </c>
      <c r="C43" s="396">
        <v>0</v>
      </c>
      <c r="D43" s="396">
        <v>1.1000000000000001</v>
      </c>
      <c r="E43" s="396">
        <v>0.86727794334444475</v>
      </c>
      <c r="F43" s="396">
        <v>11</v>
      </c>
      <c r="G43" s="396">
        <v>-1.7595896260006456</v>
      </c>
      <c r="H43" s="396">
        <v>3.5080348587870707</v>
      </c>
      <c r="I43" s="396">
        <v>1</v>
      </c>
      <c r="J43" s="396">
        <v>19.303569655857988</v>
      </c>
      <c r="K43" s="396">
        <v>24.092480809260437</v>
      </c>
      <c r="L43" s="396">
        <v>7.7261422678038398</v>
      </c>
      <c r="M43" s="265"/>
      <c r="N43" s="396">
        <v>1</v>
      </c>
      <c r="O43" s="396">
        <v>1</v>
      </c>
      <c r="P43" s="396">
        <v>1.3710515320232382</v>
      </c>
      <c r="Q43" s="397">
        <v>0.50981290958297043</v>
      </c>
      <c r="R43" s="396">
        <v>5.467123022559643</v>
      </c>
      <c r="S43" s="396">
        <v>14.203290021702189</v>
      </c>
      <c r="T43" s="396">
        <v>14.732231754079745</v>
      </c>
      <c r="U43" s="397">
        <v>10</v>
      </c>
      <c r="V43" s="396">
        <v>0</v>
      </c>
      <c r="W43" s="396">
        <v>-4.4901305826913047</v>
      </c>
      <c r="X43" s="396">
        <v>-1.8777001908363027</v>
      </c>
      <c r="Y43" s="397">
        <v>-0.70748613713816344</v>
      </c>
      <c r="Z43" s="396">
        <v>0</v>
      </c>
      <c r="AA43" s="396">
        <v>0</v>
      </c>
      <c r="AB43" s="396">
        <v>10.871206150999994</v>
      </c>
      <c r="AC43" s="397">
        <v>3.3254085674142364</v>
      </c>
      <c r="AD43" s="396">
        <v>3.1725313915130671</v>
      </c>
      <c r="AE43" s="396">
        <v>3.7352494999714074</v>
      </c>
      <c r="AF43" s="396">
        <v>-5.1811017976718343</v>
      </c>
      <c r="AG43" s="397">
        <v>2.2015052470045848</v>
      </c>
      <c r="AH43" s="398">
        <v>24.136204449664248</v>
      </c>
      <c r="AI43" s="396">
        <v>25</v>
      </c>
      <c r="AJ43" s="396">
        <v>15.283953967095467</v>
      </c>
      <c r="AK43" s="397">
        <v>12.044235082711193</v>
      </c>
      <c r="AL43" s="396">
        <v>3</v>
      </c>
      <c r="AM43" s="396">
        <v>31.36507463028898</v>
      </c>
      <c r="AN43" s="396">
        <v>27.744695347820585</v>
      </c>
      <c r="AO43" s="397">
        <v>35.098620150635561</v>
      </c>
      <c r="AP43" s="396">
        <v>32.484298568677495</v>
      </c>
      <c r="AQ43" s="396">
        <v>2.0596695461843231</v>
      </c>
      <c r="AR43" s="396">
        <v>1.0525494284615748</v>
      </c>
      <c r="AS43" s="397">
        <v>-2.3966812850593901E-2</v>
      </c>
      <c r="AT43" s="396">
        <v>0</v>
      </c>
      <c r="AU43" s="396">
        <v>0</v>
      </c>
    </row>
    <row r="44" spans="1:47" ht="13">
      <c r="A44" s="399" t="s">
        <v>479</v>
      </c>
      <c r="B44" s="400">
        <v>4</v>
      </c>
      <c r="C44" s="400">
        <v>-2</v>
      </c>
      <c r="D44" s="400">
        <v>14</v>
      </c>
      <c r="E44" s="400">
        <v>6</v>
      </c>
      <c r="F44" s="400">
        <v>12</v>
      </c>
      <c r="G44" s="400">
        <v>-15</v>
      </c>
      <c r="H44" s="400">
        <v>20</v>
      </c>
      <c r="I44" s="400">
        <v>7</v>
      </c>
      <c r="J44" s="400">
        <v>17</v>
      </c>
      <c r="K44" s="400">
        <v>22</v>
      </c>
      <c r="L44" s="400">
        <v>4</v>
      </c>
      <c r="M44" s="265"/>
      <c r="N44" s="400">
        <v>9</v>
      </c>
      <c r="O44" s="400">
        <v>9</v>
      </c>
      <c r="P44" s="400">
        <v>2</v>
      </c>
      <c r="Q44" s="401">
        <v>5</v>
      </c>
      <c r="R44" s="400">
        <v>8</v>
      </c>
      <c r="S44" s="400">
        <v>14</v>
      </c>
      <c r="T44" s="400">
        <v>17</v>
      </c>
      <c r="U44" s="401">
        <v>9</v>
      </c>
      <c r="V44" s="400">
        <v>-5</v>
      </c>
      <c r="W44" s="400">
        <v>-30</v>
      </c>
      <c r="X44" s="400">
        <v>-16</v>
      </c>
      <c r="Y44" s="401">
        <v>-7</v>
      </c>
      <c r="Z44" s="400">
        <v>2</v>
      </c>
      <c r="AA44" s="400">
        <v>35</v>
      </c>
      <c r="AB44" s="400">
        <v>27</v>
      </c>
      <c r="AC44" s="401">
        <v>20</v>
      </c>
      <c r="AD44" s="400">
        <v>22</v>
      </c>
      <c r="AE44" s="400">
        <v>5</v>
      </c>
      <c r="AF44" s="400">
        <v>-3</v>
      </c>
      <c r="AG44" s="401">
        <v>5</v>
      </c>
      <c r="AH44" s="402">
        <v>19</v>
      </c>
      <c r="AI44" s="400">
        <v>27</v>
      </c>
      <c r="AJ44" s="400">
        <v>17</v>
      </c>
      <c r="AK44" s="401">
        <v>5</v>
      </c>
      <c r="AL44" s="400">
        <v>0</v>
      </c>
      <c r="AM44" s="400">
        <v>24</v>
      </c>
      <c r="AN44" s="400">
        <v>25</v>
      </c>
      <c r="AO44" s="401">
        <v>39</v>
      </c>
      <c r="AP44" s="400">
        <v>34</v>
      </c>
      <c r="AQ44" s="400">
        <v>-5</v>
      </c>
      <c r="AR44" s="400">
        <v>1</v>
      </c>
      <c r="AS44" s="401">
        <v>-7</v>
      </c>
      <c r="AT44" s="400">
        <v>-2</v>
      </c>
      <c r="AU44" s="400">
        <v>3</v>
      </c>
    </row>
    <row r="45" spans="1:47" ht="13">
      <c r="A45" s="395" t="s">
        <v>480</v>
      </c>
      <c r="B45" s="393">
        <v>8109</v>
      </c>
      <c r="C45" s="393">
        <v>7947</v>
      </c>
      <c r="D45" s="393">
        <v>9047</v>
      </c>
      <c r="E45" s="393">
        <v>9611.2349159613004</v>
      </c>
      <c r="F45" s="393">
        <v>10768</v>
      </c>
      <c r="G45" s="393">
        <v>9185</v>
      </c>
      <c r="H45" s="393">
        <v>11025</v>
      </c>
      <c r="I45" s="393">
        <v>11795</v>
      </c>
      <c r="J45" s="393">
        <v>12466</v>
      </c>
      <c r="K45" s="393">
        <v>14663</v>
      </c>
      <c r="L45" s="393">
        <v>15252</v>
      </c>
      <c r="M45" s="265"/>
      <c r="N45" s="393">
        <v>2550</v>
      </c>
      <c r="O45" s="393">
        <v>2470</v>
      </c>
      <c r="P45" s="393">
        <v>2285</v>
      </c>
      <c r="Q45" s="394">
        <v>2306</v>
      </c>
      <c r="R45" s="393">
        <v>2760</v>
      </c>
      <c r="S45" s="393">
        <v>2826</v>
      </c>
      <c r="T45" s="393">
        <v>2665</v>
      </c>
      <c r="U45" s="394">
        <v>2517</v>
      </c>
      <c r="V45" s="393">
        <v>2619</v>
      </c>
      <c r="W45" s="393">
        <v>1980</v>
      </c>
      <c r="X45" s="393">
        <v>2249</v>
      </c>
      <c r="Y45" s="394">
        <v>2337</v>
      </c>
      <c r="Z45" s="393">
        <v>2674</v>
      </c>
      <c r="AA45" s="393">
        <v>2678</v>
      </c>
      <c r="AB45" s="393">
        <v>2866</v>
      </c>
      <c r="AC45" s="394">
        <v>2806.7545752070996</v>
      </c>
      <c r="AD45" s="393">
        <v>3263</v>
      </c>
      <c r="AE45" s="393">
        <v>2824.9741680732</v>
      </c>
      <c r="AF45" s="393">
        <v>2767.2100897839</v>
      </c>
      <c r="AG45" s="394">
        <v>2940.0688603729</v>
      </c>
      <c r="AH45" s="404">
        <v>3534.8958989036</v>
      </c>
      <c r="AI45" s="393">
        <v>3180</v>
      </c>
      <c r="AJ45" s="393">
        <v>2924.2664529246999</v>
      </c>
      <c r="AK45" s="394">
        <v>2826.5591424527001</v>
      </c>
      <c r="AL45" s="393">
        <v>3122</v>
      </c>
      <c r="AM45" s="393">
        <v>3946.5945244220002</v>
      </c>
      <c r="AN45" s="393">
        <v>3656.4140737458001</v>
      </c>
      <c r="AO45" s="394">
        <v>3937.7525133742001</v>
      </c>
      <c r="AP45" s="393">
        <v>4187.0443860789001</v>
      </c>
      <c r="AQ45" s="393">
        <v>3743.1885320716997</v>
      </c>
      <c r="AR45" s="393">
        <v>3676.5417469862</v>
      </c>
      <c r="AS45" s="394">
        <v>3644.6533703271002</v>
      </c>
      <c r="AT45" s="393">
        <v>4098.7521307587003</v>
      </c>
      <c r="AU45" s="393">
        <v>3864.4034879708997</v>
      </c>
    </row>
    <row r="46" spans="1:47" ht="13">
      <c r="A46" s="405" t="s">
        <v>481</v>
      </c>
      <c r="B46" s="393"/>
      <c r="C46" s="393"/>
      <c r="D46" s="393"/>
      <c r="E46" s="393"/>
      <c r="F46" s="393"/>
      <c r="G46" s="393"/>
      <c r="H46" s="393"/>
      <c r="I46" s="393"/>
      <c r="J46" s="393"/>
      <c r="K46" s="393"/>
      <c r="L46" s="393"/>
      <c r="M46" s="265"/>
      <c r="N46" s="393"/>
      <c r="O46" s="393"/>
      <c r="P46" s="393"/>
      <c r="Q46" s="394"/>
      <c r="R46" s="393"/>
      <c r="S46" s="393"/>
      <c r="T46" s="393"/>
      <c r="U46" s="394"/>
      <c r="V46" s="393"/>
      <c r="W46" s="393"/>
      <c r="X46" s="393"/>
      <c r="Y46" s="403"/>
      <c r="Z46" s="393"/>
      <c r="AA46" s="393"/>
      <c r="AB46" s="393"/>
      <c r="AC46" s="403"/>
      <c r="AD46" s="393">
        <v>10</v>
      </c>
      <c r="AE46" s="393">
        <v>-18</v>
      </c>
      <c r="AF46" s="393">
        <v>-5</v>
      </c>
      <c r="AG46" s="403">
        <v>4</v>
      </c>
      <c r="AH46" s="393">
        <v>33</v>
      </c>
      <c r="AI46" s="393">
        <v>-11</v>
      </c>
      <c r="AJ46" s="393">
        <v>-9</v>
      </c>
      <c r="AK46" s="403">
        <v>0</v>
      </c>
      <c r="AL46" s="393">
        <v>14</v>
      </c>
      <c r="AM46" s="393">
        <v>-10</v>
      </c>
      <c r="AN46" s="393">
        <v>-6</v>
      </c>
      <c r="AO46" s="403">
        <v>5</v>
      </c>
      <c r="AP46" s="393">
        <v>9.6999999999999993</v>
      </c>
      <c r="AQ46" s="393">
        <v>-1.2</v>
      </c>
      <c r="AR46" s="393">
        <v>0</v>
      </c>
      <c r="AS46" s="403">
        <v>1</v>
      </c>
      <c r="AT46" s="393">
        <v>15.6</v>
      </c>
      <c r="AU46" s="393">
        <v>-8.8000000000000007</v>
      </c>
    </row>
    <row r="47" spans="1:47" ht="13">
      <c r="A47" s="419" t="s">
        <v>482</v>
      </c>
      <c r="B47" s="420"/>
      <c r="C47" s="420"/>
      <c r="D47" s="420"/>
      <c r="E47" s="420"/>
      <c r="F47" s="420"/>
      <c r="G47" s="420"/>
      <c r="H47" s="420"/>
      <c r="I47" s="420"/>
      <c r="J47" s="420"/>
      <c r="K47" s="420"/>
      <c r="L47" s="420"/>
      <c r="M47" s="31"/>
      <c r="N47" s="420"/>
      <c r="O47" s="420"/>
      <c r="P47" s="420"/>
      <c r="Q47" s="403"/>
      <c r="R47" s="420"/>
      <c r="S47" s="420"/>
      <c r="T47" s="420"/>
      <c r="U47" s="403"/>
      <c r="V47" s="420"/>
      <c r="W47" s="420"/>
      <c r="X47" s="420"/>
      <c r="Y47" s="403"/>
      <c r="Z47" s="420"/>
      <c r="AA47" s="420"/>
      <c r="AB47" s="420" t="s">
        <v>491</v>
      </c>
      <c r="AC47" s="403" t="s">
        <v>489</v>
      </c>
      <c r="AD47" s="420" t="s">
        <v>489</v>
      </c>
      <c r="AE47" s="420" t="s">
        <v>192</v>
      </c>
      <c r="AF47" s="31" t="s">
        <v>489</v>
      </c>
      <c r="AG47" s="403" t="s">
        <v>492</v>
      </c>
      <c r="AH47" s="420" t="s">
        <v>493</v>
      </c>
      <c r="AI47" s="420" t="s">
        <v>489</v>
      </c>
      <c r="AJ47" s="420" t="s">
        <v>489</v>
      </c>
      <c r="AK47" s="403" t="s">
        <v>489</v>
      </c>
      <c r="AL47" s="420"/>
      <c r="AM47" s="420"/>
      <c r="AN47" s="420"/>
      <c r="AO47" s="403"/>
      <c r="AP47" s="420"/>
      <c r="AQ47" s="420"/>
      <c r="AR47" s="420"/>
      <c r="AS47" s="403"/>
      <c r="AT47" s="420"/>
      <c r="AU47" s="420"/>
    </row>
    <row r="48" spans="1:47" ht="36">
      <c r="A48" s="405" t="s">
        <v>473</v>
      </c>
      <c r="B48" s="396"/>
      <c r="C48" s="396"/>
      <c r="D48" s="384"/>
      <c r="E48" s="384"/>
      <c r="F48" s="384"/>
      <c r="G48" s="384"/>
      <c r="H48" s="384"/>
      <c r="I48" s="384"/>
      <c r="J48" s="384"/>
      <c r="K48" s="384"/>
      <c r="L48" s="384"/>
      <c r="M48" s="265"/>
      <c r="N48" s="396"/>
      <c r="O48" s="384"/>
      <c r="P48" s="384"/>
      <c r="Q48" s="385"/>
      <c r="R48" s="384"/>
      <c r="S48" s="384"/>
      <c r="T48" s="384"/>
      <c r="U48" s="385"/>
      <c r="V48" s="384"/>
      <c r="W48" s="384"/>
      <c r="X48" s="384"/>
      <c r="Y48" s="385"/>
      <c r="Z48" s="384"/>
      <c r="AA48" s="384"/>
      <c r="AB48" s="384"/>
      <c r="AC48" s="385"/>
      <c r="AD48" s="384"/>
      <c r="AE48" s="384"/>
      <c r="AF48" s="384"/>
      <c r="AG48" s="385"/>
      <c r="AH48" s="384"/>
      <c r="AI48" s="384"/>
      <c r="AJ48" s="384"/>
      <c r="AK48" s="385"/>
      <c r="AL48" s="384"/>
      <c r="AM48" s="384"/>
      <c r="AN48" s="384"/>
      <c r="AO48" s="385"/>
      <c r="AP48" s="384"/>
      <c r="AQ48" s="384"/>
      <c r="AR48" s="384"/>
      <c r="AS48" s="385"/>
      <c r="AT48" s="384"/>
      <c r="AU48" s="384"/>
    </row>
    <row r="49" spans="1:47" ht="13">
      <c r="A49" s="395"/>
      <c r="B49" s="396"/>
      <c r="C49" s="396"/>
      <c r="D49" s="384"/>
      <c r="E49" s="384"/>
      <c r="F49" s="384"/>
      <c r="G49" s="384"/>
      <c r="H49" s="384"/>
      <c r="I49" s="384"/>
      <c r="J49" s="384"/>
      <c r="K49" s="384"/>
      <c r="L49" s="384"/>
      <c r="M49" s="265"/>
      <c r="N49" s="396"/>
      <c r="O49" s="384"/>
      <c r="P49" s="384"/>
      <c r="Q49" s="385"/>
      <c r="R49" s="384"/>
      <c r="S49" s="384"/>
      <c r="T49" s="384"/>
      <c r="U49" s="385"/>
      <c r="V49" s="384"/>
      <c r="W49" s="384"/>
      <c r="X49" s="384"/>
      <c r="Y49" s="385"/>
      <c r="Z49" s="384"/>
      <c r="AA49" s="384"/>
      <c r="AB49" s="384"/>
      <c r="AC49" s="385"/>
      <c r="AD49" s="384"/>
      <c r="AE49" s="384"/>
      <c r="AF49" s="384"/>
      <c r="AG49" s="385"/>
      <c r="AH49" s="384"/>
      <c r="AI49" s="384"/>
      <c r="AJ49" s="384"/>
      <c r="AK49" s="385"/>
      <c r="AL49" s="384"/>
      <c r="AM49" s="384"/>
      <c r="AN49" s="384"/>
      <c r="AO49" s="385"/>
      <c r="AP49" s="384"/>
      <c r="AQ49" s="384"/>
      <c r="AR49" s="384"/>
      <c r="AS49" s="385"/>
      <c r="AT49" s="384"/>
      <c r="AU49" s="384"/>
    </row>
    <row r="50" spans="1:47" ht="13">
      <c r="A50" s="423" t="s">
        <v>494</v>
      </c>
      <c r="B50" s="424">
        <v>2015</v>
      </c>
      <c r="C50" s="424">
        <v>2016</v>
      </c>
      <c r="D50" s="424">
        <v>2017</v>
      </c>
      <c r="E50" s="424">
        <v>2018</v>
      </c>
      <c r="F50" s="424">
        <v>2019</v>
      </c>
      <c r="G50" s="424">
        <v>2020</v>
      </c>
      <c r="H50" s="424">
        <v>2021</v>
      </c>
      <c r="I50" s="424">
        <v>2022</v>
      </c>
      <c r="J50" s="424">
        <v>2023</v>
      </c>
      <c r="K50" s="424"/>
      <c r="L50" s="424"/>
      <c r="M50" s="425"/>
      <c r="N50" s="424">
        <v>2018</v>
      </c>
      <c r="O50" s="424"/>
      <c r="P50" s="424"/>
      <c r="Q50" s="426"/>
      <c r="R50" s="424">
        <v>2019</v>
      </c>
      <c r="S50" s="424"/>
      <c r="T50" s="424"/>
      <c r="U50" s="426"/>
      <c r="V50" s="424">
        <v>2020</v>
      </c>
      <c r="W50" s="424"/>
      <c r="X50" s="424"/>
      <c r="Y50" s="426"/>
      <c r="Z50" s="424">
        <v>2021</v>
      </c>
      <c r="AA50" s="424"/>
      <c r="AB50" s="424"/>
      <c r="AC50" s="426" t="s">
        <v>302</v>
      </c>
      <c r="AD50" s="424">
        <v>2022</v>
      </c>
      <c r="AE50" s="424" t="s">
        <v>302</v>
      </c>
      <c r="AF50" s="424" t="s">
        <v>302</v>
      </c>
      <c r="AG50" s="426" t="s">
        <v>302</v>
      </c>
      <c r="AH50" s="427">
        <v>2023</v>
      </c>
      <c r="AI50" s="427"/>
      <c r="AJ50" s="427"/>
      <c r="AK50" s="428"/>
      <c r="AL50" s="424"/>
      <c r="AM50" s="424"/>
      <c r="AN50" s="424"/>
      <c r="AO50" s="428"/>
      <c r="AP50" s="424"/>
      <c r="AQ50" s="424"/>
      <c r="AR50" s="424"/>
      <c r="AS50" s="428"/>
      <c r="AT50" s="424"/>
      <c r="AU50" s="424"/>
    </row>
    <row r="51" spans="1:47" ht="13">
      <c r="A51" s="429"/>
      <c r="B51" s="430" t="s">
        <v>495</v>
      </c>
      <c r="C51" s="430" t="s">
        <v>495</v>
      </c>
      <c r="D51" s="430" t="s">
        <v>495</v>
      </c>
      <c r="E51" s="430" t="s">
        <v>495</v>
      </c>
      <c r="F51" s="430" t="s">
        <v>495</v>
      </c>
      <c r="G51" s="430" t="s">
        <v>495</v>
      </c>
      <c r="H51" s="430" t="s">
        <v>495</v>
      </c>
      <c r="I51" s="430" t="s">
        <v>495</v>
      </c>
      <c r="J51" s="430" t="s">
        <v>496</v>
      </c>
      <c r="K51" s="430"/>
      <c r="L51" s="424"/>
      <c r="M51" s="425"/>
      <c r="N51" s="430" t="s">
        <v>497</v>
      </c>
      <c r="O51" s="430" t="s">
        <v>498</v>
      </c>
      <c r="P51" s="430" t="s">
        <v>499</v>
      </c>
      <c r="Q51" s="431" t="s">
        <v>500</v>
      </c>
      <c r="R51" s="430" t="s">
        <v>497</v>
      </c>
      <c r="S51" s="430" t="s">
        <v>498</v>
      </c>
      <c r="T51" s="430" t="s">
        <v>499</v>
      </c>
      <c r="U51" s="431" t="s">
        <v>500</v>
      </c>
      <c r="V51" s="430" t="s">
        <v>497</v>
      </c>
      <c r="W51" s="430" t="s">
        <v>498</v>
      </c>
      <c r="X51" s="430" t="s">
        <v>499</v>
      </c>
      <c r="Y51" s="431" t="s">
        <v>500</v>
      </c>
      <c r="Z51" s="430" t="s">
        <v>497</v>
      </c>
      <c r="AA51" s="430" t="s">
        <v>498</v>
      </c>
      <c r="AB51" s="430" t="s">
        <v>499</v>
      </c>
      <c r="AC51" s="431" t="s">
        <v>500</v>
      </c>
      <c r="AD51" s="430" t="s">
        <v>497</v>
      </c>
      <c r="AE51" s="430" t="s">
        <v>498</v>
      </c>
      <c r="AF51" s="430" t="s">
        <v>499</v>
      </c>
      <c r="AG51" s="431" t="s">
        <v>500</v>
      </c>
      <c r="AH51" s="432" t="s">
        <v>497</v>
      </c>
      <c r="AI51" s="432" t="s">
        <v>498</v>
      </c>
      <c r="AJ51" s="432" t="s">
        <v>499</v>
      </c>
      <c r="AK51" s="433" t="s">
        <v>500</v>
      </c>
      <c r="AL51" s="430"/>
      <c r="AM51" s="430"/>
      <c r="AN51" s="430"/>
      <c r="AO51" s="433"/>
      <c r="AP51" s="430"/>
      <c r="AQ51" s="430"/>
      <c r="AR51" s="430"/>
      <c r="AS51" s="433"/>
      <c r="AT51" s="430"/>
      <c r="AU51" s="430"/>
    </row>
    <row r="52" spans="1:47" ht="13">
      <c r="A52" s="434" t="s">
        <v>501</v>
      </c>
      <c r="B52" s="434"/>
      <c r="C52" s="434"/>
      <c r="D52" s="434"/>
      <c r="E52" s="434"/>
      <c r="F52" s="434"/>
      <c r="G52" s="434"/>
      <c r="H52" s="434"/>
      <c r="I52" s="434">
        <v>11</v>
      </c>
      <c r="J52" s="434"/>
      <c r="K52" s="434"/>
      <c r="L52" s="434"/>
      <c r="M52" s="434"/>
      <c r="N52" s="434"/>
      <c r="O52" s="434"/>
      <c r="P52" s="434"/>
      <c r="Q52" s="434"/>
      <c r="R52" s="434"/>
      <c r="S52" s="434"/>
      <c r="T52" s="434"/>
      <c r="U52" s="434"/>
      <c r="V52" s="434"/>
      <c r="W52" s="434"/>
      <c r="X52" s="434"/>
      <c r="Y52" s="434"/>
      <c r="Z52" s="434"/>
      <c r="AA52" s="434"/>
      <c r="AB52" s="434"/>
      <c r="AC52" s="434"/>
      <c r="AD52" s="434"/>
      <c r="AE52" s="434">
        <v>18</v>
      </c>
      <c r="AF52" s="434">
        <v>5</v>
      </c>
      <c r="AG52" s="435">
        <v>3</v>
      </c>
      <c r="AH52" s="405">
        <v>1</v>
      </c>
      <c r="AI52" s="405">
        <v>-4</v>
      </c>
      <c r="AJ52" s="405">
        <v>0</v>
      </c>
      <c r="AK52" s="436"/>
      <c r="AL52" s="434"/>
      <c r="AM52" s="434"/>
      <c r="AN52" s="434"/>
      <c r="AO52" s="436"/>
      <c r="AP52" s="434"/>
      <c r="AQ52" s="434"/>
      <c r="AR52" s="434"/>
      <c r="AS52" s="436"/>
      <c r="AT52" s="434"/>
      <c r="AU52" s="434"/>
    </row>
    <row r="53" spans="1:47" ht="13">
      <c r="A53" s="434" t="s">
        <v>338</v>
      </c>
      <c r="B53" s="434"/>
      <c r="C53" s="434"/>
      <c r="D53" s="434"/>
      <c r="E53" s="434"/>
      <c r="F53" s="434"/>
      <c r="G53" s="434"/>
      <c r="H53" s="434"/>
      <c r="I53" s="434">
        <v>16</v>
      </c>
      <c r="J53" s="434"/>
      <c r="K53" s="434"/>
      <c r="L53" s="434"/>
      <c r="M53" s="434"/>
      <c r="N53" s="434"/>
      <c r="O53" s="434"/>
      <c r="P53" s="434"/>
      <c r="Q53" s="434"/>
      <c r="R53" s="434"/>
      <c r="S53" s="434"/>
      <c r="T53" s="434"/>
      <c r="U53" s="434"/>
      <c r="V53" s="434"/>
      <c r="W53" s="434"/>
      <c r="X53" s="384"/>
      <c r="Y53" s="384"/>
      <c r="Z53" s="384"/>
      <c r="AA53" s="384"/>
      <c r="AB53" s="384"/>
      <c r="AC53" s="434"/>
      <c r="AD53" s="434"/>
      <c r="AE53" s="434">
        <v>25</v>
      </c>
      <c r="AF53" s="434">
        <v>8</v>
      </c>
      <c r="AG53" s="435">
        <v>7</v>
      </c>
      <c r="AH53" s="405">
        <v>2</v>
      </c>
      <c r="AI53" s="405">
        <v>-4</v>
      </c>
      <c r="AJ53" s="405">
        <v>-1</v>
      </c>
      <c r="AK53" s="436"/>
      <c r="AL53" s="384"/>
      <c r="AM53" s="434"/>
      <c r="AN53" s="434"/>
      <c r="AO53" s="436"/>
      <c r="AP53" s="384"/>
      <c r="AQ53" s="434"/>
      <c r="AR53" s="434"/>
      <c r="AS53" s="436"/>
      <c r="AT53" s="384"/>
      <c r="AU53" s="434"/>
    </row>
    <row r="54" spans="1:47" ht="13">
      <c r="A54" s="434" t="s">
        <v>294</v>
      </c>
      <c r="B54" s="434"/>
      <c r="C54" s="434"/>
      <c r="D54" s="434"/>
      <c r="E54" s="434"/>
      <c r="F54" s="434"/>
      <c r="G54" s="434"/>
      <c r="H54" s="434"/>
      <c r="I54" s="434"/>
      <c r="J54" s="434"/>
      <c r="K54" s="434"/>
      <c r="L54" s="434"/>
      <c r="M54" s="434"/>
      <c r="N54" s="434"/>
      <c r="O54" s="434"/>
      <c r="P54" s="434"/>
      <c r="Q54" s="434"/>
      <c r="R54" s="434"/>
      <c r="S54" s="434"/>
      <c r="T54" s="434"/>
      <c r="U54" s="434"/>
      <c r="V54" s="434"/>
      <c r="W54" s="434"/>
      <c r="X54" s="434"/>
      <c r="Y54" s="434"/>
      <c r="Z54" s="434"/>
      <c r="AA54" s="434"/>
      <c r="AB54" s="434"/>
      <c r="AC54" s="434"/>
      <c r="AD54" s="434"/>
      <c r="AE54" s="434"/>
      <c r="AF54" s="434">
        <v>-7</v>
      </c>
      <c r="AG54" s="435">
        <v>1</v>
      </c>
      <c r="AH54" s="405">
        <v>-7</v>
      </c>
      <c r="AI54" s="405">
        <v>-13</v>
      </c>
      <c r="AJ54" s="405">
        <v>-5</v>
      </c>
      <c r="AK54" s="436"/>
      <c r="AL54" s="434"/>
      <c r="AM54" s="434"/>
      <c r="AN54" s="434"/>
      <c r="AO54" s="436"/>
      <c r="AP54" s="434"/>
      <c r="AQ54" s="434"/>
      <c r="AR54" s="434"/>
      <c r="AS54" s="436"/>
      <c r="AT54" s="434"/>
      <c r="AU54" s="434"/>
    </row>
    <row r="55" spans="1:47" ht="13">
      <c r="A55" s="434" t="s">
        <v>335</v>
      </c>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v>22</v>
      </c>
      <c r="AG55" s="435">
        <v>11</v>
      </c>
      <c r="AH55" s="405">
        <v>11</v>
      </c>
      <c r="AI55" s="405">
        <v>5</v>
      </c>
      <c r="AJ55" s="405">
        <v>3</v>
      </c>
      <c r="AK55" s="436"/>
      <c r="AL55" s="434"/>
      <c r="AM55" s="434"/>
      <c r="AN55" s="434"/>
      <c r="AO55" s="436"/>
      <c r="AP55" s="434"/>
      <c r="AQ55" s="434"/>
      <c r="AR55" s="434"/>
      <c r="AS55" s="436"/>
      <c r="AT55" s="434"/>
      <c r="AU55" s="434"/>
    </row>
    <row r="56" spans="1:47" ht="13">
      <c r="A56" s="434" t="s">
        <v>336</v>
      </c>
      <c r="B56" s="434"/>
      <c r="C56" s="434"/>
      <c r="D56" s="434"/>
      <c r="E56" s="434"/>
      <c r="F56" s="434"/>
      <c r="G56" s="434"/>
      <c r="H56" s="434"/>
      <c r="I56" s="434">
        <v>1</v>
      </c>
      <c r="J56" s="434"/>
      <c r="K56" s="434"/>
      <c r="L56" s="434"/>
      <c r="M56" s="434"/>
      <c r="N56" s="434"/>
      <c r="O56" s="434"/>
      <c r="P56" s="434"/>
      <c r="Q56" s="434"/>
      <c r="R56" s="434"/>
      <c r="S56" s="434"/>
      <c r="T56" s="434"/>
      <c r="U56" s="434"/>
      <c r="V56" s="434"/>
      <c r="W56" s="434"/>
      <c r="X56" s="434"/>
      <c r="Y56" s="434"/>
      <c r="Z56" s="437"/>
      <c r="AA56" s="434"/>
      <c r="AB56" s="434"/>
      <c r="AC56" s="434"/>
      <c r="AD56" s="434"/>
      <c r="AE56" s="434">
        <v>-2</v>
      </c>
      <c r="AF56" s="434">
        <v>-2</v>
      </c>
      <c r="AG56" s="435">
        <v>-4</v>
      </c>
      <c r="AH56" s="405">
        <v>-7</v>
      </c>
      <c r="AI56" s="405">
        <v>-2</v>
      </c>
      <c r="AJ56" s="405">
        <v>-1</v>
      </c>
      <c r="AK56" s="436"/>
      <c r="AL56" s="437"/>
      <c r="AM56" s="434"/>
      <c r="AN56" s="434"/>
      <c r="AO56" s="436"/>
      <c r="AP56" s="437"/>
      <c r="AQ56" s="434"/>
      <c r="AR56" s="434"/>
      <c r="AS56" s="436"/>
      <c r="AT56" s="437"/>
      <c r="AU56" s="434"/>
    </row>
    <row r="57" spans="1:47" ht="13">
      <c r="A57" s="434"/>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05"/>
      <c r="AI57" s="405"/>
      <c r="AJ57" s="405"/>
      <c r="AK57" s="405"/>
      <c r="AL57" s="434"/>
      <c r="AM57" s="434"/>
      <c r="AN57" s="434"/>
      <c r="AO57" s="405"/>
      <c r="AP57" s="434"/>
      <c r="AQ57" s="434"/>
      <c r="AR57" s="434"/>
      <c r="AS57" s="405"/>
      <c r="AT57" s="434"/>
      <c r="AU57" s="434"/>
    </row>
    <row r="58" spans="1:47" ht="13">
      <c r="A58" s="395"/>
      <c r="B58" s="395"/>
      <c r="C58" s="395"/>
      <c r="D58" s="395"/>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row>
    <row r="59" spans="1:47" ht="13">
      <c r="A59" s="438" t="s">
        <v>502</v>
      </c>
      <c r="B59" s="384"/>
      <c r="C59" s="384"/>
      <c r="D59" s="384"/>
      <c r="E59" s="384"/>
      <c r="F59" s="384"/>
      <c r="G59" s="384"/>
      <c r="H59" s="384"/>
      <c r="I59" s="384"/>
      <c r="J59" s="384"/>
      <c r="K59" s="384"/>
      <c r="L59" s="384"/>
      <c r="M59" s="265"/>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row>
    <row r="60" spans="1:47" ht="13">
      <c r="A60" s="415" t="s">
        <v>298</v>
      </c>
      <c r="B60" s="389">
        <v>2015</v>
      </c>
      <c r="C60" s="389">
        <v>2016</v>
      </c>
      <c r="D60" s="389">
        <v>2017</v>
      </c>
      <c r="E60" s="389">
        <v>2018</v>
      </c>
      <c r="F60" s="389">
        <v>2019</v>
      </c>
      <c r="G60" s="389">
        <v>2020</v>
      </c>
      <c r="H60" s="389">
        <v>2021</v>
      </c>
      <c r="I60" s="389">
        <v>2022</v>
      </c>
      <c r="J60" s="389">
        <v>2023</v>
      </c>
      <c r="K60" s="389">
        <v>2024</v>
      </c>
      <c r="L60" s="389">
        <v>2025</v>
      </c>
      <c r="M60" s="439"/>
      <c r="N60" s="389" t="s">
        <v>128</v>
      </c>
      <c r="O60" s="389" t="s">
        <v>129</v>
      </c>
      <c r="P60" s="389" t="s">
        <v>130</v>
      </c>
      <c r="Q60" s="391" t="s">
        <v>131</v>
      </c>
      <c r="R60" s="389" t="s">
        <v>132</v>
      </c>
      <c r="S60" s="389" t="s">
        <v>133</v>
      </c>
      <c r="T60" s="389" t="s">
        <v>134</v>
      </c>
      <c r="U60" s="391" t="s">
        <v>135</v>
      </c>
      <c r="V60" s="389" t="s">
        <v>136</v>
      </c>
      <c r="W60" s="389" t="s">
        <v>137</v>
      </c>
      <c r="X60" s="389" t="s">
        <v>138</v>
      </c>
      <c r="Y60" s="391" t="s">
        <v>139</v>
      </c>
      <c r="Z60" s="389" t="s">
        <v>140</v>
      </c>
      <c r="AA60" s="389" t="s">
        <v>141</v>
      </c>
      <c r="AB60" s="389" t="s">
        <v>142</v>
      </c>
      <c r="AC60" s="391" t="s">
        <v>143</v>
      </c>
      <c r="AD60" s="389" t="s">
        <v>144</v>
      </c>
      <c r="AE60" s="389" t="s">
        <v>145</v>
      </c>
      <c r="AF60" s="389" t="s">
        <v>146</v>
      </c>
      <c r="AG60" s="391" t="s">
        <v>147</v>
      </c>
      <c r="AH60" s="389" t="s">
        <v>148</v>
      </c>
      <c r="AI60" s="389" t="s">
        <v>149</v>
      </c>
      <c r="AJ60" s="389" t="s">
        <v>150</v>
      </c>
      <c r="AK60" s="391" t="s">
        <v>151</v>
      </c>
      <c r="AL60" s="389" t="s">
        <v>152</v>
      </c>
      <c r="AM60" s="389" t="s">
        <v>153</v>
      </c>
      <c r="AN60" s="389" t="s">
        <v>154</v>
      </c>
      <c r="AO60" s="391" t="s">
        <v>155</v>
      </c>
      <c r="AP60" s="389" t="s">
        <v>156</v>
      </c>
      <c r="AQ60" s="389" t="s">
        <v>157</v>
      </c>
      <c r="AR60" s="389" t="s">
        <v>158</v>
      </c>
      <c r="AS60" s="391" t="s">
        <v>820</v>
      </c>
      <c r="AT60" s="389" t="s">
        <v>1275</v>
      </c>
      <c r="AU60" s="389" t="s">
        <v>1344</v>
      </c>
    </row>
    <row r="61" spans="1:47" ht="13">
      <c r="A61" s="392" t="s">
        <v>475</v>
      </c>
      <c r="B61" s="393">
        <v>27609</v>
      </c>
      <c r="C61" s="393">
        <v>28663</v>
      </c>
      <c r="D61" s="393">
        <v>27102</v>
      </c>
      <c r="E61" s="393">
        <v>31363.994574501499</v>
      </c>
      <c r="F61" s="393">
        <v>38285</v>
      </c>
      <c r="G61" s="393">
        <v>40849</v>
      </c>
      <c r="H61" s="393">
        <v>36122</v>
      </c>
      <c r="I61" s="393">
        <v>39645</v>
      </c>
      <c r="J61" s="393">
        <v>49694</v>
      </c>
      <c r="K61" s="393">
        <v>60343</v>
      </c>
      <c r="L61" s="393">
        <v>63604</v>
      </c>
      <c r="M61" s="265"/>
      <c r="N61" s="393">
        <v>7411</v>
      </c>
      <c r="O61" s="393">
        <v>7879</v>
      </c>
      <c r="P61" s="393">
        <v>7610</v>
      </c>
      <c r="Q61" s="394">
        <v>8464</v>
      </c>
      <c r="R61" s="393">
        <v>8233</v>
      </c>
      <c r="S61" s="393">
        <v>9843</v>
      </c>
      <c r="T61" s="393">
        <v>9651</v>
      </c>
      <c r="U61" s="394">
        <v>10558</v>
      </c>
      <c r="V61" s="393">
        <v>9785</v>
      </c>
      <c r="W61" s="393">
        <v>10626</v>
      </c>
      <c r="X61" s="393">
        <v>10158</v>
      </c>
      <c r="Y61" s="394">
        <v>10280</v>
      </c>
      <c r="Z61" s="393">
        <v>9134</v>
      </c>
      <c r="AA61" s="393">
        <v>8458</v>
      </c>
      <c r="AB61" s="393">
        <v>8724</v>
      </c>
      <c r="AC61" s="394">
        <v>9805.7240076528997</v>
      </c>
      <c r="AD61" s="393">
        <v>8773</v>
      </c>
      <c r="AE61" s="393">
        <v>9733.3236759028005</v>
      </c>
      <c r="AF61" s="393">
        <v>9965.6555233908002</v>
      </c>
      <c r="AG61" s="394">
        <v>11172.561748705801</v>
      </c>
      <c r="AH61" s="393">
        <v>11088.396492030701</v>
      </c>
      <c r="AI61" s="393">
        <v>11867.7694568323</v>
      </c>
      <c r="AJ61" s="393">
        <v>12802.0434848401</v>
      </c>
      <c r="AK61" s="394">
        <v>13936.3026103212</v>
      </c>
      <c r="AL61" s="393">
        <v>13867.5831329346</v>
      </c>
      <c r="AM61" s="393">
        <v>15909.9330569741</v>
      </c>
      <c r="AN61" s="393">
        <v>14997.068450600798</v>
      </c>
      <c r="AO61" s="394">
        <v>15568.6525443059</v>
      </c>
      <c r="AP61" s="393">
        <v>14142.8285693899</v>
      </c>
      <c r="AQ61" s="393">
        <v>16510.755905984301</v>
      </c>
      <c r="AR61" s="393">
        <v>15699.440096490898</v>
      </c>
      <c r="AS61" s="394">
        <v>17250.584933132501</v>
      </c>
      <c r="AT61" s="393">
        <v>15536.1063562819</v>
      </c>
      <c r="AU61" s="393">
        <v>15129.878603667199</v>
      </c>
    </row>
    <row r="62" spans="1:47" ht="13">
      <c r="A62" s="395" t="s">
        <v>476</v>
      </c>
      <c r="B62" s="396">
        <v>-3.2</v>
      </c>
      <c r="C62" s="396">
        <v>-3.4</v>
      </c>
      <c r="D62" s="396">
        <v>14.22</v>
      </c>
      <c r="E62" s="396">
        <v>18</v>
      </c>
      <c r="F62" s="396">
        <v>1</v>
      </c>
      <c r="G62" s="396">
        <v>-5</v>
      </c>
      <c r="H62" s="396">
        <v>12</v>
      </c>
      <c r="I62" s="396">
        <v>11</v>
      </c>
      <c r="J62" s="396">
        <v>9</v>
      </c>
      <c r="K62" s="396">
        <v>2</v>
      </c>
      <c r="L62" s="396">
        <v>2</v>
      </c>
      <c r="M62" s="265"/>
      <c r="N62" s="396">
        <v>13.7346913034308</v>
      </c>
      <c r="O62" s="396">
        <v>21.759477415893503</v>
      </c>
      <c r="P62" s="396">
        <v>19</v>
      </c>
      <c r="Q62" s="397">
        <v>19</v>
      </c>
      <c r="R62" s="396">
        <v>14</v>
      </c>
      <c r="S62" s="396">
        <v>3</v>
      </c>
      <c r="T62" s="396">
        <v>-3</v>
      </c>
      <c r="U62" s="397">
        <v>-7</v>
      </c>
      <c r="V62" s="396">
        <v>-8</v>
      </c>
      <c r="W62" s="396">
        <v>-15</v>
      </c>
      <c r="X62" s="396">
        <v>-3</v>
      </c>
      <c r="Y62" s="397">
        <v>6</v>
      </c>
      <c r="Z62" s="396">
        <v>6</v>
      </c>
      <c r="AA62" s="396">
        <v>22</v>
      </c>
      <c r="AB62" s="396">
        <v>11</v>
      </c>
      <c r="AC62" s="397">
        <v>9</v>
      </c>
      <c r="AD62" s="396">
        <v>14</v>
      </c>
      <c r="AE62" s="396">
        <v>9</v>
      </c>
      <c r="AF62" s="396">
        <v>12</v>
      </c>
      <c r="AG62" s="397">
        <v>8</v>
      </c>
      <c r="AH62" s="396">
        <v>8</v>
      </c>
      <c r="AI62" s="396">
        <v>17</v>
      </c>
      <c r="AJ62" s="396">
        <v>7</v>
      </c>
      <c r="AK62" s="397">
        <v>8</v>
      </c>
      <c r="AL62" s="396">
        <v>3</v>
      </c>
      <c r="AM62" s="396">
        <v>-1</v>
      </c>
      <c r="AN62" s="396">
        <v>3</v>
      </c>
      <c r="AO62" s="397">
        <v>4</v>
      </c>
      <c r="AP62" s="396">
        <v>3</v>
      </c>
      <c r="AQ62" s="396">
        <v>1</v>
      </c>
      <c r="AR62" s="396">
        <v>5</v>
      </c>
      <c r="AS62" s="397">
        <v>4</v>
      </c>
      <c r="AT62" s="396">
        <v>2</v>
      </c>
      <c r="AU62" s="396">
        <v>11</v>
      </c>
    </row>
    <row r="63" spans="1:47" ht="13">
      <c r="A63" s="395" t="s">
        <v>477</v>
      </c>
      <c r="B63" s="396">
        <v>7</v>
      </c>
      <c r="C63" s="396">
        <v>-2</v>
      </c>
      <c r="D63" s="396">
        <v>1</v>
      </c>
      <c r="E63" s="396">
        <v>0.91385979656160232</v>
      </c>
      <c r="F63" s="396">
        <v>4</v>
      </c>
      <c r="G63" s="396">
        <v>-6.1381877863039529</v>
      </c>
      <c r="H63" s="396">
        <v>-3.8827544406426733</v>
      </c>
      <c r="I63" s="396">
        <v>11</v>
      </c>
      <c r="J63" s="396">
        <v>2.9831288888756808</v>
      </c>
      <c r="K63" s="396">
        <v>-1.7283348113960026</v>
      </c>
      <c r="L63" s="396">
        <v>-7.2935139632399686</v>
      </c>
      <c r="M63" s="265"/>
      <c r="N63" s="396">
        <v>-4.7246503043515391</v>
      </c>
      <c r="O63" s="396">
        <v>0.67866958442179881</v>
      </c>
      <c r="P63" s="396">
        <v>4.6003748476852468</v>
      </c>
      <c r="Q63" s="397">
        <v>2.7728522572686036</v>
      </c>
      <c r="R63" s="396">
        <v>4.4818192429260577</v>
      </c>
      <c r="S63" s="396">
        <v>2.5892597747202784</v>
      </c>
      <c r="T63" s="396">
        <v>4.9574943446918134</v>
      </c>
      <c r="U63" s="397">
        <v>3</v>
      </c>
      <c r="V63" s="396">
        <v>1</v>
      </c>
      <c r="W63" s="396">
        <v>-4.0429681846364067</v>
      </c>
      <c r="X63" s="396">
        <v>-10.307503540577597</v>
      </c>
      <c r="Y63" s="397">
        <v>-10.661534362174388</v>
      </c>
      <c r="Z63" s="396">
        <v>-10.127080034945168</v>
      </c>
      <c r="AA63" s="396">
        <v>-7.9875581850540378</v>
      </c>
      <c r="AB63" s="396">
        <v>-0.16873193581885215</v>
      </c>
      <c r="AC63" s="397">
        <v>2.1760451716142963</v>
      </c>
      <c r="AD63" s="396">
        <v>7.7574158891933962</v>
      </c>
      <c r="AE63" s="396">
        <v>10.279760122695727</v>
      </c>
      <c r="AF63" s="396">
        <v>13.770578174109</v>
      </c>
      <c r="AG63" s="397">
        <v>12.729777814218746</v>
      </c>
      <c r="AH63" s="396">
        <v>6.8200912181374944</v>
      </c>
      <c r="AI63" s="396">
        <v>5.1523899620957883</v>
      </c>
      <c r="AJ63" s="396">
        <v>1.4584944497227423</v>
      </c>
      <c r="AK63" s="397">
        <v>-0.51660429187812418</v>
      </c>
      <c r="AL63" s="396">
        <v>-2.8324405029878705</v>
      </c>
      <c r="AM63" s="396">
        <v>-1.0145149801044184</v>
      </c>
      <c r="AN63" s="396">
        <v>-3.8837944046127886</v>
      </c>
      <c r="AO63" s="397">
        <v>0.60199060909584701</v>
      </c>
      <c r="AP63" s="396">
        <v>-0.12712580271469323</v>
      </c>
      <c r="AQ63" s="396">
        <v>-8.7982982479602949</v>
      </c>
      <c r="AR63" s="396">
        <v>-8.4358434574415515</v>
      </c>
      <c r="AS63" s="397">
        <v>-10.688989534707572</v>
      </c>
      <c r="AT63" s="396">
        <v>-9.8379311148990567</v>
      </c>
      <c r="AU63" s="396">
        <v>-1</v>
      </c>
    </row>
    <row r="64" spans="1:47" ht="13">
      <c r="A64" s="395" t="s">
        <v>478</v>
      </c>
      <c r="B64" s="396">
        <v>0</v>
      </c>
      <c r="C64" s="396">
        <v>0</v>
      </c>
      <c r="D64" s="396">
        <v>0.5</v>
      </c>
      <c r="E64" s="396">
        <v>2.5850474741007949</v>
      </c>
      <c r="F64" s="396">
        <v>2</v>
      </c>
      <c r="G64" s="396">
        <v>-0.63557200854913731</v>
      </c>
      <c r="H64" s="396">
        <v>1.751007567806051</v>
      </c>
      <c r="I64" s="396">
        <v>3</v>
      </c>
      <c r="J64" s="396">
        <v>8.8952105465862541</v>
      </c>
      <c r="K64" s="396">
        <v>5.0325174558529779</v>
      </c>
      <c r="L64" s="396">
        <v>1.6895491091461765</v>
      </c>
      <c r="M64" s="265"/>
      <c r="N64" s="396">
        <v>2</v>
      </c>
      <c r="O64" s="396">
        <v>2</v>
      </c>
      <c r="P64" s="396">
        <v>2.5727099261473176</v>
      </c>
      <c r="Q64" s="397">
        <v>2.9408291759450096</v>
      </c>
      <c r="R64" s="396">
        <v>0.67531681233072915</v>
      </c>
      <c r="S64" s="396">
        <v>1.516792253275228</v>
      </c>
      <c r="T64" s="396">
        <v>2.9530508267620377</v>
      </c>
      <c r="U64" s="397">
        <v>1</v>
      </c>
      <c r="V64" s="396">
        <v>0</v>
      </c>
      <c r="W64" s="396">
        <v>-1.4542560819783696</v>
      </c>
      <c r="X64" s="396">
        <v>-0.76946918845358081</v>
      </c>
      <c r="Y64" s="397">
        <v>-9.1598586467587895E-2</v>
      </c>
      <c r="Z64" s="396">
        <v>0.14166062181057551</v>
      </c>
      <c r="AA64" s="396">
        <v>0.5459390481939046</v>
      </c>
      <c r="AB64" s="396">
        <v>2.9463040137193239</v>
      </c>
      <c r="AC64" s="397">
        <v>3.2259840956039421</v>
      </c>
      <c r="AD64" s="396">
        <v>3.7287415534473909</v>
      </c>
      <c r="AE64" s="396">
        <v>3.4063224649096728</v>
      </c>
      <c r="AF64" s="396">
        <v>1.7105711038962244</v>
      </c>
      <c r="AG64" s="397">
        <v>4.1197835738345168</v>
      </c>
      <c r="AH64" s="396">
        <v>9.5959939656471835</v>
      </c>
      <c r="AI64" s="396">
        <v>12.132085475667877</v>
      </c>
      <c r="AJ64" s="396">
        <v>9.2448189417603928</v>
      </c>
      <c r="AK64" s="397">
        <v>5.2595993112164932</v>
      </c>
      <c r="AL64" s="396">
        <v>1.6603404686796035</v>
      </c>
      <c r="AM64" s="396">
        <v>6.194398075267177</v>
      </c>
      <c r="AN64" s="396">
        <v>6.0078423785823611</v>
      </c>
      <c r="AO64" s="397">
        <v>5.9093747925377507</v>
      </c>
      <c r="AP64" s="396">
        <v>6.9054379259129348</v>
      </c>
      <c r="AQ64" s="396">
        <v>0.4397578796091558</v>
      </c>
      <c r="AR64" s="396">
        <v>0.16751507304823102</v>
      </c>
      <c r="AS64" s="397">
        <v>-5.3117542387799447E-3</v>
      </c>
      <c r="AT64" s="396">
        <v>1.5138928571050798E-3</v>
      </c>
      <c r="AU64" s="396">
        <v>0</v>
      </c>
    </row>
    <row r="65" spans="1:47" ht="13">
      <c r="A65" s="399" t="s">
        <v>479</v>
      </c>
      <c r="B65" s="400">
        <v>4</v>
      </c>
      <c r="C65" s="400">
        <v>-5</v>
      </c>
      <c r="D65" s="400">
        <v>16</v>
      </c>
      <c r="E65" s="400">
        <v>22</v>
      </c>
      <c r="F65" s="400">
        <v>7</v>
      </c>
      <c r="G65" s="400">
        <v>-12</v>
      </c>
      <c r="H65" s="400">
        <v>10</v>
      </c>
      <c r="I65" s="400">
        <v>25</v>
      </c>
      <c r="J65" s="400">
        <v>21</v>
      </c>
      <c r="K65" s="400">
        <v>5</v>
      </c>
      <c r="L65" s="400">
        <v>-3</v>
      </c>
      <c r="M65" s="265"/>
      <c r="N65" s="400">
        <v>11</v>
      </c>
      <c r="O65" s="400">
        <v>25</v>
      </c>
      <c r="P65" s="400">
        <v>27</v>
      </c>
      <c r="Q65" s="401">
        <v>25</v>
      </c>
      <c r="R65" s="400">
        <v>19</v>
      </c>
      <c r="S65" s="400">
        <v>8</v>
      </c>
      <c r="T65" s="400">
        <v>5</v>
      </c>
      <c r="U65" s="401">
        <v>-3</v>
      </c>
      <c r="V65" s="400">
        <v>-7</v>
      </c>
      <c r="W65" s="400">
        <v>-20</v>
      </c>
      <c r="X65" s="400">
        <v>-14</v>
      </c>
      <c r="Y65" s="401">
        <v>-5</v>
      </c>
      <c r="Z65" s="400">
        <v>-4</v>
      </c>
      <c r="AA65" s="400">
        <v>15</v>
      </c>
      <c r="AB65" s="400">
        <v>14</v>
      </c>
      <c r="AC65" s="401">
        <v>14</v>
      </c>
      <c r="AD65" s="400">
        <v>26</v>
      </c>
      <c r="AE65" s="400">
        <v>22</v>
      </c>
      <c r="AF65" s="400">
        <v>28</v>
      </c>
      <c r="AG65" s="401">
        <v>25</v>
      </c>
      <c r="AH65" s="400">
        <v>25</v>
      </c>
      <c r="AI65" s="400">
        <v>34</v>
      </c>
      <c r="AJ65" s="400">
        <v>17</v>
      </c>
      <c r="AK65" s="401">
        <v>12</v>
      </c>
      <c r="AL65" s="400">
        <v>2</v>
      </c>
      <c r="AM65" s="400">
        <v>4</v>
      </c>
      <c r="AN65" s="400">
        <v>5</v>
      </c>
      <c r="AO65" s="401">
        <v>11</v>
      </c>
      <c r="AP65" s="400">
        <v>10</v>
      </c>
      <c r="AQ65" s="400">
        <v>-8</v>
      </c>
      <c r="AR65" s="400">
        <v>-3</v>
      </c>
      <c r="AS65" s="401">
        <v>-7</v>
      </c>
      <c r="AT65" s="400">
        <v>-8</v>
      </c>
      <c r="AU65" s="400">
        <v>10</v>
      </c>
    </row>
    <row r="66" spans="1:47" ht="13">
      <c r="A66" s="395" t="s">
        <v>480</v>
      </c>
      <c r="B66" s="416">
        <v>28663</v>
      </c>
      <c r="C66" s="416">
        <v>27102</v>
      </c>
      <c r="D66" s="416">
        <v>31363.994574501499</v>
      </c>
      <c r="E66" s="416">
        <v>38285.266855336195</v>
      </c>
      <c r="F66" s="416">
        <v>40849</v>
      </c>
      <c r="G66" s="416">
        <v>36122</v>
      </c>
      <c r="H66" s="416">
        <v>39645</v>
      </c>
      <c r="I66" s="416">
        <v>49694</v>
      </c>
      <c r="J66" s="416">
        <v>60343</v>
      </c>
      <c r="K66" s="416">
        <v>63604</v>
      </c>
      <c r="L66" s="416">
        <v>61998</v>
      </c>
      <c r="M66" s="265"/>
      <c r="N66" s="416">
        <v>8233</v>
      </c>
      <c r="O66" s="416">
        <v>9843</v>
      </c>
      <c r="P66" s="416">
        <v>9651</v>
      </c>
      <c r="Q66" s="417">
        <v>10558</v>
      </c>
      <c r="R66" s="416">
        <v>9785</v>
      </c>
      <c r="S66" s="416">
        <v>10626</v>
      </c>
      <c r="T66" s="416">
        <v>10158</v>
      </c>
      <c r="U66" s="417">
        <v>10280</v>
      </c>
      <c r="V66" s="416">
        <v>9134</v>
      </c>
      <c r="W66" s="416">
        <v>8458</v>
      </c>
      <c r="X66" s="416">
        <v>8724</v>
      </c>
      <c r="Y66" s="417">
        <v>9806</v>
      </c>
      <c r="Z66" s="416">
        <v>8773</v>
      </c>
      <c r="AA66" s="416">
        <v>9733</v>
      </c>
      <c r="AB66" s="416">
        <v>9966</v>
      </c>
      <c r="AC66" s="417">
        <v>11172.561748706199</v>
      </c>
      <c r="AD66" s="416">
        <v>11088</v>
      </c>
      <c r="AE66" s="416">
        <v>11867.769456832501</v>
      </c>
      <c r="AF66" s="416">
        <v>12802.343484839999</v>
      </c>
      <c r="AG66" s="417">
        <v>13936.3026103215</v>
      </c>
      <c r="AH66" s="416">
        <v>13867.5831329346</v>
      </c>
      <c r="AI66" s="416">
        <v>15909.933056974</v>
      </c>
      <c r="AJ66" s="416">
        <v>14997.068450601</v>
      </c>
      <c r="AK66" s="417">
        <v>15568.452544305701</v>
      </c>
      <c r="AL66" s="416">
        <v>14142.8285693898</v>
      </c>
      <c r="AM66" s="416">
        <v>16510.755905984199</v>
      </c>
      <c r="AN66" s="416">
        <v>15699.4400964908</v>
      </c>
      <c r="AO66" s="417">
        <v>17249.7849331328</v>
      </c>
      <c r="AP66" s="416">
        <v>15535.7063562821</v>
      </c>
      <c r="AQ66" s="416">
        <v>15129.878603667101</v>
      </c>
      <c r="AR66" s="416">
        <v>15242.3110648578</v>
      </c>
      <c r="AS66" s="417">
        <v>16089.870912296799</v>
      </c>
      <c r="AT66" s="416">
        <v>14350.736806341101</v>
      </c>
      <c r="AU66" s="416">
        <v>16702.106238568398</v>
      </c>
    </row>
    <row r="67" spans="1:47" ht="13">
      <c r="A67" s="395"/>
      <c r="B67" s="396"/>
      <c r="C67" s="396"/>
      <c r="D67" s="384"/>
      <c r="E67" s="396"/>
      <c r="F67" s="396"/>
      <c r="G67" s="396"/>
      <c r="H67" s="396"/>
      <c r="I67" s="396"/>
      <c r="J67" s="396"/>
      <c r="K67" s="396"/>
      <c r="L67" s="396"/>
      <c r="M67" s="265"/>
      <c r="N67" s="396"/>
      <c r="O67" s="384"/>
      <c r="P67" s="384"/>
      <c r="Q67" s="385"/>
      <c r="R67" s="396"/>
      <c r="S67" s="384"/>
      <c r="T67" s="384"/>
      <c r="U67" s="385"/>
      <c r="V67" s="396"/>
      <c r="W67" s="396"/>
      <c r="X67" s="396"/>
      <c r="Y67" s="397"/>
      <c r="Z67" s="396"/>
      <c r="AA67" s="396"/>
      <c r="AB67" s="396"/>
      <c r="AC67" s="397"/>
      <c r="AD67" s="396"/>
      <c r="AE67" s="396"/>
      <c r="AF67" s="396"/>
      <c r="AG67" s="397"/>
      <c r="AH67" s="396"/>
      <c r="AI67" s="396"/>
      <c r="AJ67" s="396"/>
      <c r="AK67" s="397"/>
      <c r="AL67" s="396"/>
      <c r="AM67" s="396"/>
      <c r="AN67" s="396"/>
      <c r="AO67" s="397"/>
      <c r="AP67" s="396"/>
      <c r="AQ67" s="396"/>
      <c r="AR67" s="396"/>
      <c r="AS67" s="397"/>
      <c r="AT67" s="396"/>
      <c r="AU67" s="396"/>
    </row>
    <row r="68" spans="1:47" ht="13">
      <c r="A68" s="415" t="s">
        <v>487</v>
      </c>
      <c r="B68" s="389">
        <v>2015</v>
      </c>
      <c r="C68" s="389">
        <v>2016</v>
      </c>
      <c r="D68" s="389">
        <v>2017</v>
      </c>
      <c r="E68" s="389">
        <v>2018</v>
      </c>
      <c r="F68" s="389">
        <v>2019</v>
      </c>
      <c r="G68" s="389">
        <v>2020</v>
      </c>
      <c r="H68" s="389">
        <v>2021</v>
      </c>
      <c r="I68" s="389">
        <v>2022</v>
      </c>
      <c r="J68" s="389">
        <v>2023</v>
      </c>
      <c r="K68" s="389">
        <v>2024</v>
      </c>
      <c r="L68" s="389">
        <v>2025</v>
      </c>
      <c r="M68" s="390"/>
      <c r="N68" s="389" t="s">
        <v>128</v>
      </c>
      <c r="O68" s="389" t="s">
        <v>129</v>
      </c>
      <c r="P68" s="389" t="s">
        <v>130</v>
      </c>
      <c r="Q68" s="391" t="s">
        <v>131</v>
      </c>
      <c r="R68" s="389" t="s">
        <v>132</v>
      </c>
      <c r="S68" s="389" t="s">
        <v>133</v>
      </c>
      <c r="T68" s="389" t="s">
        <v>134</v>
      </c>
      <c r="U68" s="391" t="s">
        <v>135</v>
      </c>
      <c r="V68" s="389" t="s">
        <v>136</v>
      </c>
      <c r="W68" s="389" t="s">
        <v>137</v>
      </c>
      <c r="X68" s="389" t="s">
        <v>138</v>
      </c>
      <c r="Y68" s="391" t="s">
        <v>139</v>
      </c>
      <c r="Z68" s="389" t="s">
        <v>140</v>
      </c>
      <c r="AA68" s="389" t="s">
        <v>141</v>
      </c>
      <c r="AB68" s="389" t="s">
        <v>142</v>
      </c>
      <c r="AC68" s="391" t="s">
        <v>143</v>
      </c>
      <c r="AD68" s="389" t="s">
        <v>144</v>
      </c>
      <c r="AE68" s="389" t="s">
        <v>145</v>
      </c>
      <c r="AF68" s="389" t="s">
        <v>146</v>
      </c>
      <c r="AG68" s="391" t="s">
        <v>147</v>
      </c>
      <c r="AH68" s="389" t="s">
        <v>148</v>
      </c>
      <c r="AI68" s="389" t="s">
        <v>149</v>
      </c>
      <c r="AJ68" s="389" t="s">
        <v>150</v>
      </c>
      <c r="AK68" s="391" t="s">
        <v>151</v>
      </c>
      <c r="AL68" s="389" t="s">
        <v>152</v>
      </c>
      <c r="AM68" s="389" t="s">
        <v>153</v>
      </c>
      <c r="AN68" s="389" t="s">
        <v>154</v>
      </c>
      <c r="AO68" s="391" t="s">
        <v>155</v>
      </c>
      <c r="AP68" s="389" t="s">
        <v>156</v>
      </c>
      <c r="AQ68" s="389" t="s">
        <v>157</v>
      </c>
      <c r="AR68" s="389" t="s">
        <v>158</v>
      </c>
      <c r="AS68" s="391" t="s">
        <v>820</v>
      </c>
      <c r="AT68" s="389" t="s">
        <v>1275</v>
      </c>
      <c r="AU68" s="389" t="s">
        <v>1344</v>
      </c>
    </row>
    <row r="69" spans="1:47" ht="13">
      <c r="A69" s="392" t="s">
        <v>475</v>
      </c>
      <c r="B69" s="416">
        <v>19461</v>
      </c>
      <c r="C69" s="416">
        <v>20317</v>
      </c>
      <c r="D69" s="416">
        <v>18898</v>
      </c>
      <c r="E69" s="416">
        <v>22383.0855085734</v>
      </c>
      <c r="F69" s="416">
        <v>28540</v>
      </c>
      <c r="G69" s="416">
        <v>29891</v>
      </c>
      <c r="H69" s="416">
        <v>26927</v>
      </c>
      <c r="I69" s="416">
        <v>29320</v>
      </c>
      <c r="J69" s="416">
        <v>38904</v>
      </c>
      <c r="K69" s="416">
        <v>47530</v>
      </c>
      <c r="L69" s="416">
        <v>48914</v>
      </c>
      <c r="M69" s="265"/>
      <c r="N69" s="416">
        <v>5220</v>
      </c>
      <c r="O69" s="416">
        <v>5495</v>
      </c>
      <c r="P69" s="416">
        <v>5406</v>
      </c>
      <c r="Q69" s="417">
        <v>6262</v>
      </c>
      <c r="R69" s="416">
        <v>5943</v>
      </c>
      <c r="S69" s="416">
        <v>7325</v>
      </c>
      <c r="T69" s="416">
        <v>7178</v>
      </c>
      <c r="U69" s="417">
        <v>8094</v>
      </c>
      <c r="V69" s="416">
        <v>7115</v>
      </c>
      <c r="W69" s="416">
        <v>7702</v>
      </c>
      <c r="X69" s="416">
        <v>7334</v>
      </c>
      <c r="Y69" s="417">
        <v>7740</v>
      </c>
      <c r="Z69" s="416">
        <v>6579</v>
      </c>
      <c r="AA69" s="416">
        <v>6422</v>
      </c>
      <c r="AB69" s="416">
        <v>6471</v>
      </c>
      <c r="AC69" s="417">
        <v>7454.7975964984998</v>
      </c>
      <c r="AD69" s="416">
        <v>6391</v>
      </c>
      <c r="AE69" s="416">
        <v>7187.1050946749001</v>
      </c>
      <c r="AF69" s="416">
        <v>7241.6238343598998</v>
      </c>
      <c r="AG69" s="417">
        <v>8499.9494975015004</v>
      </c>
      <c r="AH69" s="416">
        <v>8485.0400528851005</v>
      </c>
      <c r="AI69" s="416">
        <v>9059.9807295390001</v>
      </c>
      <c r="AJ69" s="416">
        <v>10070.484137253501</v>
      </c>
      <c r="AK69" s="417">
        <v>11288.754794475301</v>
      </c>
      <c r="AL69" s="416">
        <v>10732.9447077799</v>
      </c>
      <c r="AM69" s="416">
        <v>12509.7765310253</v>
      </c>
      <c r="AN69" s="416">
        <v>11729.024263104999</v>
      </c>
      <c r="AO69" s="417">
        <v>12557.686848122099</v>
      </c>
      <c r="AP69" s="416">
        <v>11212.365580766</v>
      </c>
      <c r="AQ69" s="416">
        <v>12515.526100765101</v>
      </c>
      <c r="AR69" s="416">
        <v>11875.4769268457</v>
      </c>
      <c r="AS69" s="417">
        <v>13310.7616328977</v>
      </c>
      <c r="AT69" s="416">
        <v>11703.723978803899</v>
      </c>
      <c r="AU69" s="416">
        <v>11435.453801408499</v>
      </c>
    </row>
    <row r="70" spans="1:47" ht="13">
      <c r="A70" s="395" t="s">
        <v>476</v>
      </c>
      <c r="B70" s="396">
        <v>-2.2000000000000002</v>
      </c>
      <c r="C70" s="396">
        <v>-4.5</v>
      </c>
      <c r="D70" s="396">
        <v>16.149999999999999</v>
      </c>
      <c r="E70" s="396">
        <v>24</v>
      </c>
      <c r="F70" s="396">
        <v>2</v>
      </c>
      <c r="G70" s="396">
        <v>-4</v>
      </c>
      <c r="H70" s="396">
        <v>11</v>
      </c>
      <c r="I70" s="396">
        <v>13</v>
      </c>
      <c r="J70" s="396">
        <v>12</v>
      </c>
      <c r="K70" s="396">
        <v>5</v>
      </c>
      <c r="L70" s="396">
        <v>4</v>
      </c>
      <c r="M70" s="265"/>
      <c r="N70" s="396">
        <v>16</v>
      </c>
      <c r="O70" s="396">
        <v>29.65161598880503</v>
      </c>
      <c r="P70" s="396">
        <v>25</v>
      </c>
      <c r="Q70" s="397">
        <v>22</v>
      </c>
      <c r="R70" s="396">
        <v>17</v>
      </c>
      <c r="S70" s="396">
        <v>3</v>
      </c>
      <c r="T70" s="396">
        <v>-2</v>
      </c>
      <c r="U70" s="397">
        <v>-6</v>
      </c>
      <c r="V70" s="396">
        <v>-8</v>
      </c>
      <c r="W70" s="396">
        <v>-13</v>
      </c>
      <c r="X70" s="396">
        <v>-2</v>
      </c>
      <c r="Y70" s="397">
        <v>7</v>
      </c>
      <c r="Z70" s="396">
        <v>7</v>
      </c>
      <c r="AA70" s="396">
        <v>19</v>
      </c>
      <c r="AB70" s="396">
        <v>9</v>
      </c>
      <c r="AC70" s="397">
        <v>9</v>
      </c>
      <c r="AD70" s="396">
        <v>17</v>
      </c>
      <c r="AE70" s="396">
        <v>8</v>
      </c>
      <c r="AF70" s="396">
        <v>18</v>
      </c>
      <c r="AG70" s="397">
        <v>12</v>
      </c>
      <c r="AH70" s="396">
        <v>10</v>
      </c>
      <c r="AI70" s="396">
        <v>22</v>
      </c>
      <c r="AJ70" s="396">
        <v>7</v>
      </c>
      <c r="AK70" s="397">
        <v>8</v>
      </c>
      <c r="AL70" s="396">
        <v>6</v>
      </c>
      <c r="AM70" s="396">
        <v>1</v>
      </c>
      <c r="AN70" s="396">
        <v>5</v>
      </c>
      <c r="AO70" s="397">
        <v>6</v>
      </c>
      <c r="AP70" s="396">
        <v>4</v>
      </c>
      <c r="AQ70" s="396">
        <v>1</v>
      </c>
      <c r="AR70" s="396">
        <v>6</v>
      </c>
      <c r="AS70" s="397">
        <v>4</v>
      </c>
      <c r="AT70" s="396">
        <v>2</v>
      </c>
      <c r="AU70" s="396">
        <v>13</v>
      </c>
    </row>
    <row r="71" spans="1:47" ht="13">
      <c r="A71" s="395" t="s">
        <v>477</v>
      </c>
      <c r="B71" s="396">
        <v>6</v>
      </c>
      <c r="C71" s="396">
        <v>-2</v>
      </c>
      <c r="D71" s="396">
        <v>2</v>
      </c>
      <c r="E71" s="396">
        <v>0.75469250118649756</v>
      </c>
      <c r="F71" s="396">
        <v>4</v>
      </c>
      <c r="G71" s="396">
        <v>-6.2751009879195987</v>
      </c>
      <c r="H71" s="396">
        <v>-3.9252113897303409</v>
      </c>
      <c r="I71" s="396">
        <v>12</v>
      </c>
      <c r="J71" s="396">
        <v>3.2003739500039914</v>
      </c>
      <c r="K71" s="396">
        <v>-1.8766334422764683</v>
      </c>
      <c r="L71" s="396">
        <v>-7.5120030723474809</v>
      </c>
      <c r="M71" s="265"/>
      <c r="N71" s="396">
        <v>-4.9621141467681982</v>
      </c>
      <c r="O71" s="396">
        <v>0.4187266962524962</v>
      </c>
      <c r="P71" s="396">
        <v>4.5674480876842862</v>
      </c>
      <c r="Q71" s="397">
        <v>2.5160988226223919</v>
      </c>
      <c r="R71" s="396">
        <v>4.487466757530564</v>
      </c>
      <c r="S71" s="396">
        <v>2.620196627962426</v>
      </c>
      <c r="T71" s="396">
        <v>4.8776320513127276</v>
      </c>
      <c r="U71" s="397">
        <v>3</v>
      </c>
      <c r="V71" s="396">
        <v>0</v>
      </c>
      <c r="W71" s="396">
        <v>-4.2546499208722688</v>
      </c>
      <c r="X71" s="396">
        <v>-10.417057261053438</v>
      </c>
      <c r="Y71" s="397">
        <v>-10.530384318218564</v>
      </c>
      <c r="Z71" s="396">
        <v>-10.060591357244645</v>
      </c>
      <c r="AA71" s="396">
        <v>-8.2349255394889873</v>
      </c>
      <c r="AB71" s="396">
        <v>-0.30702769329448981</v>
      </c>
      <c r="AC71" s="397">
        <v>2.0686559529565844</v>
      </c>
      <c r="AD71" s="396">
        <v>7.8465699672707947</v>
      </c>
      <c r="AE71" s="396">
        <v>10.238393406313618</v>
      </c>
      <c r="AF71" s="396">
        <v>14.624860986628319</v>
      </c>
      <c r="AG71" s="397">
        <v>13.382063109111817</v>
      </c>
      <c r="AH71" s="396">
        <v>7.162242694516106</v>
      </c>
      <c r="AI71" s="396">
        <v>5.7144295598598971</v>
      </c>
      <c r="AJ71" s="396">
        <v>1.5608360562799366</v>
      </c>
      <c r="AK71" s="397">
        <v>-0.33260831194024965</v>
      </c>
      <c r="AL71" s="396">
        <v>-3.0109409260237379</v>
      </c>
      <c r="AM71" s="396">
        <v>-1.1325917380286126</v>
      </c>
      <c r="AN71" s="396">
        <v>-4.0941138641653358</v>
      </c>
      <c r="AO71" s="397">
        <v>0.42273868024267547</v>
      </c>
      <c r="AP71" s="396">
        <v>-0.16181609843710004</v>
      </c>
      <c r="AQ71" s="396">
        <v>-10</v>
      </c>
      <c r="AR71" s="396">
        <v>-8.6548366597322186</v>
      </c>
      <c r="AS71" s="397">
        <v>-10.49722439077865</v>
      </c>
      <c r="AT71" s="396">
        <v>-9.5674934513060599</v>
      </c>
      <c r="AU71" s="396">
        <v>-1</v>
      </c>
    </row>
    <row r="72" spans="1:47" ht="13">
      <c r="A72" s="395" t="s">
        <v>478</v>
      </c>
      <c r="B72" s="396">
        <v>0</v>
      </c>
      <c r="C72" s="396">
        <v>0</v>
      </c>
      <c r="D72" s="396">
        <v>0.3</v>
      </c>
      <c r="E72" s="396">
        <v>3.3199532376417289</v>
      </c>
      <c r="F72" s="396">
        <v>-1</v>
      </c>
      <c r="G72" s="396">
        <v>5.3267376984594828E-3</v>
      </c>
      <c r="H72" s="396">
        <v>1.7527178270817203</v>
      </c>
      <c r="I72" s="396">
        <v>3</v>
      </c>
      <c r="J72" s="396">
        <v>6.8631676461106466</v>
      </c>
      <c r="K72" s="396">
        <v>0.38233958306098781</v>
      </c>
      <c r="L72" s="396">
        <v>5.148927830606656E-2</v>
      </c>
      <c r="M72" s="265"/>
      <c r="N72" s="396">
        <v>3</v>
      </c>
      <c r="O72" s="396">
        <v>3</v>
      </c>
      <c r="P72" s="396">
        <v>3.2243763239486549</v>
      </c>
      <c r="Q72" s="397">
        <v>3.7717342857121068</v>
      </c>
      <c r="R72" s="396">
        <v>-0.9691395495127233</v>
      </c>
      <c r="S72" s="396">
        <v>-0.75631945487105079</v>
      </c>
      <c r="T72" s="396">
        <v>-0.77324686311412461</v>
      </c>
      <c r="U72" s="397">
        <v>-1</v>
      </c>
      <c r="V72" s="396">
        <v>0</v>
      </c>
      <c r="W72" s="396">
        <v>-0.18985787582445951</v>
      </c>
      <c r="X72" s="396">
        <v>1.9950670268902015E-2</v>
      </c>
      <c r="Y72" s="397">
        <v>0.23695245264588347</v>
      </c>
      <c r="Z72" s="396">
        <v>0.19667995190570739</v>
      </c>
      <c r="AA72" s="396">
        <v>0.71898282202546071</v>
      </c>
      <c r="AB72" s="396">
        <v>3.1380079179650946</v>
      </c>
      <c r="AC72" s="397">
        <v>2.8138987242347979</v>
      </c>
      <c r="AD72" s="396">
        <v>3.4177633277541917</v>
      </c>
      <c r="AE72" s="396">
        <v>3.1696115696998084</v>
      </c>
      <c r="AF72" s="396">
        <v>1.8451987397341956</v>
      </c>
      <c r="AG72" s="397">
        <v>4.9910912240184766</v>
      </c>
      <c r="AH72" s="396">
        <v>8.9559810392787824</v>
      </c>
      <c r="AI72" s="396">
        <v>9.9181285949481559</v>
      </c>
      <c r="AJ72" s="396">
        <v>6.7589220748311876</v>
      </c>
      <c r="AK72" s="397">
        <v>2.9313177453597143</v>
      </c>
      <c r="AL72" s="396">
        <v>0.94555372817524042</v>
      </c>
      <c r="AM72" s="396">
        <v>0.14820578184685163</v>
      </c>
      <c r="AN72" s="396">
        <v>0.26347541385270434</v>
      </c>
      <c r="AO72" s="397">
        <v>0.24523861001284117</v>
      </c>
      <c r="AP72" s="396">
        <v>0.22357569069994068</v>
      </c>
      <c r="AQ72" s="396">
        <v>-3.2152064464585351E-4</v>
      </c>
      <c r="AR72" s="396">
        <v>2.0496018955648847E-3</v>
      </c>
      <c r="AS72" s="397">
        <v>-6.438373187315768E-4</v>
      </c>
      <c r="AT72" s="396">
        <v>2.009616771772475E-3</v>
      </c>
      <c r="AU72" s="396">
        <v>0</v>
      </c>
    </row>
    <row r="73" spans="1:47" ht="13">
      <c r="A73" s="399" t="s">
        <v>479</v>
      </c>
      <c r="B73" s="400">
        <v>4</v>
      </c>
      <c r="C73" s="400">
        <v>-7</v>
      </c>
      <c r="D73" s="400">
        <v>18</v>
      </c>
      <c r="E73" s="400">
        <v>28</v>
      </c>
      <c r="F73" s="400">
        <v>5</v>
      </c>
      <c r="G73" s="400">
        <v>-10</v>
      </c>
      <c r="H73" s="400">
        <v>9</v>
      </c>
      <c r="I73" s="400">
        <v>28</v>
      </c>
      <c r="J73" s="400">
        <v>22</v>
      </c>
      <c r="K73" s="400">
        <v>3</v>
      </c>
      <c r="L73" s="400">
        <v>-4</v>
      </c>
      <c r="M73" s="265"/>
      <c r="N73" s="400">
        <v>14</v>
      </c>
      <c r="O73" s="400">
        <v>33</v>
      </c>
      <c r="P73" s="400">
        <v>33</v>
      </c>
      <c r="Q73" s="401">
        <v>29</v>
      </c>
      <c r="R73" s="400">
        <v>20</v>
      </c>
      <c r="S73" s="400">
        <v>5</v>
      </c>
      <c r="T73" s="400">
        <v>2</v>
      </c>
      <c r="U73" s="401">
        <v>-4</v>
      </c>
      <c r="V73" s="400">
        <v>-8</v>
      </c>
      <c r="W73" s="400">
        <v>-17</v>
      </c>
      <c r="X73" s="400">
        <v>-12</v>
      </c>
      <c r="Y73" s="401">
        <v>-4</v>
      </c>
      <c r="Z73" s="400">
        <v>-3</v>
      </c>
      <c r="AA73" s="400">
        <v>12</v>
      </c>
      <c r="AB73" s="400">
        <v>12</v>
      </c>
      <c r="AC73" s="401">
        <v>14</v>
      </c>
      <c r="AD73" s="400">
        <v>28</v>
      </c>
      <c r="AE73" s="400">
        <v>21</v>
      </c>
      <c r="AF73" s="400">
        <v>35</v>
      </c>
      <c r="AG73" s="401">
        <v>30</v>
      </c>
      <c r="AH73" s="400">
        <v>26</v>
      </c>
      <c r="AI73" s="400">
        <v>38</v>
      </c>
      <c r="AJ73" s="400">
        <v>16</v>
      </c>
      <c r="AK73" s="401">
        <v>11</v>
      </c>
      <c r="AL73" s="400">
        <v>4</v>
      </c>
      <c r="AM73" s="400">
        <v>0</v>
      </c>
      <c r="AN73" s="400">
        <v>1</v>
      </c>
      <c r="AO73" s="401">
        <v>6</v>
      </c>
      <c r="AP73" s="400">
        <v>4</v>
      </c>
      <c r="AQ73" s="400">
        <v>-9</v>
      </c>
      <c r="AR73" s="400">
        <v>-3</v>
      </c>
      <c r="AS73" s="401">
        <v>-6</v>
      </c>
      <c r="AT73" s="400">
        <v>-8</v>
      </c>
      <c r="AU73" s="400">
        <v>12</v>
      </c>
    </row>
    <row r="74" spans="1:47" ht="13">
      <c r="A74" s="395" t="s">
        <v>480</v>
      </c>
      <c r="B74" s="416">
        <v>20317</v>
      </c>
      <c r="C74" s="416">
        <v>18898</v>
      </c>
      <c r="D74" s="416">
        <v>22383.085508573698</v>
      </c>
      <c r="E74" s="416">
        <v>28540.006055286198</v>
      </c>
      <c r="F74" s="416">
        <v>29891</v>
      </c>
      <c r="G74" s="416">
        <v>26927</v>
      </c>
      <c r="H74" s="416">
        <v>29320</v>
      </c>
      <c r="I74" s="416">
        <v>37661</v>
      </c>
      <c r="J74" s="416">
        <v>47530</v>
      </c>
      <c r="K74" s="416">
        <v>48914</v>
      </c>
      <c r="L74" s="416">
        <v>47121</v>
      </c>
      <c r="M74" s="265"/>
      <c r="N74" s="416">
        <v>5943</v>
      </c>
      <c r="O74" s="416">
        <v>7325</v>
      </c>
      <c r="P74" s="416">
        <v>7178</v>
      </c>
      <c r="Q74" s="417">
        <v>8094</v>
      </c>
      <c r="R74" s="416">
        <v>7115</v>
      </c>
      <c r="S74" s="416">
        <v>7702</v>
      </c>
      <c r="T74" s="416">
        <v>7334</v>
      </c>
      <c r="U74" s="417">
        <v>7740</v>
      </c>
      <c r="V74" s="416">
        <v>6579</v>
      </c>
      <c r="W74" s="416">
        <v>6422</v>
      </c>
      <c r="X74" s="416">
        <v>6471</v>
      </c>
      <c r="Y74" s="417">
        <v>7456</v>
      </c>
      <c r="Z74" s="416">
        <v>6391</v>
      </c>
      <c r="AA74" s="416">
        <v>7187</v>
      </c>
      <c r="AB74" s="416">
        <v>7242</v>
      </c>
      <c r="AC74" s="417">
        <v>11172.561748706199</v>
      </c>
      <c r="AD74" s="416">
        <v>8196</v>
      </c>
      <c r="AE74" s="416">
        <v>8700</v>
      </c>
      <c r="AF74" s="416">
        <v>9747</v>
      </c>
      <c r="AG74" s="417">
        <v>11018.116516412201</v>
      </c>
      <c r="AH74" s="416">
        <v>10733.144707779898</v>
      </c>
      <c r="AI74" s="416">
        <v>12509.976531025301</v>
      </c>
      <c r="AJ74" s="416">
        <v>11729.224263105099</v>
      </c>
      <c r="AK74" s="417">
        <v>12557.886848122002</v>
      </c>
      <c r="AL74" s="416">
        <v>11212.3655807659</v>
      </c>
      <c r="AM74" s="416">
        <v>12515.526100764999</v>
      </c>
      <c r="AN74" s="416">
        <v>11875.4769268458</v>
      </c>
      <c r="AO74" s="417">
        <v>13310.6616328978</v>
      </c>
      <c r="AP74" s="416">
        <v>11703.6239788041</v>
      </c>
      <c r="AQ74" s="416">
        <v>11435.453801408499</v>
      </c>
      <c r="AR74" s="416">
        <v>11512.600039725001</v>
      </c>
      <c r="AS74" s="417">
        <v>12469.068141064099</v>
      </c>
      <c r="AT74" s="416">
        <v>10776.062254631899</v>
      </c>
      <c r="AU74" s="416">
        <v>12839.2368804088</v>
      </c>
    </row>
    <row r="75" spans="1:47" ht="13">
      <c r="A75" s="395"/>
      <c r="B75" s="396"/>
      <c r="C75" s="396"/>
      <c r="D75" s="384"/>
      <c r="E75" s="396"/>
      <c r="F75" s="396"/>
      <c r="G75" s="396"/>
      <c r="H75" s="396"/>
      <c r="I75" s="396"/>
      <c r="J75" s="396"/>
      <c r="K75" s="396"/>
      <c r="L75" s="396"/>
      <c r="M75" s="265"/>
      <c r="N75" s="396"/>
      <c r="O75" s="384"/>
      <c r="P75" s="384"/>
      <c r="Q75" s="385"/>
      <c r="R75" s="396"/>
      <c r="S75" s="384"/>
      <c r="T75" s="384"/>
      <c r="U75" s="385"/>
      <c r="V75" s="396"/>
      <c r="W75" s="396"/>
      <c r="X75" s="396"/>
      <c r="Y75" s="397"/>
      <c r="Z75" s="396"/>
      <c r="AA75" s="396"/>
      <c r="AB75" s="396"/>
      <c r="AC75" s="397"/>
      <c r="AD75" s="396"/>
      <c r="AE75" s="396"/>
      <c r="AF75" s="396"/>
      <c r="AG75" s="397"/>
      <c r="AH75" s="396"/>
      <c r="AI75" s="396"/>
      <c r="AJ75" s="396"/>
      <c r="AK75" s="397"/>
      <c r="AL75" s="396"/>
      <c r="AM75" s="396"/>
      <c r="AN75" s="396"/>
      <c r="AO75" s="397"/>
      <c r="AP75" s="396"/>
      <c r="AQ75" s="396"/>
      <c r="AR75" s="396"/>
      <c r="AS75" s="397"/>
      <c r="AT75" s="396"/>
      <c r="AU75" s="396"/>
    </row>
    <row r="76" spans="1:47" ht="13">
      <c r="A76" s="415" t="s">
        <v>294</v>
      </c>
      <c r="B76" s="389">
        <v>2015</v>
      </c>
      <c r="C76" s="389">
        <v>2016</v>
      </c>
      <c r="D76" s="389">
        <v>2017</v>
      </c>
      <c r="E76" s="389">
        <v>2018</v>
      </c>
      <c r="F76" s="389">
        <v>2019</v>
      </c>
      <c r="G76" s="389">
        <v>2020</v>
      </c>
      <c r="H76" s="389">
        <v>2021</v>
      </c>
      <c r="I76" s="389">
        <v>2022</v>
      </c>
      <c r="J76" s="389">
        <v>2023</v>
      </c>
      <c r="K76" s="389">
        <v>2024</v>
      </c>
      <c r="L76" s="389">
        <v>2025</v>
      </c>
      <c r="M76" s="390"/>
      <c r="N76" s="389" t="s">
        <v>128</v>
      </c>
      <c r="O76" s="389" t="s">
        <v>129</v>
      </c>
      <c r="P76" s="389" t="s">
        <v>130</v>
      </c>
      <c r="Q76" s="391" t="s">
        <v>131</v>
      </c>
      <c r="R76" s="389" t="s">
        <v>132</v>
      </c>
      <c r="S76" s="389" t="s">
        <v>133</v>
      </c>
      <c r="T76" s="389" t="s">
        <v>134</v>
      </c>
      <c r="U76" s="391" t="s">
        <v>135</v>
      </c>
      <c r="V76" s="389" t="s">
        <v>136</v>
      </c>
      <c r="W76" s="389" t="s">
        <v>137</v>
      </c>
      <c r="X76" s="389" t="s">
        <v>138</v>
      </c>
      <c r="Y76" s="391" t="s">
        <v>139</v>
      </c>
      <c r="Z76" s="389" t="s">
        <v>140</v>
      </c>
      <c r="AA76" s="389" t="s">
        <v>141</v>
      </c>
      <c r="AB76" s="389" t="s">
        <v>142</v>
      </c>
      <c r="AC76" s="391" t="s">
        <v>143</v>
      </c>
      <c r="AD76" s="389" t="s">
        <v>144</v>
      </c>
      <c r="AE76" s="389" t="s">
        <v>145</v>
      </c>
      <c r="AF76" s="389" t="s">
        <v>146</v>
      </c>
      <c r="AG76" s="391" t="s">
        <v>147</v>
      </c>
      <c r="AH76" s="389" t="s">
        <v>148</v>
      </c>
      <c r="AI76" s="389" t="s">
        <v>149</v>
      </c>
      <c r="AJ76" s="389" t="s">
        <v>150</v>
      </c>
      <c r="AK76" s="391" t="s">
        <v>151</v>
      </c>
      <c r="AL76" s="389" t="s">
        <v>152</v>
      </c>
      <c r="AM76" s="389" t="s">
        <v>153</v>
      </c>
      <c r="AN76" s="389" t="s">
        <v>154</v>
      </c>
      <c r="AO76" s="391" t="s">
        <v>155</v>
      </c>
      <c r="AP76" s="389" t="s">
        <v>156</v>
      </c>
      <c r="AQ76" s="389" t="s">
        <v>157</v>
      </c>
      <c r="AR76" s="389" t="s">
        <v>158</v>
      </c>
      <c r="AS76" s="391" t="s">
        <v>820</v>
      </c>
      <c r="AT76" s="389" t="s">
        <v>1275</v>
      </c>
      <c r="AU76" s="389" t="s">
        <v>1344</v>
      </c>
    </row>
    <row r="77" spans="1:47" ht="13">
      <c r="A77" s="392" t="s">
        <v>475</v>
      </c>
      <c r="B77" s="416">
        <v>0</v>
      </c>
      <c r="C77" s="416">
        <v>8510</v>
      </c>
      <c r="D77" s="416">
        <v>7710</v>
      </c>
      <c r="E77" s="416">
        <v>10276.325125165898</v>
      </c>
      <c r="F77" s="416">
        <v>14238</v>
      </c>
      <c r="G77" s="416">
        <v>13861</v>
      </c>
      <c r="H77" s="416">
        <v>11382</v>
      </c>
      <c r="I77" s="416">
        <v>12197</v>
      </c>
      <c r="J77" s="416">
        <v>16442</v>
      </c>
      <c r="K77" s="416">
        <v>20410</v>
      </c>
      <c r="L77" s="416">
        <v>21726</v>
      </c>
      <c r="M77" s="265"/>
      <c r="N77" s="416">
        <v>2219</v>
      </c>
      <c r="O77" s="416">
        <v>2469</v>
      </c>
      <c r="P77" s="416">
        <v>2414</v>
      </c>
      <c r="Q77" s="417">
        <v>3174</v>
      </c>
      <c r="R77" s="416">
        <v>2678</v>
      </c>
      <c r="S77" s="416">
        <v>3640</v>
      </c>
      <c r="T77" s="416">
        <v>3570</v>
      </c>
      <c r="U77" s="417">
        <v>4350</v>
      </c>
      <c r="V77" s="416">
        <v>3313</v>
      </c>
      <c r="W77" s="416">
        <v>3638</v>
      </c>
      <c r="X77" s="416">
        <v>3198</v>
      </c>
      <c r="Y77" s="417">
        <v>3712</v>
      </c>
      <c r="Z77" s="416">
        <v>2519</v>
      </c>
      <c r="AA77" s="416">
        <v>2768</v>
      </c>
      <c r="AB77" s="416">
        <v>2688</v>
      </c>
      <c r="AC77" s="417">
        <v>3407.3960914652002</v>
      </c>
      <c r="AD77" s="416">
        <v>2562</v>
      </c>
      <c r="AE77" s="416">
        <v>3052.2486924113</v>
      </c>
      <c r="AF77" s="416">
        <v>2792.0781614924999</v>
      </c>
      <c r="AG77" s="417">
        <v>3790.6080838184007</v>
      </c>
      <c r="AH77" s="416">
        <v>3698.7304317127</v>
      </c>
      <c r="AI77" s="416">
        <v>3550.0012442187999</v>
      </c>
      <c r="AJ77" s="416">
        <v>4155.3568106990015</v>
      </c>
      <c r="AK77" s="417">
        <v>5036.8462749858008</v>
      </c>
      <c r="AL77" s="416">
        <v>4120.4110178054998</v>
      </c>
      <c r="AM77" s="416">
        <v>5488.7468488042996</v>
      </c>
      <c r="AN77" s="416">
        <v>4870.4002468865983</v>
      </c>
      <c r="AO77" s="417">
        <v>5929.6256847931991</v>
      </c>
      <c r="AP77" s="416">
        <v>4708.3182788562999</v>
      </c>
      <c r="AQ77" s="416">
        <v>5546.6454628759011</v>
      </c>
      <c r="AR77" s="416">
        <v>5178.4339756838008</v>
      </c>
      <c r="AS77" s="417">
        <v>6292.6693177953002</v>
      </c>
      <c r="AT77" s="416">
        <v>5072.2219460001988</v>
      </c>
      <c r="AU77" s="416">
        <v>5011.9548618577001</v>
      </c>
    </row>
    <row r="78" spans="1:47" ht="13">
      <c r="A78" s="395" t="s">
        <v>476</v>
      </c>
      <c r="B78" s="396">
        <v>0</v>
      </c>
      <c r="C78" s="396">
        <v>-7.4</v>
      </c>
      <c r="D78" s="396">
        <v>31.49</v>
      </c>
      <c r="E78" s="396">
        <v>34</v>
      </c>
      <c r="F78" s="396">
        <v>-5</v>
      </c>
      <c r="G78" s="396">
        <v>-13</v>
      </c>
      <c r="H78" s="396">
        <v>9</v>
      </c>
      <c r="I78" s="396">
        <v>11</v>
      </c>
      <c r="J78" s="396">
        <v>12</v>
      </c>
      <c r="K78" s="396">
        <v>6</v>
      </c>
      <c r="L78" s="396">
        <v>5</v>
      </c>
      <c r="M78" s="265"/>
      <c r="N78" s="396">
        <v>21</v>
      </c>
      <c r="O78" s="421">
        <v>42.546180842285075</v>
      </c>
      <c r="P78" s="421">
        <v>39</v>
      </c>
      <c r="Q78" s="422">
        <v>29</v>
      </c>
      <c r="R78" s="396">
        <v>22</v>
      </c>
      <c r="S78" s="421">
        <v>-1</v>
      </c>
      <c r="T78" s="421">
        <v>-12</v>
      </c>
      <c r="U78" s="422">
        <v>-15</v>
      </c>
      <c r="V78" s="396">
        <v>-25</v>
      </c>
      <c r="W78" s="396">
        <v>-21</v>
      </c>
      <c r="X78" s="396">
        <v>-8</v>
      </c>
      <c r="Y78" s="397">
        <v>0</v>
      </c>
      <c r="Z78" s="396">
        <v>11</v>
      </c>
      <c r="AA78" s="396">
        <v>17</v>
      </c>
      <c r="AB78" s="396">
        <v>0</v>
      </c>
      <c r="AC78" s="397">
        <v>7</v>
      </c>
      <c r="AD78" s="396">
        <v>20</v>
      </c>
      <c r="AE78" s="396">
        <v>-6</v>
      </c>
      <c r="AF78" s="396">
        <v>22</v>
      </c>
      <c r="AG78" s="397">
        <v>12</v>
      </c>
      <c r="AH78" s="396">
        <v>-1</v>
      </c>
      <c r="AI78" s="396">
        <v>37</v>
      </c>
      <c r="AJ78" s="396">
        <v>5</v>
      </c>
      <c r="AK78" s="397">
        <v>11</v>
      </c>
      <c r="AL78" s="396">
        <v>13</v>
      </c>
      <c r="AM78" s="396">
        <v>1</v>
      </c>
      <c r="AN78" s="396">
        <v>8</v>
      </c>
      <c r="AO78" s="397">
        <v>4</v>
      </c>
      <c r="AP78" s="396">
        <v>8</v>
      </c>
      <c r="AQ78" s="396">
        <v>-1</v>
      </c>
      <c r="AR78" s="396">
        <v>10</v>
      </c>
      <c r="AS78" s="397">
        <v>4</v>
      </c>
      <c r="AT78" s="396">
        <v>-1</v>
      </c>
      <c r="AU78" s="396">
        <v>21</v>
      </c>
    </row>
    <row r="79" spans="1:47" ht="13">
      <c r="A79" s="395" t="s">
        <v>477</v>
      </c>
      <c r="B79" s="396">
        <v>0</v>
      </c>
      <c r="C79" s="396">
        <v>-2</v>
      </c>
      <c r="D79" s="396">
        <v>1</v>
      </c>
      <c r="E79" s="396">
        <v>1.3442925360473661</v>
      </c>
      <c r="F79" s="396">
        <v>4</v>
      </c>
      <c r="G79" s="396">
        <v>-4.6418003772554446</v>
      </c>
      <c r="H79" s="396">
        <v>-3.6258458519364578</v>
      </c>
      <c r="I79" s="396">
        <v>12</v>
      </c>
      <c r="J79" s="396">
        <v>3.2783732480514165</v>
      </c>
      <c r="K79" s="396">
        <v>-1.5560202916157415</v>
      </c>
      <c r="L79" s="396">
        <v>-6.9694007380626575</v>
      </c>
      <c r="M79" s="265"/>
      <c r="N79" s="396">
        <v>-4</v>
      </c>
      <c r="O79" s="396">
        <v>0.64122466135187706</v>
      </c>
      <c r="P79" s="396">
        <v>5.2355101537391011</v>
      </c>
      <c r="Q79" s="397">
        <v>2.9054635824282227</v>
      </c>
      <c r="R79" s="396">
        <v>5.020507706141637</v>
      </c>
      <c r="S79" s="396">
        <v>3.0475416339540446</v>
      </c>
      <c r="T79" s="396">
        <v>4.3910405915893111</v>
      </c>
      <c r="U79" s="397">
        <v>2</v>
      </c>
      <c r="V79" s="396">
        <v>1</v>
      </c>
      <c r="W79" s="396">
        <v>-2.6780815954308501</v>
      </c>
      <c r="X79" s="396">
        <v>-8.1915328376155117</v>
      </c>
      <c r="Y79" s="397">
        <v>-8.2610357937007866</v>
      </c>
      <c r="Z79" s="396">
        <v>-9.2242855650961886</v>
      </c>
      <c r="AA79" s="396">
        <v>-7.8851465252857231</v>
      </c>
      <c r="AB79" s="396">
        <v>-0.24739205555794228</v>
      </c>
      <c r="AC79" s="397">
        <v>1.3185696182322182</v>
      </c>
      <c r="AD79" s="396">
        <v>8.5163516662758649</v>
      </c>
      <c r="AE79" s="396">
        <v>8.9669034502701539</v>
      </c>
      <c r="AF79" s="396">
        <v>15.256431052616943</v>
      </c>
      <c r="AG79" s="397">
        <v>13.002829641214916</v>
      </c>
      <c r="AH79" s="396">
        <v>5.9662157947322294</v>
      </c>
      <c r="AI79" s="396">
        <v>6.4114963578071338</v>
      </c>
      <c r="AJ79" s="396">
        <v>1.8280416669978377</v>
      </c>
      <c r="AK79" s="397">
        <v>0.46344801160326493</v>
      </c>
      <c r="AL79" s="396">
        <v>-3.196521407510204</v>
      </c>
      <c r="AM79" s="396">
        <v>-0.53615924813801996</v>
      </c>
      <c r="AN79" s="396">
        <v>-4.1796813275477147</v>
      </c>
      <c r="AO79" s="397">
        <v>0.82033876749246482</v>
      </c>
      <c r="AP79" s="396">
        <v>-0.11664074735690769</v>
      </c>
      <c r="AQ79" s="396">
        <v>-9</v>
      </c>
      <c r="AR79" s="396">
        <v>-9.2873748760392374</v>
      </c>
      <c r="AS79" s="397">
        <v>-9.7376134295434653</v>
      </c>
      <c r="AT79" s="396">
        <v>-9.0497324744064525</v>
      </c>
      <c r="AU79" s="396">
        <v>-2</v>
      </c>
    </row>
    <row r="80" spans="1:47" ht="13">
      <c r="A80" s="395" t="s">
        <v>478</v>
      </c>
      <c r="B80" s="396">
        <v>0</v>
      </c>
      <c r="C80" s="396">
        <v>0</v>
      </c>
      <c r="D80" s="396">
        <v>0.5</v>
      </c>
      <c r="E80" s="396">
        <v>4.2077825276184866</v>
      </c>
      <c r="F80" s="396">
        <v>-2</v>
      </c>
      <c r="G80" s="396">
        <v>-0.11213264920438543</v>
      </c>
      <c r="H80" s="396">
        <v>2.1452762504014071</v>
      </c>
      <c r="I80" s="396">
        <v>2</v>
      </c>
      <c r="J80" s="396">
        <v>2.5993124309479141</v>
      </c>
      <c r="K80" s="396">
        <v>2.1408464992667375</v>
      </c>
      <c r="L80" s="396">
        <v>1.607716521208451E-9</v>
      </c>
      <c r="M80" s="265"/>
      <c r="N80" s="396">
        <v>4</v>
      </c>
      <c r="O80" s="396">
        <v>3</v>
      </c>
      <c r="P80" s="396">
        <v>3.6623678396148542</v>
      </c>
      <c r="Q80" s="397">
        <v>4.5806528035973422</v>
      </c>
      <c r="R80" s="396">
        <v>-2.6213325868380886</v>
      </c>
      <c r="S80" s="396">
        <v>-2.0245423113043737</v>
      </c>
      <c r="T80" s="396">
        <v>-1.9495052648841589</v>
      </c>
      <c r="U80" s="397">
        <v>-2</v>
      </c>
      <c r="V80" s="396">
        <v>0</v>
      </c>
      <c r="W80" s="396">
        <v>-0.40193739802379291</v>
      </c>
      <c r="X80" s="396">
        <v>-5.1513142283087954E-2</v>
      </c>
      <c r="Y80" s="397">
        <v>0.2179992260816157</v>
      </c>
      <c r="Z80" s="396">
        <v>0.17460985343799901</v>
      </c>
      <c r="AA80" s="396">
        <v>1.1869764096162334</v>
      </c>
      <c r="AB80" s="396">
        <v>3.5934529660071233</v>
      </c>
      <c r="AC80" s="397">
        <v>3.2376583408139585</v>
      </c>
      <c r="AD80" s="396">
        <v>3.7757539792687131</v>
      </c>
      <c r="AE80" s="396">
        <v>2.2285256077590829</v>
      </c>
      <c r="AF80" s="396">
        <v>0.24371897928038264</v>
      </c>
      <c r="AG80" s="397">
        <v>1.3937652094586845</v>
      </c>
      <c r="AH80" s="396">
        <v>0.39039179168828658</v>
      </c>
      <c r="AI80" s="396">
        <v>4.2624511054840033</v>
      </c>
      <c r="AJ80" s="396">
        <v>3.5378869862039286</v>
      </c>
      <c r="AK80" s="397">
        <v>2.275599549090277</v>
      </c>
      <c r="AL80" s="396">
        <v>4.4283163703724533</v>
      </c>
      <c r="AM80" s="396">
        <v>1.2120340446112234</v>
      </c>
      <c r="AN80" s="396">
        <v>2.1598157579837478</v>
      </c>
      <c r="AO80" s="397">
        <v>1.3953391385005371</v>
      </c>
      <c r="AP80" s="396">
        <v>2.1239005962929729E-12</v>
      </c>
      <c r="AQ80" s="396">
        <v>-3.6057830149522716E-12</v>
      </c>
      <c r="AR80" s="396">
        <v>3.862171477692548E-12</v>
      </c>
      <c r="AS80" s="397">
        <v>5.5493143269499777E-9</v>
      </c>
      <c r="AT80" s="396">
        <v>-1.1212637313031684</v>
      </c>
      <c r="AU80" s="396">
        <v>-1</v>
      </c>
    </row>
    <row r="81" spans="1:47" ht="13">
      <c r="A81" s="399" t="s">
        <v>479</v>
      </c>
      <c r="B81" s="400">
        <v>0</v>
      </c>
      <c r="C81" s="400">
        <v>-9</v>
      </c>
      <c r="D81" s="400">
        <v>33</v>
      </c>
      <c r="E81" s="400">
        <v>39</v>
      </c>
      <c r="F81" s="400">
        <v>-3</v>
      </c>
      <c r="G81" s="400">
        <v>-18</v>
      </c>
      <c r="H81" s="400">
        <v>7</v>
      </c>
      <c r="I81" s="400">
        <v>25</v>
      </c>
      <c r="J81" s="400">
        <v>18</v>
      </c>
      <c r="K81" s="400">
        <v>6</v>
      </c>
      <c r="L81" s="400">
        <v>-2</v>
      </c>
      <c r="M81" s="265"/>
      <c r="N81" s="400">
        <v>21</v>
      </c>
      <c r="O81" s="400">
        <v>47</v>
      </c>
      <c r="P81" s="400">
        <v>48</v>
      </c>
      <c r="Q81" s="401">
        <v>37</v>
      </c>
      <c r="R81" s="400">
        <v>24</v>
      </c>
      <c r="S81" s="400">
        <v>0</v>
      </c>
      <c r="T81" s="400">
        <v>-10</v>
      </c>
      <c r="U81" s="401">
        <v>-15</v>
      </c>
      <c r="V81" s="400">
        <v>-24</v>
      </c>
      <c r="W81" s="400">
        <v>-24</v>
      </c>
      <c r="X81" s="400">
        <v>-16</v>
      </c>
      <c r="Y81" s="401">
        <v>-8</v>
      </c>
      <c r="Z81" s="400">
        <v>2</v>
      </c>
      <c r="AA81" s="400">
        <v>10</v>
      </c>
      <c r="AB81" s="400">
        <v>4</v>
      </c>
      <c r="AC81" s="401">
        <v>11</v>
      </c>
      <c r="AD81" s="400">
        <v>33</v>
      </c>
      <c r="AE81" s="400">
        <v>5</v>
      </c>
      <c r="AF81" s="400">
        <v>37</v>
      </c>
      <c r="AG81" s="401">
        <v>26</v>
      </c>
      <c r="AH81" s="400">
        <v>5</v>
      </c>
      <c r="AI81" s="400">
        <v>47</v>
      </c>
      <c r="AJ81" s="400">
        <v>11</v>
      </c>
      <c r="AK81" s="401">
        <v>13</v>
      </c>
      <c r="AL81" s="400">
        <v>14</v>
      </c>
      <c r="AM81" s="400">
        <v>1</v>
      </c>
      <c r="AN81" s="400">
        <v>6</v>
      </c>
      <c r="AO81" s="401">
        <v>6</v>
      </c>
      <c r="AP81" s="400">
        <v>8</v>
      </c>
      <c r="AQ81" s="400">
        <v>-10</v>
      </c>
      <c r="AR81" s="400">
        <v>1</v>
      </c>
      <c r="AS81" s="401">
        <v>-6</v>
      </c>
      <c r="AT81" s="400">
        <v>-11</v>
      </c>
      <c r="AU81" s="400">
        <v>18</v>
      </c>
    </row>
    <row r="82" spans="1:47" ht="13">
      <c r="A82" s="395" t="s">
        <v>480</v>
      </c>
      <c r="B82" s="416">
        <v>8510</v>
      </c>
      <c r="C82" s="416">
        <v>7710</v>
      </c>
      <c r="D82" s="416">
        <v>10276</v>
      </c>
      <c r="E82" s="416">
        <v>14237.832176572398</v>
      </c>
      <c r="F82" s="416">
        <v>13861</v>
      </c>
      <c r="G82" s="416">
        <v>11382</v>
      </c>
      <c r="H82" s="416">
        <v>12197</v>
      </c>
      <c r="I82" s="416">
        <v>15199</v>
      </c>
      <c r="J82" s="416">
        <v>19400</v>
      </c>
      <c r="K82" s="416">
        <v>21726</v>
      </c>
      <c r="L82" s="416">
        <v>21229</v>
      </c>
      <c r="M82" s="265"/>
      <c r="N82" s="416">
        <v>2678</v>
      </c>
      <c r="O82" s="416">
        <v>3640</v>
      </c>
      <c r="P82" s="416">
        <v>3570</v>
      </c>
      <c r="Q82" s="417">
        <v>4350</v>
      </c>
      <c r="R82" s="416">
        <v>3313</v>
      </c>
      <c r="S82" s="416">
        <v>3638</v>
      </c>
      <c r="T82" s="416">
        <v>3198</v>
      </c>
      <c r="U82" s="417">
        <v>3712</v>
      </c>
      <c r="V82" s="416">
        <v>2519</v>
      </c>
      <c r="W82" s="416">
        <v>2768</v>
      </c>
      <c r="X82" s="416">
        <v>2688</v>
      </c>
      <c r="Y82" s="417">
        <v>3408</v>
      </c>
      <c r="Z82" s="416">
        <v>2562</v>
      </c>
      <c r="AA82" s="416">
        <v>3051</v>
      </c>
      <c r="AB82" s="416">
        <v>2792</v>
      </c>
      <c r="AC82" s="417">
        <v>3790.6080838187008</v>
      </c>
      <c r="AD82" s="416">
        <v>3410</v>
      </c>
      <c r="AE82" s="416">
        <v>3190.0958032311009</v>
      </c>
      <c r="AF82" s="416">
        <v>3832.0367570295002</v>
      </c>
      <c r="AG82" s="417">
        <v>4765.9577860557019</v>
      </c>
      <c r="AH82" s="416">
        <v>3880.7236650608984</v>
      </c>
      <c r="AI82" s="416">
        <v>5232.7209269842015</v>
      </c>
      <c r="AJ82" s="416">
        <v>4619.3574354577986</v>
      </c>
      <c r="AK82" s="417">
        <v>5666.7265806310015</v>
      </c>
      <c r="AL82" s="416">
        <v>4708.3182788561999</v>
      </c>
      <c r="AM82" s="416">
        <v>5546.6454628757992</v>
      </c>
      <c r="AN82" s="416">
        <v>5178.4339756839008</v>
      </c>
      <c r="AO82" s="417">
        <v>6292.6693177953994</v>
      </c>
      <c r="AP82" s="416">
        <v>5072</v>
      </c>
      <c r="AQ82" s="416">
        <v>5012.1048618576997</v>
      </c>
      <c r="AR82" s="416">
        <v>5225.0331658966006</v>
      </c>
      <c r="AS82" s="417">
        <v>5920.2543585906988</v>
      </c>
      <c r="AT82" s="416">
        <v>4512.3238642405995</v>
      </c>
      <c r="AU82" s="416">
        <v>5937.9808065097004</v>
      </c>
    </row>
    <row r="83" spans="1:47" ht="13">
      <c r="A83" s="395"/>
      <c r="B83" s="396"/>
      <c r="C83" s="396"/>
      <c r="D83" s="384"/>
      <c r="E83" s="396"/>
      <c r="F83" s="396"/>
      <c r="G83" s="396"/>
      <c r="H83" s="396"/>
      <c r="I83" s="396"/>
      <c r="J83" s="396"/>
      <c r="K83" s="396"/>
      <c r="L83" s="396"/>
      <c r="M83" s="265"/>
      <c r="N83" s="396"/>
      <c r="O83" s="384"/>
      <c r="P83" s="384"/>
      <c r="Q83" s="385"/>
      <c r="R83" s="396"/>
      <c r="S83" s="384"/>
      <c r="T83" s="384"/>
      <c r="U83" s="385"/>
      <c r="V83" s="396"/>
      <c r="W83" s="396"/>
      <c r="X83" s="396"/>
      <c r="Y83" s="397"/>
      <c r="Z83" s="396"/>
      <c r="AA83" s="396"/>
      <c r="AB83" s="396"/>
      <c r="AC83" s="397"/>
      <c r="AD83" s="396"/>
      <c r="AE83" s="396"/>
      <c r="AF83" s="396"/>
      <c r="AG83" s="397"/>
      <c r="AH83" s="396"/>
      <c r="AI83" s="396"/>
      <c r="AJ83" s="396"/>
      <c r="AK83" s="397"/>
      <c r="AL83" s="396"/>
      <c r="AM83" s="396"/>
      <c r="AN83" s="396"/>
      <c r="AO83" s="397"/>
      <c r="AP83" s="396"/>
      <c r="AQ83" s="396"/>
      <c r="AR83" s="396"/>
      <c r="AS83" s="397"/>
      <c r="AT83" s="396"/>
      <c r="AU83" s="396"/>
    </row>
    <row r="84" spans="1:47" ht="13">
      <c r="A84" s="415" t="s">
        <v>503</v>
      </c>
      <c r="B84" s="389">
        <v>2015</v>
      </c>
      <c r="C84" s="389">
        <v>2016</v>
      </c>
      <c r="D84" s="389">
        <v>2017</v>
      </c>
      <c r="E84" s="389">
        <v>2018</v>
      </c>
      <c r="F84" s="389">
        <v>2019</v>
      </c>
      <c r="G84" s="389">
        <v>2020</v>
      </c>
      <c r="H84" s="389">
        <v>2021</v>
      </c>
      <c r="I84" s="389">
        <v>2022</v>
      </c>
      <c r="J84" s="389">
        <v>2023</v>
      </c>
      <c r="K84" s="389">
        <v>2024</v>
      </c>
      <c r="L84" s="389">
        <v>2025</v>
      </c>
      <c r="M84" s="390"/>
      <c r="N84" s="389" t="s">
        <v>128</v>
      </c>
      <c r="O84" s="389" t="s">
        <v>129</v>
      </c>
      <c r="P84" s="389" t="s">
        <v>130</v>
      </c>
      <c r="Q84" s="391" t="s">
        <v>131</v>
      </c>
      <c r="R84" s="389" t="s">
        <v>132</v>
      </c>
      <c r="S84" s="389" t="s">
        <v>133</v>
      </c>
      <c r="T84" s="389" t="s">
        <v>134</v>
      </c>
      <c r="U84" s="391" t="s">
        <v>135</v>
      </c>
      <c r="V84" s="389" t="s">
        <v>136</v>
      </c>
      <c r="W84" s="389" t="s">
        <v>137</v>
      </c>
      <c r="X84" s="389" t="s">
        <v>138</v>
      </c>
      <c r="Y84" s="391" t="s">
        <v>139</v>
      </c>
      <c r="Z84" s="389" t="s">
        <v>140</v>
      </c>
      <c r="AA84" s="389" t="s">
        <v>141</v>
      </c>
      <c r="AB84" s="389" t="s">
        <v>142</v>
      </c>
      <c r="AC84" s="391" t="s">
        <v>143</v>
      </c>
      <c r="AD84" s="389" t="s">
        <v>144</v>
      </c>
      <c r="AE84" s="389" t="s">
        <v>145</v>
      </c>
      <c r="AF84" s="389" t="s">
        <v>146</v>
      </c>
      <c r="AG84" s="391" t="s">
        <v>147</v>
      </c>
      <c r="AH84" s="389" t="s">
        <v>148</v>
      </c>
      <c r="AI84" s="389" t="s">
        <v>149</v>
      </c>
      <c r="AJ84" s="389" t="s">
        <v>150</v>
      </c>
      <c r="AK84" s="391" t="s">
        <v>151</v>
      </c>
      <c r="AL84" s="389" t="s">
        <v>152</v>
      </c>
      <c r="AM84" s="389" t="s">
        <v>153</v>
      </c>
      <c r="AN84" s="389" t="s">
        <v>154</v>
      </c>
      <c r="AO84" s="391" t="s">
        <v>155</v>
      </c>
      <c r="AP84" s="389" t="s">
        <v>156</v>
      </c>
      <c r="AQ84" s="389" t="s">
        <v>157</v>
      </c>
      <c r="AR84" s="389" t="s">
        <v>158</v>
      </c>
      <c r="AS84" s="391" t="s">
        <v>820</v>
      </c>
      <c r="AT84" s="389" t="s">
        <v>1275</v>
      </c>
      <c r="AU84" s="389" t="s">
        <v>1344</v>
      </c>
    </row>
    <row r="85" spans="1:47" ht="13">
      <c r="A85" s="392" t="s">
        <v>475</v>
      </c>
      <c r="B85" s="416">
        <v>0</v>
      </c>
      <c r="C85" s="416">
        <v>11807</v>
      </c>
      <c r="D85" s="416">
        <v>11188</v>
      </c>
      <c r="E85" s="416">
        <v>12106.760383407502</v>
      </c>
      <c r="F85" s="416">
        <v>14302</v>
      </c>
      <c r="G85" s="416">
        <v>16030</v>
      </c>
      <c r="H85" s="416">
        <v>15545</v>
      </c>
      <c r="I85" s="416">
        <v>17123</v>
      </c>
      <c r="J85" s="416">
        <v>22462</v>
      </c>
      <c r="K85" s="416">
        <v>27120</v>
      </c>
      <c r="L85" s="416">
        <v>27188</v>
      </c>
      <c r="M85" s="265"/>
      <c r="N85" s="416">
        <v>3001</v>
      </c>
      <c r="O85" s="416">
        <v>3026</v>
      </c>
      <c r="P85" s="416">
        <v>2992</v>
      </c>
      <c r="Q85" s="417">
        <v>3088</v>
      </c>
      <c r="R85" s="416">
        <v>3265</v>
      </c>
      <c r="S85" s="416">
        <v>3685</v>
      </c>
      <c r="T85" s="416">
        <v>3608</v>
      </c>
      <c r="U85" s="417">
        <v>3744</v>
      </c>
      <c r="V85" s="416">
        <v>3802</v>
      </c>
      <c r="W85" s="416">
        <v>4064</v>
      </c>
      <c r="X85" s="416">
        <v>4136</v>
      </c>
      <c r="Y85" s="417">
        <v>4028</v>
      </c>
      <c r="Z85" s="416">
        <v>4060</v>
      </c>
      <c r="AA85" s="416">
        <v>3654</v>
      </c>
      <c r="AB85" s="416">
        <v>3783</v>
      </c>
      <c r="AC85" s="417">
        <v>4048.4015050332996</v>
      </c>
      <c r="AD85" s="416">
        <v>3829</v>
      </c>
      <c r="AE85" s="416">
        <v>4134.8564022636001</v>
      </c>
      <c r="AF85" s="416">
        <v>4449.5456728673998</v>
      </c>
      <c r="AG85" s="417">
        <v>4709.3414136830997</v>
      </c>
      <c r="AH85" s="416">
        <v>4786.3096211724005</v>
      </c>
      <c r="AI85" s="416">
        <v>5509.9794853202002</v>
      </c>
      <c r="AJ85" s="416">
        <v>5915.4273265544998</v>
      </c>
      <c r="AK85" s="417">
        <v>6252.2085194894998</v>
      </c>
      <c r="AL85" s="416">
        <v>6612.8336899743999</v>
      </c>
      <c r="AM85" s="416">
        <v>7021.3296822210004</v>
      </c>
      <c r="AN85" s="416">
        <v>6858.5240162184</v>
      </c>
      <c r="AO85" s="417">
        <v>6628.0611633289</v>
      </c>
      <c r="AP85" s="416">
        <v>6504.0473019096999</v>
      </c>
      <c r="AQ85" s="416">
        <v>6968.8806378891995</v>
      </c>
      <c r="AR85" s="416">
        <v>6696.5429511618995</v>
      </c>
      <c r="AS85" s="417">
        <v>7018.0923151023999</v>
      </c>
      <c r="AT85" s="416">
        <v>6631.5020328036999</v>
      </c>
      <c r="AU85" s="416">
        <v>6423.4989395507992</v>
      </c>
    </row>
    <row r="86" spans="1:47" ht="13">
      <c r="A86" s="395" t="s">
        <v>476</v>
      </c>
      <c r="B86" s="396">
        <v>0</v>
      </c>
      <c r="C86" s="396">
        <v>-2.4</v>
      </c>
      <c r="D86" s="396">
        <v>3.92</v>
      </c>
      <c r="E86" s="396">
        <v>15</v>
      </c>
      <c r="F86" s="396">
        <v>8</v>
      </c>
      <c r="G86" s="396">
        <v>5</v>
      </c>
      <c r="H86" s="396">
        <v>13</v>
      </c>
      <c r="I86" s="396">
        <v>15</v>
      </c>
      <c r="J86" s="396">
        <v>12</v>
      </c>
      <c r="K86" s="396">
        <v>3</v>
      </c>
      <c r="L86" s="396">
        <v>3</v>
      </c>
      <c r="M86" s="265"/>
      <c r="N86" s="396">
        <v>12.183014796612806</v>
      </c>
      <c r="O86" s="396">
        <v>19.130356094998316</v>
      </c>
      <c r="P86" s="396">
        <v>14</v>
      </c>
      <c r="Q86" s="397">
        <v>16</v>
      </c>
      <c r="R86" s="396">
        <v>12</v>
      </c>
      <c r="S86" s="396">
        <v>8</v>
      </c>
      <c r="T86" s="396">
        <v>10</v>
      </c>
      <c r="U86" s="397">
        <v>5</v>
      </c>
      <c r="V86" s="396">
        <v>7</v>
      </c>
      <c r="W86" s="396">
        <v>-4</v>
      </c>
      <c r="X86" s="396">
        <v>3</v>
      </c>
      <c r="Y86" s="397">
        <v>13</v>
      </c>
      <c r="Z86" s="396">
        <v>5</v>
      </c>
      <c r="AA86" s="396">
        <v>21</v>
      </c>
      <c r="AB86" s="396">
        <v>15</v>
      </c>
      <c r="AC86" s="397">
        <v>11</v>
      </c>
      <c r="AD86" s="396">
        <v>15</v>
      </c>
      <c r="AE86" s="396">
        <v>18</v>
      </c>
      <c r="AF86" s="396">
        <v>16</v>
      </c>
      <c r="AG86" s="397">
        <v>10</v>
      </c>
      <c r="AH86" s="396">
        <v>19</v>
      </c>
      <c r="AI86" s="396">
        <v>13</v>
      </c>
      <c r="AJ86" s="396">
        <v>10</v>
      </c>
      <c r="AK86" s="397">
        <v>8</v>
      </c>
      <c r="AL86" s="396">
        <v>2</v>
      </c>
      <c r="AM86" s="396">
        <v>2</v>
      </c>
      <c r="AN86" s="396">
        <v>3</v>
      </c>
      <c r="AO86" s="397">
        <v>7</v>
      </c>
      <c r="AP86" s="396">
        <v>2</v>
      </c>
      <c r="AQ86" s="396">
        <v>2</v>
      </c>
      <c r="AR86" s="396">
        <v>3</v>
      </c>
      <c r="AS86" s="397">
        <v>4</v>
      </c>
      <c r="AT86" s="396">
        <v>3</v>
      </c>
      <c r="AU86" s="396">
        <v>7</v>
      </c>
    </row>
    <row r="87" spans="1:47" ht="13">
      <c r="A87" s="395" t="s">
        <v>477</v>
      </c>
      <c r="B87" s="396">
        <v>0</v>
      </c>
      <c r="C87" s="396">
        <v>-3</v>
      </c>
      <c r="D87" s="396">
        <v>4</v>
      </c>
      <c r="E87" s="396">
        <v>0.25423478498825874</v>
      </c>
      <c r="F87" s="396">
        <v>4</v>
      </c>
      <c r="G87" s="396">
        <v>-7.6810604278769938</v>
      </c>
      <c r="H87" s="396">
        <v>-4.1434931398847823</v>
      </c>
      <c r="I87" s="396">
        <v>12</v>
      </c>
      <c r="J87" s="396">
        <v>3.1416815828750853</v>
      </c>
      <c r="K87" s="396">
        <v>-2.1248016475759242</v>
      </c>
      <c r="L87" s="396">
        <v>-7.945611076062491</v>
      </c>
      <c r="M87" s="265"/>
      <c r="N87" s="396">
        <v>-5.40759775345692</v>
      </c>
      <c r="O87" s="396">
        <v>0.23718052208889645</v>
      </c>
      <c r="P87" s="396">
        <v>4.0284941076476972</v>
      </c>
      <c r="Q87" s="397">
        <v>2.1158821914549502</v>
      </c>
      <c r="R87" s="396">
        <v>4.0648838791306785</v>
      </c>
      <c r="S87" s="396">
        <v>2.2089137106933485</v>
      </c>
      <c r="T87" s="396">
        <v>5.3479218846486365</v>
      </c>
      <c r="U87" s="397">
        <v>3</v>
      </c>
      <c r="V87" s="396">
        <v>0</v>
      </c>
      <c r="W87" s="396">
        <v>-5.6581088595430842</v>
      </c>
      <c r="X87" s="396">
        <v>-12.130087116764598</v>
      </c>
      <c r="Y87" s="397">
        <v>-12.616309013758652</v>
      </c>
      <c r="Z87" s="396">
        <v>-10.577025788819247</v>
      </c>
      <c r="AA87" s="396">
        <v>-8.4992773782346465</v>
      </c>
      <c r="AB87" s="396">
        <v>-0.34920063990701772</v>
      </c>
      <c r="AC87" s="397">
        <v>2.6969495122278935</v>
      </c>
      <c r="AD87" s="396">
        <v>7.4012792663285989</v>
      </c>
      <c r="AE87" s="396">
        <v>11.176454012625046</v>
      </c>
      <c r="AF87" s="396">
        <v>14.228565956153231</v>
      </c>
      <c r="AG87" s="397">
        <v>13.687449502812873</v>
      </c>
      <c r="AH87" s="396">
        <v>8.0869424359482878</v>
      </c>
      <c r="AI87" s="396">
        <v>5.2653193403213763</v>
      </c>
      <c r="AJ87" s="396">
        <v>1.3731480971165479</v>
      </c>
      <c r="AK87" s="397">
        <v>-0.97388162386669763</v>
      </c>
      <c r="AL87" s="396">
        <v>-2.891496956304354</v>
      </c>
      <c r="AM87" s="396">
        <v>-1.6089764034745693</v>
      </c>
      <c r="AN87" s="396">
        <v>-4.031135168686057</v>
      </c>
      <c r="AO87" s="397">
        <v>5.8018861887570876E-2</v>
      </c>
      <c r="AP87" s="396">
        <v>-0.19451880205707106</v>
      </c>
      <c r="AQ87" s="396">
        <v>-9.5287633633477338</v>
      </c>
      <c r="AR87" s="396">
        <v>-8.9450346610621203</v>
      </c>
      <c r="AS87" s="397">
        <v>-11.178318393945966</v>
      </c>
      <c r="AT87" s="396">
        <v>-9.9557487855832552</v>
      </c>
      <c r="AU87" s="396">
        <v>-1</v>
      </c>
    </row>
    <row r="88" spans="1:47" ht="13">
      <c r="A88" s="395" t="s">
        <v>478</v>
      </c>
      <c r="B88" s="396">
        <v>0</v>
      </c>
      <c r="C88" s="396">
        <v>0</v>
      </c>
      <c r="D88" s="396">
        <v>0.3</v>
      </c>
      <c r="E88" s="396">
        <v>2.5663558961142288</v>
      </c>
      <c r="F88" s="396">
        <v>0</v>
      </c>
      <c r="G88" s="396">
        <v>0.10689912630422839</v>
      </c>
      <c r="H88" s="396">
        <v>1.4652839165199316</v>
      </c>
      <c r="I88" s="396">
        <v>4</v>
      </c>
      <c r="J88" s="396">
        <v>9.9841678160968907</v>
      </c>
      <c r="K88" s="396">
        <v>-0.94094949966638386</v>
      </c>
      <c r="L88" s="396">
        <v>9.2635733215755356E-2</v>
      </c>
      <c r="M88" s="265"/>
      <c r="N88" s="396">
        <v>2</v>
      </c>
      <c r="O88" s="396">
        <v>3</v>
      </c>
      <c r="P88" s="396">
        <v>2.8710300069147108</v>
      </c>
      <c r="Q88" s="397">
        <v>2.9402706363607036</v>
      </c>
      <c r="R88" s="396">
        <v>0.38586517096454831</v>
      </c>
      <c r="S88" s="396">
        <v>0.49665933545794283</v>
      </c>
      <c r="T88" s="396">
        <v>0.39086429361162944</v>
      </c>
      <c r="U88" s="397">
        <v>0</v>
      </c>
      <c r="V88" s="396">
        <v>0</v>
      </c>
      <c r="W88" s="396">
        <v>0</v>
      </c>
      <c r="X88" s="396">
        <v>7.5199874798604072E-2</v>
      </c>
      <c r="Y88" s="397">
        <v>0.25442120749587344</v>
      </c>
      <c r="Z88" s="396">
        <v>0.21036964891008042</v>
      </c>
      <c r="AA88" s="396">
        <v>0.36454743674118761</v>
      </c>
      <c r="AB88" s="396">
        <v>2.8144389742574969</v>
      </c>
      <c r="AC88" s="397">
        <v>2.4570424501357149</v>
      </c>
      <c r="AD88" s="396">
        <v>3.1783004798013477</v>
      </c>
      <c r="AE88" s="396">
        <v>3.8639024327110758</v>
      </c>
      <c r="AF88" s="396">
        <v>2.8501230609972721</v>
      </c>
      <c r="AG88" s="397">
        <v>8.6932990609641703</v>
      </c>
      <c r="AH88" s="396">
        <v>15.578409620419894</v>
      </c>
      <c r="AI88" s="396">
        <v>13.562000986485968</v>
      </c>
      <c r="AJ88" s="396">
        <v>9.0214101494326506</v>
      </c>
      <c r="AK88" s="397">
        <v>3.4595398973507199</v>
      </c>
      <c r="AL88" s="396">
        <v>-1.2243736293315646</v>
      </c>
      <c r="AM88" s="396">
        <v>-0.68336959499703132</v>
      </c>
      <c r="AN88" s="396">
        <v>-1.0835194245488142</v>
      </c>
      <c r="AO88" s="397">
        <v>-0.78366946216157785</v>
      </c>
      <c r="AP88" s="396">
        <v>0.38542345446257087</v>
      </c>
      <c r="AQ88" s="396">
        <v>-5.7742415304430107E-4</v>
      </c>
      <c r="AR88" s="396">
        <v>3.6347112498960128E-3</v>
      </c>
      <c r="AS88" s="397">
        <v>-1.2211295627385826E-3</v>
      </c>
      <c r="AT88" s="396">
        <v>0.86116515940439997</v>
      </c>
      <c r="AU88" s="396">
        <v>1</v>
      </c>
    </row>
    <row r="89" spans="1:47" ht="13">
      <c r="A89" s="399" t="s">
        <v>479</v>
      </c>
      <c r="B89" s="400">
        <v>0</v>
      </c>
      <c r="C89" s="400">
        <v>-5</v>
      </c>
      <c r="D89" s="400">
        <v>8</v>
      </c>
      <c r="E89" s="400">
        <v>18</v>
      </c>
      <c r="F89" s="400">
        <v>12</v>
      </c>
      <c r="G89" s="400">
        <v>-3</v>
      </c>
      <c r="H89" s="400">
        <v>10</v>
      </c>
      <c r="I89" s="400">
        <v>31</v>
      </c>
      <c r="J89" s="400">
        <v>25</v>
      </c>
      <c r="K89" s="400">
        <v>0</v>
      </c>
      <c r="L89" s="400">
        <v>-5</v>
      </c>
      <c r="M89" s="265"/>
      <c r="N89" s="400">
        <v>9</v>
      </c>
      <c r="O89" s="400">
        <v>22</v>
      </c>
      <c r="P89" s="400">
        <v>21</v>
      </c>
      <c r="Q89" s="401">
        <v>21</v>
      </c>
      <c r="R89" s="400">
        <v>16</v>
      </c>
      <c r="S89" s="400">
        <v>10</v>
      </c>
      <c r="T89" s="400">
        <v>15</v>
      </c>
      <c r="U89" s="401">
        <v>8</v>
      </c>
      <c r="V89" s="400">
        <v>7</v>
      </c>
      <c r="W89" s="400">
        <v>-10</v>
      </c>
      <c r="X89" s="400">
        <v>-9</v>
      </c>
      <c r="Y89" s="401">
        <v>0</v>
      </c>
      <c r="Z89" s="400">
        <v>-6</v>
      </c>
      <c r="AA89" s="400">
        <v>13</v>
      </c>
      <c r="AB89" s="400">
        <v>18</v>
      </c>
      <c r="AC89" s="401">
        <v>16</v>
      </c>
      <c r="AD89" s="400">
        <v>25</v>
      </c>
      <c r="AE89" s="400">
        <v>33</v>
      </c>
      <c r="AF89" s="400">
        <v>33</v>
      </c>
      <c r="AG89" s="401">
        <v>33</v>
      </c>
      <c r="AH89" s="400">
        <v>43</v>
      </c>
      <c r="AI89" s="400">
        <v>32</v>
      </c>
      <c r="AJ89" s="400">
        <v>20</v>
      </c>
      <c r="AK89" s="401">
        <v>10</v>
      </c>
      <c r="AL89" s="400">
        <v>-2</v>
      </c>
      <c r="AM89" s="400">
        <v>-1</v>
      </c>
      <c r="AN89" s="400">
        <v>-2</v>
      </c>
      <c r="AO89" s="401">
        <v>6</v>
      </c>
      <c r="AP89" s="400">
        <v>2</v>
      </c>
      <c r="AQ89" s="400">
        <v>-8</v>
      </c>
      <c r="AR89" s="400">
        <v>-6</v>
      </c>
      <c r="AS89" s="401">
        <v>-7</v>
      </c>
      <c r="AT89" s="400">
        <v>-6</v>
      </c>
      <c r="AU89" s="400">
        <v>7</v>
      </c>
    </row>
    <row r="90" spans="1:47" ht="13">
      <c r="A90" s="395" t="s">
        <v>480</v>
      </c>
      <c r="B90" s="416">
        <v>11807</v>
      </c>
      <c r="C90" s="416">
        <v>11188</v>
      </c>
      <c r="D90" s="416">
        <v>12107</v>
      </c>
      <c r="E90" s="416">
        <v>14302.1738787138</v>
      </c>
      <c r="F90" s="416">
        <v>16030</v>
      </c>
      <c r="G90" s="416">
        <v>15545</v>
      </c>
      <c r="H90" s="416">
        <v>17123</v>
      </c>
      <c r="I90" s="416">
        <v>22464</v>
      </c>
      <c r="J90" s="416">
        <v>28130</v>
      </c>
      <c r="K90" s="416">
        <v>27188</v>
      </c>
      <c r="L90" s="416">
        <v>25892</v>
      </c>
      <c r="M90" s="265"/>
      <c r="N90" s="416">
        <v>3265</v>
      </c>
      <c r="O90" s="416">
        <v>3685</v>
      </c>
      <c r="P90" s="416">
        <v>3608</v>
      </c>
      <c r="Q90" s="417">
        <v>3744.4</v>
      </c>
      <c r="R90" s="416">
        <v>3802</v>
      </c>
      <c r="S90" s="416">
        <v>4064</v>
      </c>
      <c r="T90" s="416">
        <v>4136</v>
      </c>
      <c r="U90" s="417">
        <v>4028</v>
      </c>
      <c r="V90" s="416">
        <v>4060</v>
      </c>
      <c r="W90" s="416">
        <v>3654</v>
      </c>
      <c r="X90" s="416">
        <v>3783</v>
      </c>
      <c r="Y90" s="417">
        <v>4048</v>
      </c>
      <c r="Z90" s="416">
        <v>3829</v>
      </c>
      <c r="AA90" s="416">
        <v>4136</v>
      </c>
      <c r="AB90" s="416">
        <v>4450</v>
      </c>
      <c r="AC90" s="417">
        <v>4709.3414136830997</v>
      </c>
      <c r="AD90" s="416">
        <v>4786</v>
      </c>
      <c r="AE90" s="416">
        <v>5509.9794853202002</v>
      </c>
      <c r="AF90" s="416">
        <v>5915.4273265544998</v>
      </c>
      <c r="AG90" s="417">
        <v>6252.1587303564993</v>
      </c>
      <c r="AH90" s="416">
        <v>6852.4210427190001</v>
      </c>
      <c r="AI90" s="416">
        <v>7277.2556040410991</v>
      </c>
      <c r="AJ90" s="416">
        <v>7109.8668276473009</v>
      </c>
      <c r="AK90" s="417">
        <v>6891.160267491</v>
      </c>
      <c r="AL90" s="416">
        <v>6504.0473019096999</v>
      </c>
      <c r="AM90" s="416">
        <v>6968.8806378891995</v>
      </c>
      <c r="AN90" s="416">
        <v>6696.5429511618995</v>
      </c>
      <c r="AO90" s="417">
        <v>7017.4923151024004</v>
      </c>
      <c r="AP90" s="416">
        <v>6632.4520328037006</v>
      </c>
      <c r="AQ90" s="416">
        <v>6423.3489395507995</v>
      </c>
      <c r="AR90" s="416">
        <v>6287.5668738284003</v>
      </c>
      <c r="AS90" s="417">
        <v>6548.8137824734004</v>
      </c>
      <c r="AT90" s="416">
        <v>6263.7383903912996</v>
      </c>
      <c r="AU90" s="416">
        <v>6901.2560738990996</v>
      </c>
    </row>
    <row r="91" spans="1:47" ht="13">
      <c r="A91" s="395"/>
      <c r="B91" s="396"/>
      <c r="C91" s="396"/>
      <c r="D91" s="396"/>
      <c r="E91" s="384"/>
      <c r="F91" s="384"/>
      <c r="G91" s="384"/>
      <c r="H91" s="384"/>
      <c r="I91" s="384"/>
      <c r="J91" s="384"/>
      <c r="K91" s="384"/>
      <c r="L91" s="384"/>
      <c r="M91" s="265"/>
      <c r="N91" s="396"/>
      <c r="O91" s="384"/>
      <c r="P91" s="440"/>
      <c r="Q91" s="441"/>
      <c r="R91" s="384"/>
      <c r="S91" s="384"/>
      <c r="T91" s="384"/>
      <c r="U91" s="385"/>
      <c r="V91" s="384"/>
      <c r="W91" s="384"/>
      <c r="X91" s="384"/>
      <c r="Y91" s="385"/>
      <c r="Z91" s="384"/>
      <c r="AA91" s="384"/>
      <c r="AB91" s="384"/>
      <c r="AC91" s="385"/>
      <c r="AD91" s="384"/>
      <c r="AE91" s="384"/>
      <c r="AF91" s="384"/>
      <c r="AG91" s="385"/>
      <c r="AH91" s="384"/>
      <c r="AI91" s="384"/>
      <c r="AJ91" s="384"/>
      <c r="AK91" s="385"/>
      <c r="AL91" s="384"/>
      <c r="AM91" s="384"/>
      <c r="AN91" s="384"/>
      <c r="AO91" s="385"/>
      <c r="AP91" s="384"/>
      <c r="AQ91" s="384"/>
      <c r="AR91" s="384"/>
      <c r="AS91" s="385"/>
      <c r="AT91" s="384"/>
      <c r="AU91" s="384"/>
    </row>
    <row r="92" spans="1:47" ht="13">
      <c r="A92" s="395"/>
      <c r="B92" s="396"/>
      <c r="C92" s="396"/>
      <c r="D92" s="384"/>
      <c r="E92" s="384"/>
      <c r="F92" s="384"/>
      <c r="G92" s="384"/>
      <c r="H92" s="384"/>
      <c r="I92" s="384"/>
      <c r="J92" s="384"/>
      <c r="K92" s="384"/>
      <c r="L92" s="384"/>
      <c r="M92" s="265"/>
      <c r="N92" s="396"/>
      <c r="O92" s="384"/>
      <c r="P92" s="384"/>
      <c r="Q92" s="385"/>
      <c r="R92" s="384"/>
      <c r="S92" s="384"/>
      <c r="T92" s="384"/>
      <c r="U92" s="385"/>
      <c r="V92" s="384"/>
      <c r="W92" s="384"/>
      <c r="X92" s="384"/>
      <c r="Y92" s="385"/>
      <c r="Z92" s="384"/>
      <c r="AA92" s="384"/>
      <c r="AB92" s="384"/>
      <c r="AC92" s="385"/>
      <c r="AD92" s="384"/>
      <c r="AE92" s="384"/>
      <c r="AF92" s="384"/>
      <c r="AG92" s="385"/>
      <c r="AH92" s="384"/>
      <c r="AI92" s="384"/>
      <c r="AJ92" s="384"/>
      <c r="AK92" s="385"/>
      <c r="AL92" s="384"/>
      <c r="AM92" s="384"/>
      <c r="AN92" s="384"/>
      <c r="AO92" s="385"/>
      <c r="AP92" s="384"/>
      <c r="AQ92" s="384"/>
      <c r="AR92" s="384"/>
      <c r="AS92" s="385"/>
      <c r="AT92" s="384"/>
      <c r="AU92" s="384"/>
    </row>
    <row r="93" spans="1:47" ht="13">
      <c r="A93" s="415" t="s">
        <v>296</v>
      </c>
      <c r="B93" s="389">
        <v>2015</v>
      </c>
      <c r="C93" s="389">
        <v>2016</v>
      </c>
      <c r="D93" s="389">
        <v>2017</v>
      </c>
      <c r="E93" s="389">
        <v>2018</v>
      </c>
      <c r="F93" s="389">
        <v>2019</v>
      </c>
      <c r="G93" s="389">
        <v>2020</v>
      </c>
      <c r="H93" s="389">
        <v>2021</v>
      </c>
      <c r="I93" s="389">
        <v>2022</v>
      </c>
      <c r="J93" s="389">
        <v>2023</v>
      </c>
      <c r="K93" s="389">
        <v>2024</v>
      </c>
      <c r="L93" s="389">
        <v>2025</v>
      </c>
      <c r="M93" s="390"/>
      <c r="N93" s="389" t="s">
        <v>128</v>
      </c>
      <c r="O93" s="389" t="s">
        <v>129</v>
      </c>
      <c r="P93" s="389" t="s">
        <v>130</v>
      </c>
      <c r="Q93" s="391" t="s">
        <v>131</v>
      </c>
      <c r="R93" s="389" t="s">
        <v>132</v>
      </c>
      <c r="S93" s="389" t="s">
        <v>133</v>
      </c>
      <c r="T93" s="389" t="s">
        <v>134</v>
      </c>
      <c r="U93" s="391" t="s">
        <v>135</v>
      </c>
      <c r="V93" s="389" t="s">
        <v>136</v>
      </c>
      <c r="W93" s="389" t="s">
        <v>137</v>
      </c>
      <c r="X93" s="389" t="s">
        <v>138</v>
      </c>
      <c r="Y93" s="391" t="s">
        <v>139</v>
      </c>
      <c r="Z93" s="389" t="s">
        <v>140</v>
      </c>
      <c r="AA93" s="389" t="s">
        <v>141</v>
      </c>
      <c r="AB93" s="389" t="s">
        <v>142</v>
      </c>
      <c r="AC93" s="391" t="s">
        <v>143</v>
      </c>
      <c r="AD93" s="389" t="s">
        <v>144</v>
      </c>
      <c r="AE93" s="389" t="s">
        <v>145</v>
      </c>
      <c r="AF93" s="389" t="s">
        <v>146</v>
      </c>
      <c r="AG93" s="391" t="s">
        <v>147</v>
      </c>
      <c r="AH93" s="389" t="s">
        <v>148</v>
      </c>
      <c r="AI93" s="389" t="s">
        <v>149</v>
      </c>
      <c r="AJ93" s="389" t="s">
        <v>150</v>
      </c>
      <c r="AK93" s="391" t="s">
        <v>151</v>
      </c>
      <c r="AL93" s="389" t="s">
        <v>152</v>
      </c>
      <c r="AM93" s="389" t="s">
        <v>153</v>
      </c>
      <c r="AN93" s="389" t="s">
        <v>154</v>
      </c>
      <c r="AO93" s="391" t="s">
        <v>155</v>
      </c>
      <c r="AP93" s="389" t="s">
        <v>156</v>
      </c>
      <c r="AQ93" s="389" t="s">
        <v>157</v>
      </c>
      <c r="AR93" s="389" t="s">
        <v>158</v>
      </c>
      <c r="AS93" s="391" t="s">
        <v>820</v>
      </c>
      <c r="AT93" s="389" t="s">
        <v>1275</v>
      </c>
      <c r="AU93" s="389" t="s">
        <v>1344</v>
      </c>
    </row>
    <row r="94" spans="1:47" ht="13">
      <c r="A94" s="392" t="s">
        <v>475</v>
      </c>
      <c r="B94" s="416">
        <v>0</v>
      </c>
      <c r="C94" s="416">
        <v>8088</v>
      </c>
      <c r="D94" s="416">
        <v>7925</v>
      </c>
      <c r="E94" s="416">
        <v>8738.0039549529993</v>
      </c>
      <c r="F94" s="416">
        <v>9519</v>
      </c>
      <c r="G94" s="416">
        <v>10799</v>
      </c>
      <c r="H94" s="416">
        <v>9024</v>
      </c>
      <c r="I94" s="416">
        <v>10205</v>
      </c>
      <c r="J94" s="416">
        <v>10806</v>
      </c>
      <c r="K94" s="416">
        <v>12723</v>
      </c>
      <c r="L94" s="416">
        <v>14640</v>
      </c>
      <c r="M94" s="265"/>
      <c r="N94" s="416">
        <v>2161</v>
      </c>
      <c r="O94" s="416">
        <v>2297</v>
      </c>
      <c r="P94" s="416">
        <v>2141</v>
      </c>
      <c r="Q94" s="417">
        <v>2139</v>
      </c>
      <c r="R94" s="416">
        <v>2245</v>
      </c>
      <c r="S94" s="416">
        <v>2452</v>
      </c>
      <c r="T94" s="416">
        <v>2382</v>
      </c>
      <c r="U94" s="417">
        <v>2440</v>
      </c>
      <c r="V94" s="416">
        <v>2605</v>
      </c>
      <c r="W94" s="416">
        <v>2926</v>
      </c>
      <c r="X94" s="416">
        <v>2765</v>
      </c>
      <c r="Y94" s="417">
        <v>2503</v>
      </c>
      <c r="Z94" s="416">
        <v>2505</v>
      </c>
      <c r="AA94" s="416">
        <v>2035</v>
      </c>
      <c r="AB94" s="416">
        <v>2196</v>
      </c>
      <c r="AC94" s="417">
        <v>2287.8856911399998</v>
      </c>
      <c r="AD94" s="416">
        <v>2345</v>
      </c>
      <c r="AE94" s="416">
        <v>2516.6963237712998</v>
      </c>
      <c r="AF94" s="416">
        <v>2699.2938455722001</v>
      </c>
      <c r="AG94" s="417">
        <v>2643.8295383447999</v>
      </c>
      <c r="AH94" s="416">
        <v>2587.5679193008</v>
      </c>
      <c r="AI94" s="416">
        <v>2793.9343391415</v>
      </c>
      <c r="AJ94" s="416">
        <v>2711.2016151502003</v>
      </c>
      <c r="AK94" s="417">
        <v>2713.0829341166</v>
      </c>
      <c r="AL94" s="416">
        <v>3125.4963094281002</v>
      </c>
      <c r="AM94" s="416">
        <v>3417.8026817412001</v>
      </c>
      <c r="AN94" s="416">
        <v>3194.7805751240003</v>
      </c>
      <c r="AO94" s="417">
        <v>2985.0522776819998</v>
      </c>
      <c r="AP94" s="416">
        <v>2948.8386474096001</v>
      </c>
      <c r="AQ94" s="416">
        <v>3991.2357640446003</v>
      </c>
      <c r="AR94" s="416">
        <v>3809.3538564467003</v>
      </c>
      <c r="AS94" s="417">
        <v>3890.5580650731999</v>
      </c>
      <c r="AT94" s="416">
        <v>3811.1029369287999</v>
      </c>
      <c r="AU94" s="416">
        <v>3664.9993624147</v>
      </c>
    </row>
    <row r="95" spans="1:47" ht="13">
      <c r="A95" s="395" t="s">
        <v>476</v>
      </c>
      <c r="B95" s="396">
        <v>0</v>
      </c>
      <c r="C95" s="396">
        <v>0.1</v>
      </c>
      <c r="D95" s="396">
        <v>7.5</v>
      </c>
      <c r="E95" s="396">
        <v>7</v>
      </c>
      <c r="F95" s="396">
        <v>-2</v>
      </c>
      <c r="G95" s="396">
        <v>-8</v>
      </c>
      <c r="H95" s="396">
        <v>15</v>
      </c>
      <c r="I95" s="396">
        <v>5</v>
      </c>
      <c r="J95" s="396">
        <v>0</v>
      </c>
      <c r="K95" s="396">
        <v>-6</v>
      </c>
      <c r="L95" s="396">
        <v>1</v>
      </c>
      <c r="M95" s="265"/>
      <c r="N95" s="396">
        <v>7</v>
      </c>
      <c r="O95" s="396">
        <v>4.6389142712498268</v>
      </c>
      <c r="P95" s="396">
        <v>5</v>
      </c>
      <c r="Q95" s="397">
        <v>10</v>
      </c>
      <c r="R95" s="396">
        <v>7</v>
      </c>
      <c r="S95" s="396">
        <v>4</v>
      </c>
      <c r="T95" s="396">
        <v>-3</v>
      </c>
      <c r="U95" s="397">
        <v>-10</v>
      </c>
      <c r="V95" s="396">
        <v>-5</v>
      </c>
      <c r="W95" s="396">
        <v>-22</v>
      </c>
      <c r="X95" s="396">
        <v>-8</v>
      </c>
      <c r="Y95" s="397">
        <v>3</v>
      </c>
      <c r="Z95" s="396">
        <v>4</v>
      </c>
      <c r="AA95" s="396">
        <v>31</v>
      </c>
      <c r="AB95" s="396">
        <v>21</v>
      </c>
      <c r="AC95" s="397">
        <v>8</v>
      </c>
      <c r="AD95" s="396">
        <v>10</v>
      </c>
      <c r="AE95" s="396">
        <v>11</v>
      </c>
      <c r="AF95" s="396">
        <v>-1</v>
      </c>
      <c r="AG95" s="397">
        <v>1</v>
      </c>
      <c r="AH95" s="396">
        <v>3</v>
      </c>
      <c r="AI95" s="396">
        <v>0</v>
      </c>
      <c r="AJ95" s="396">
        <v>-2</v>
      </c>
      <c r="AK95" s="397">
        <v>-4</v>
      </c>
      <c r="AL95" s="396">
        <v>-8</v>
      </c>
      <c r="AM95" s="396">
        <v>-10</v>
      </c>
      <c r="AN95" s="396">
        <v>-5</v>
      </c>
      <c r="AO95" s="397">
        <v>-1</v>
      </c>
      <c r="AP95" s="396">
        <v>-3</v>
      </c>
      <c r="AQ95" s="396">
        <v>-2</v>
      </c>
      <c r="AR95" s="396">
        <v>4</v>
      </c>
      <c r="AS95" s="397">
        <v>4</v>
      </c>
      <c r="AT95" s="396">
        <v>5</v>
      </c>
      <c r="AU95" s="396">
        <v>7</v>
      </c>
    </row>
    <row r="96" spans="1:47" ht="13">
      <c r="A96" s="395" t="s">
        <v>477</v>
      </c>
      <c r="B96" s="396">
        <v>0</v>
      </c>
      <c r="C96" s="396">
        <v>-2</v>
      </c>
      <c r="D96" s="396">
        <v>1</v>
      </c>
      <c r="E96" s="396">
        <v>1.2720852810985868</v>
      </c>
      <c r="F96" s="396">
        <v>4</v>
      </c>
      <c r="G96" s="396">
        <v>-5.7951892721513465</v>
      </c>
      <c r="H96" s="396">
        <v>-3.808239609149739</v>
      </c>
      <c r="I96" s="396">
        <v>10</v>
      </c>
      <c r="J96" s="396">
        <v>2.1815911345346826</v>
      </c>
      <c r="K96" s="396">
        <v>-1.2039404326909793</v>
      </c>
      <c r="L96" s="396">
        <v>-7.2391515827656239</v>
      </c>
      <c r="M96" s="265"/>
      <c r="N96" s="396">
        <v>-4</v>
      </c>
      <c r="O96" s="396">
        <v>1.312793017497472</v>
      </c>
      <c r="P96" s="396">
        <v>4.7753367843072176</v>
      </c>
      <c r="Q96" s="397">
        <v>3.2741314977066289</v>
      </c>
      <c r="R96" s="396">
        <v>4.4232591819303417</v>
      </c>
      <c r="S96" s="396">
        <v>2.7004922264149385</v>
      </c>
      <c r="T96" s="396">
        <v>5.2823914191687038</v>
      </c>
      <c r="U96" s="397">
        <v>3</v>
      </c>
      <c r="V96" s="396">
        <v>2</v>
      </c>
      <c r="W96" s="396">
        <v>-3.4118556923882917</v>
      </c>
      <c r="X96" s="396">
        <v>-10.178155734451478</v>
      </c>
      <c r="Y96" s="397">
        <v>-11.120625618798369</v>
      </c>
      <c r="Z96" s="396">
        <v>-10.401252522290431</v>
      </c>
      <c r="AA96" s="396">
        <v>-7.1489594763650883</v>
      </c>
      <c r="AB96" s="396">
        <v>0.20056534124088815</v>
      </c>
      <c r="AC96" s="397">
        <v>2.5363935826656232</v>
      </c>
      <c r="AD96" s="396">
        <v>7.5714991627056971</v>
      </c>
      <c r="AE96" s="396">
        <v>10.449371961279097</v>
      </c>
      <c r="AF96" s="396">
        <v>11.537309871892939</v>
      </c>
      <c r="AG96" s="397">
        <v>11.007846718922806</v>
      </c>
      <c r="AH96" s="396">
        <v>5.6670909423442026</v>
      </c>
      <c r="AI96" s="396">
        <v>3.4942066756514309</v>
      </c>
      <c r="AJ96" s="396">
        <v>0.96237025580830948</v>
      </c>
      <c r="AK96" s="397">
        <v>-1.2760162191677464</v>
      </c>
      <c r="AL96" s="396">
        <v>-2.2677132946405254</v>
      </c>
      <c r="AM96" s="396">
        <v>-0.58455104689138448</v>
      </c>
      <c r="AN96" s="396">
        <v>-3.2168065284987888</v>
      </c>
      <c r="AO96" s="397">
        <v>1.3549872653556541</v>
      </c>
      <c r="AP96" s="396">
        <v>-2.6063084552799725E-3</v>
      </c>
      <c r="AQ96" s="396">
        <v>-8.3170457790699075</v>
      </c>
      <c r="AR96" s="396">
        <v>-7.7371409578165</v>
      </c>
      <c r="AS96" s="397">
        <v>-11.130318012522778</v>
      </c>
      <c r="AT96" s="396">
        <v>-10.698412196265656</v>
      </c>
      <c r="AU96" s="396">
        <v>-2</v>
      </c>
    </row>
    <row r="97" spans="1:47" ht="13">
      <c r="A97" s="395" t="s">
        <v>478</v>
      </c>
      <c r="B97" s="396">
        <v>0</v>
      </c>
      <c r="C97" s="396">
        <v>0</v>
      </c>
      <c r="D97" s="396">
        <v>1.1000000000000001</v>
      </c>
      <c r="E97" s="396">
        <v>0.77557933488787023</v>
      </c>
      <c r="F97" s="396">
        <v>11</v>
      </c>
      <c r="G97" s="396">
        <v>-2.4188141957013194</v>
      </c>
      <c r="H97" s="396">
        <v>1.7790941160263769</v>
      </c>
      <c r="I97" s="396">
        <v>3</v>
      </c>
      <c r="J97" s="396">
        <v>16.197845426965966</v>
      </c>
      <c r="K97" s="396">
        <v>22.439904081225386</v>
      </c>
      <c r="L97" s="396">
        <v>7.1683329918047143</v>
      </c>
      <c r="M97" s="265"/>
      <c r="N97" s="396">
        <v>1</v>
      </c>
      <c r="O97" s="396">
        <v>1</v>
      </c>
      <c r="P97" s="396">
        <v>1.004544047992554</v>
      </c>
      <c r="Q97" s="397">
        <v>0.59359591281883639</v>
      </c>
      <c r="R97" s="396">
        <v>5.0423162583518932</v>
      </c>
      <c r="S97" s="396">
        <v>12.361337683523656</v>
      </c>
      <c r="T97" s="396">
        <v>14.298908480268684</v>
      </c>
      <c r="U97" s="397">
        <v>10</v>
      </c>
      <c r="V97" s="396">
        <v>-1</v>
      </c>
      <c r="W97" s="396">
        <v>-4.7805820372184842</v>
      </c>
      <c r="X97" s="396">
        <v>-2.8798025937113896</v>
      </c>
      <c r="Y97" s="397">
        <v>-1.1092905072490828</v>
      </c>
      <c r="Z97" s="396">
        <v>0</v>
      </c>
      <c r="AA97" s="396">
        <v>0</v>
      </c>
      <c r="AB97" s="396">
        <v>2.4601411852298307</v>
      </c>
      <c r="AC97" s="397">
        <v>4.6563735202704706</v>
      </c>
      <c r="AD97" s="396">
        <v>4.6350951664387701</v>
      </c>
      <c r="AE97" s="396">
        <v>4.1209188467875135</v>
      </c>
      <c r="AF97" s="396">
        <v>1.3657045060348159</v>
      </c>
      <c r="AG97" s="397">
        <v>1.3633681658034</v>
      </c>
      <c r="AH97" s="396">
        <v>11.753248201998064</v>
      </c>
      <c r="AI97" s="396">
        <v>19.371514482019091</v>
      </c>
      <c r="AJ97" s="396">
        <v>18.547848408383345</v>
      </c>
      <c r="AK97" s="397">
        <v>14.82020319116495</v>
      </c>
      <c r="AL97" s="396">
        <v>4.1197724523968793</v>
      </c>
      <c r="AM97" s="396">
        <v>28.292574644764741</v>
      </c>
      <c r="AN97" s="396">
        <v>27.23495771437538</v>
      </c>
      <c r="AO97" s="397">
        <v>29.788883061217486</v>
      </c>
      <c r="AP97" s="396">
        <v>32.26884335880473</v>
      </c>
      <c r="AQ97" s="396">
        <v>1.8201778690763455</v>
      </c>
      <c r="AR97" s="396">
        <v>0.68398813886783805</v>
      </c>
      <c r="AS97" s="397">
        <v>-2.1349354301035788E-2</v>
      </c>
      <c r="AT97" s="396">
        <v>1.1545214266885602E-10</v>
      </c>
      <c r="AU97" s="396">
        <v>0</v>
      </c>
    </row>
    <row r="98" spans="1:47" ht="13">
      <c r="A98" s="399" t="s">
        <v>479</v>
      </c>
      <c r="B98" s="400">
        <v>0</v>
      </c>
      <c r="C98" s="400">
        <v>-2</v>
      </c>
      <c r="D98" s="400">
        <v>10</v>
      </c>
      <c r="E98" s="400">
        <v>9</v>
      </c>
      <c r="F98" s="400">
        <v>13</v>
      </c>
      <c r="G98" s="400">
        <v>-16</v>
      </c>
      <c r="H98" s="400">
        <v>13</v>
      </c>
      <c r="I98" s="400">
        <v>18</v>
      </c>
      <c r="J98" s="400">
        <v>18</v>
      </c>
      <c r="K98" s="400">
        <v>15</v>
      </c>
      <c r="L98" s="400">
        <v>1</v>
      </c>
      <c r="M98" s="265"/>
      <c r="N98" s="400">
        <v>4</v>
      </c>
      <c r="O98" s="400">
        <v>7</v>
      </c>
      <c r="P98" s="400">
        <v>11</v>
      </c>
      <c r="Q98" s="401">
        <v>14</v>
      </c>
      <c r="R98" s="400">
        <v>16</v>
      </c>
      <c r="S98" s="400">
        <v>19</v>
      </c>
      <c r="T98" s="400">
        <v>16</v>
      </c>
      <c r="U98" s="401">
        <v>3</v>
      </c>
      <c r="V98" s="400">
        <v>-4</v>
      </c>
      <c r="W98" s="400">
        <v>-30</v>
      </c>
      <c r="X98" s="400">
        <v>-21</v>
      </c>
      <c r="Y98" s="401">
        <v>-9</v>
      </c>
      <c r="Z98" s="400">
        <v>-6</v>
      </c>
      <c r="AA98" s="400">
        <v>24</v>
      </c>
      <c r="AB98" s="400">
        <v>23</v>
      </c>
      <c r="AC98" s="401">
        <v>16</v>
      </c>
      <c r="AD98" s="400">
        <v>23</v>
      </c>
      <c r="AE98" s="400">
        <v>25</v>
      </c>
      <c r="AF98" s="400">
        <v>12</v>
      </c>
      <c r="AG98" s="401">
        <v>13</v>
      </c>
      <c r="AH98" s="400">
        <v>21</v>
      </c>
      <c r="AI98" s="400">
        <v>22</v>
      </c>
      <c r="AJ98" s="400">
        <v>18</v>
      </c>
      <c r="AK98" s="401">
        <v>10</v>
      </c>
      <c r="AL98" s="400">
        <v>-6</v>
      </c>
      <c r="AM98" s="400">
        <v>17</v>
      </c>
      <c r="AN98" s="400">
        <v>19</v>
      </c>
      <c r="AO98" s="401">
        <v>30</v>
      </c>
      <c r="AP98" s="400">
        <v>29</v>
      </c>
      <c r="AQ98" s="400">
        <v>-8</v>
      </c>
      <c r="AR98" s="400">
        <v>-3</v>
      </c>
      <c r="AS98" s="401">
        <v>-7</v>
      </c>
      <c r="AT98" s="400">
        <v>-6</v>
      </c>
      <c r="AU98" s="400">
        <v>5</v>
      </c>
    </row>
    <row r="99" spans="1:47" ht="13">
      <c r="A99" s="395" t="s">
        <v>480</v>
      </c>
      <c r="B99" s="416">
        <v>8088</v>
      </c>
      <c r="C99" s="416">
        <v>7925</v>
      </c>
      <c r="D99" s="416">
        <v>8738</v>
      </c>
      <c r="E99" s="416">
        <v>9519.4235616708993</v>
      </c>
      <c r="F99" s="416">
        <v>10799</v>
      </c>
      <c r="G99" s="416">
        <v>9024</v>
      </c>
      <c r="H99" s="416">
        <v>10205</v>
      </c>
      <c r="I99" s="416">
        <v>12049</v>
      </c>
      <c r="J99" s="416">
        <v>12723</v>
      </c>
      <c r="K99" s="416">
        <v>14640</v>
      </c>
      <c r="L99" s="416">
        <v>14788</v>
      </c>
      <c r="M99" s="265"/>
      <c r="N99" s="416">
        <v>2245</v>
      </c>
      <c r="O99" s="416">
        <v>2452</v>
      </c>
      <c r="P99" s="416">
        <v>2382</v>
      </c>
      <c r="Q99" s="417">
        <v>2440</v>
      </c>
      <c r="R99" s="416">
        <v>2605</v>
      </c>
      <c r="S99" s="416">
        <v>2926</v>
      </c>
      <c r="T99" s="416">
        <v>2765</v>
      </c>
      <c r="U99" s="417">
        <v>2503</v>
      </c>
      <c r="V99" s="416">
        <v>2505</v>
      </c>
      <c r="W99" s="416">
        <v>2035</v>
      </c>
      <c r="X99" s="416">
        <v>2196</v>
      </c>
      <c r="Y99" s="417">
        <v>2288</v>
      </c>
      <c r="Z99" s="416">
        <v>2345</v>
      </c>
      <c r="AA99" s="416">
        <v>2517</v>
      </c>
      <c r="AB99" s="416">
        <v>2699</v>
      </c>
      <c r="AC99" s="417">
        <v>2643.8295383448999</v>
      </c>
      <c r="AD99" s="416">
        <v>2877</v>
      </c>
      <c r="AE99" s="416">
        <v>3153.8397801294</v>
      </c>
      <c r="AF99" s="416">
        <v>3034.4216688195997</v>
      </c>
      <c r="AG99" s="417">
        <v>2983.9212121799997</v>
      </c>
      <c r="AH99" s="416">
        <v>3125.4963094281002</v>
      </c>
      <c r="AI99" s="416">
        <v>3417.8026817410996</v>
      </c>
      <c r="AJ99" s="416">
        <v>3194.7805751240999</v>
      </c>
      <c r="AK99" s="417">
        <v>2985.0522776819003</v>
      </c>
      <c r="AL99" s="416">
        <v>2948.8386474096001</v>
      </c>
      <c r="AM99" s="416">
        <v>3991.2357640446003</v>
      </c>
      <c r="AN99" s="416">
        <v>3809.3538564464998</v>
      </c>
      <c r="AO99" s="417">
        <v>3890.3580650733998</v>
      </c>
      <c r="AP99" s="416">
        <v>3810.9029369288</v>
      </c>
      <c r="AQ99" s="416">
        <v>3664.9993624146</v>
      </c>
      <c r="AR99" s="416">
        <v>3704.3506572099004</v>
      </c>
      <c r="AS99" s="417">
        <v>3608.1666415139998</v>
      </c>
      <c r="AT99" s="416">
        <v>3564.2879160654002</v>
      </c>
      <c r="AU99" s="416">
        <v>3854.0606449921002</v>
      </c>
    </row>
  </sheetData>
  <hyperlinks>
    <hyperlink ref="A2" location="'START PAGE'!A1" display="Back to start page" xr:uid="{A93CDF10-A2B0-4CDC-828E-1DE8CB2249C0}"/>
  </hyperlinks>
  <pageMargins left="0.7" right="0.7" top="0.75" bottom="0.75" header="0.3" footer="0.3"/>
  <pageSetup paperSize="9" scale="87" fitToHeight="2" orientation="landscape" r:id="rId1"/>
  <legacyDrawing r:id="rId2"/>
</worksheet>
</file>

<file path=docMetadata/LabelInfo.xml><?xml version="1.0" encoding="utf-8"?>
<clbl:labelList xmlns:clbl="http://schemas.microsoft.com/office/2020/mipLabelMetadata">
  <clbl:label id="{a7ce1272-3ac3-4aad-9b2f-d67470055345}" enabled="1" method="Privileged" siteId="{896ecbea-bd27-4a3c-a131-34aa0b46a08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START PAGE</vt:lpstr>
      <vt:lpstr>Definitions</vt:lpstr>
      <vt:lpstr>APMs calculated</vt:lpstr>
      <vt:lpstr>Income statement</vt:lpstr>
      <vt:lpstr>Segments</vt:lpstr>
      <vt:lpstr>Geography</vt:lpstr>
      <vt:lpstr>Balance Sheet</vt:lpstr>
      <vt:lpstr>Cash flow</vt:lpstr>
      <vt:lpstr>Sales bridges</vt:lpstr>
      <vt:lpstr>Profit bridges</vt:lpstr>
      <vt:lpstr>Adjusted bridges</vt:lpstr>
      <vt:lpstr>Key figures</vt:lpstr>
      <vt:lpstr>ESG</vt:lpstr>
      <vt:lpstr>Large orders</vt:lpstr>
      <vt:lpstr>OIB</vt:lpstr>
      <vt:lpstr>M&amp;A</vt:lpstr>
      <vt:lpstr>Segments (Old)</vt:lpstr>
      <vt:lpstr>Atlas Copco (Old)</vt:lpstr>
      <vt:lpstr>Segments!_FilterDatabase</vt:lpstr>
      <vt:lpstr>'Segments (Old)'!_FilterDatabase</vt:lpstr>
      <vt:lpstr>'APMs calculated'!Print_Area</vt:lpstr>
      <vt:lpstr>'Atlas Copco (Old)'!Print_Area</vt:lpstr>
      <vt:lpstr>'Balance Sheet'!Print_Area</vt:lpstr>
      <vt:lpstr>'Cash flow'!Print_Area</vt:lpstr>
      <vt:lpstr>Definitions!Print_Area</vt:lpstr>
      <vt:lpstr>ESG!Print_Area</vt:lpstr>
      <vt:lpstr>Geography!Print_Area</vt:lpstr>
      <vt:lpstr>'Income statement'!Print_Area</vt:lpstr>
      <vt:lpstr>'Key figures'!Print_Area</vt:lpstr>
      <vt:lpstr>'Large orders'!Print_Area</vt:lpstr>
      <vt:lpstr>'M&amp;A'!Print_Area</vt:lpstr>
      <vt:lpstr>OIB!Print_Area</vt:lpstr>
      <vt:lpstr>'Profit bridges'!Print_Area</vt:lpstr>
      <vt:lpstr>'Sales bridges'!Print_Area</vt:lpstr>
      <vt:lpstr>Segments!Print_Area</vt:lpstr>
      <vt:lpstr>'Segments (Old)'!Print_Area</vt:lpstr>
      <vt:lpstr>'START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Larsson</dc:creator>
  <cp:lastModifiedBy>Isabella Roxby</cp:lastModifiedBy>
  <dcterms:created xsi:type="dcterms:W3CDTF">2025-10-28T16:30:24Z</dcterms:created>
  <dcterms:modified xsi:type="dcterms:W3CDTF">2026-07-17T08:54:00Z</dcterms:modified>
</cp:coreProperties>
</file>