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piroc\dfs\ACE_Epiroc_Group\Investor Relations\Financial Reports\Quarterly reports\2025-Q3\12. Key figures\"/>
    </mc:Choice>
  </mc:AlternateContent>
  <xr:revisionPtr revIDLastSave="0" documentId="13_ncr:1_{B70C786C-F48F-4844-A60C-A4CEF471D11A}" xr6:coauthVersionLast="47" xr6:coauthVersionMax="47" xr10:uidLastSave="{00000000-0000-0000-0000-000000000000}"/>
  <bookViews>
    <workbookView xWindow="-120" yWindow="-120" windowWidth="51840" windowHeight="21120"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3" r:id="rId13"/>
    <sheet name="Large orders" sheetId="14" r:id="rId14"/>
    <sheet name="OIB" sheetId="15" r:id="rId15"/>
    <sheet name="M&amp;A" sheetId="16" r:id="rId16"/>
    <sheet name="Segments (Old)" sheetId="17" r:id="rId17"/>
    <sheet name="Atlas Copco (Old)" sheetId="18" r:id="rId18"/>
  </sheet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evMode">#REF!</definedName>
    <definedName name="Diagram_Help">#REF!</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nput_Help">#REF!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calculated'!$A$1:$AG$123</definedName>
    <definedName name="_xlnm.Print_Area" localSheetId="17">'Atlas Copco (Old)'!$A$1:$AC$28</definedName>
    <definedName name="_xlnm.Print_Area" localSheetId="6">'Balance Sheet'!$A$1:$AK$37</definedName>
    <definedName name="_xlnm.Print_Area" localSheetId="7">'Cash flow'!$A$1:$AK$50</definedName>
    <definedName name="_xlnm.Print_Area" localSheetId="1">Definitions!$A$1:$C$38</definedName>
    <definedName name="_xlnm.Print_Area" localSheetId="12">ESG!$A$3:$J$91</definedName>
    <definedName name="_xlnm.Print_Area" localSheetId="5">Geography!$A$1:$AK$69</definedName>
    <definedName name="_xlnm.Print_Area" localSheetId="3">'Income statement'!$A$1:$AK$25</definedName>
    <definedName name="_xlnm.Print_Area" localSheetId="11">'Key figures'!$A$1:$AK$77</definedName>
    <definedName name="_xlnm.Print_Area" localSheetId="13">'Large orders'!$A$1:$R$66</definedName>
    <definedName name="_xlnm.Print_Area" localSheetId="15">'M&amp;A'!$A$1:$H$59</definedName>
    <definedName name="_xlnm.Print_Area" localSheetId="14">OIB!$A$1:$F$28</definedName>
    <definedName name="_xlnm.Print_Area" localSheetId="9">'Profit bridges'!$A$1:$BJ$34</definedName>
    <definedName name="_xlnm.Print_Area" localSheetId="8">'Sales bridges'!$A$1:$AG$99</definedName>
    <definedName name="_xlnm.Print_Area" localSheetId="4">Segments!$A$1:$AK$116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18" l="1"/>
  <c r="AA15" i="18" s="1"/>
  <c r="AC12" i="18"/>
  <c r="AC13" i="18" s="1"/>
  <c r="AC15" i="18" s="1"/>
  <c r="AB12" i="18"/>
  <c r="AB13" i="18" s="1"/>
  <c r="AB15" i="18" s="1"/>
  <c r="AA12" i="18"/>
  <c r="AC11" i="18"/>
  <c r="AD11" i="18" s="1"/>
  <c r="AB11" i="18"/>
  <c r="AA11" i="18"/>
  <c r="AD10" i="18"/>
  <c r="AC10" i="18"/>
  <c r="AB10" i="18"/>
  <c r="AA10" i="18"/>
  <c r="AC8" i="18"/>
  <c r="AB8" i="18"/>
  <c r="AA8" i="18"/>
  <c r="AC6" i="18"/>
  <c r="AB6" i="18"/>
  <c r="AA6" i="18"/>
  <c r="AC2" i="18"/>
  <c r="AB2" i="18"/>
  <c r="AA2" i="18"/>
  <c r="I91" i="17"/>
  <c r="G91" i="17"/>
  <c r="I90" i="17"/>
  <c r="G90" i="17"/>
  <c r="I89" i="17"/>
  <c r="G89" i="17"/>
  <c r="AD88" i="17"/>
  <c r="AC88" i="17"/>
  <c r="I87" i="17"/>
  <c r="I85" i="17"/>
  <c r="I83" i="17" s="1"/>
  <c r="I84" i="17"/>
  <c r="H84" i="17"/>
  <c r="H82" i="17" s="1"/>
  <c r="I82" i="17"/>
  <c r="AC81" i="17"/>
  <c r="I80" i="17"/>
  <c r="I76" i="17"/>
  <c r="I77" i="17" s="1"/>
  <c r="AC75" i="17"/>
  <c r="I74" i="17"/>
  <c r="AB71" i="17"/>
  <c r="AA71" i="17"/>
  <c r="Z71" i="17"/>
  <c r="Y71" i="17"/>
  <c r="X71" i="17"/>
  <c r="F71" i="17"/>
  <c r="W69" i="17"/>
  <c r="W71" i="17" s="1"/>
  <c r="G71" i="17" s="1"/>
  <c r="AC68" i="17"/>
  <c r="I67" i="17"/>
  <c r="H63" i="17"/>
  <c r="AC61" i="17"/>
  <c r="I60" i="17"/>
  <c r="AC54" i="17"/>
  <c r="I53" i="17"/>
  <c r="AC44" i="17"/>
  <c r="I43" i="17"/>
  <c r="H40" i="17"/>
  <c r="H39" i="17"/>
  <c r="AC37" i="17"/>
  <c r="I36" i="17"/>
  <c r="H33" i="17"/>
  <c r="H32" i="17"/>
  <c r="H31" i="17"/>
  <c r="H30" i="17"/>
  <c r="H29" i="17"/>
  <c r="H28" i="17"/>
  <c r="H38" i="17" s="1"/>
  <c r="AC27" i="17"/>
  <c r="I26" i="17"/>
  <c r="H26" i="17"/>
  <c r="H24" i="17"/>
  <c r="G24" i="17"/>
  <c r="E24" i="17"/>
  <c r="C24" i="17"/>
  <c r="I23" i="17"/>
  <c r="H22" i="17"/>
  <c r="I24" i="17" s="1"/>
  <c r="H21" i="17"/>
  <c r="H20" i="17"/>
  <c r="H19" i="17"/>
  <c r="H85" i="17" s="1"/>
  <c r="H83" i="17" s="1"/>
  <c r="H18" i="17"/>
  <c r="H17" i="17"/>
  <c r="H76" i="17" s="1"/>
  <c r="H77" i="17" s="1"/>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G9" i="16"/>
  <c r="AE9" i="16"/>
  <c r="T9" i="16"/>
  <c r="S9" i="16"/>
  <c r="Q9" i="16"/>
  <c r="P9" i="16"/>
  <c r="O9" i="16"/>
  <c r="N9" i="16"/>
  <c r="AS8" i="16"/>
  <c r="AG8" i="16"/>
  <c r="AF8" i="16"/>
  <c r="AC8" i="16"/>
  <c r="AC9" i="16" s="1"/>
  <c r="AB8" i="16"/>
  <c r="AA8" i="16"/>
  <c r="AA9" i="16" s="1"/>
  <c r="Z8" i="16"/>
  <c r="Z9" i="16" s="1"/>
  <c r="Y8" i="16"/>
  <c r="Y9" i="16" s="1"/>
  <c r="X8" i="16"/>
  <c r="X9" i="16" s="1"/>
  <c r="W8" i="16"/>
  <c r="W9" i="16" s="1"/>
  <c r="V8" i="16"/>
  <c r="U8" i="16"/>
  <c r="U9" i="16" s="1"/>
  <c r="T8" i="16"/>
  <c r="S8" i="16"/>
  <c r="AS7" i="16"/>
  <c r="AG7" i="16"/>
  <c r="AF7" i="16"/>
  <c r="AF9" i="16" s="1"/>
  <c r="AS6" i="16"/>
  <c r="AC6" i="16"/>
  <c r="AB6" i="16"/>
  <c r="AB9" i="16" s="1"/>
  <c r="AA6" i="16"/>
  <c r="Z6" i="16"/>
  <c r="Y6" i="16"/>
  <c r="X6" i="16"/>
  <c r="W6" i="16"/>
  <c r="V6" i="16"/>
  <c r="U6" i="16"/>
  <c r="T6" i="16"/>
  <c r="S6" i="16"/>
  <c r="AS5" i="16"/>
  <c r="AS4" i="16"/>
  <c r="AK3" i="16"/>
  <c r="H49" i="15"/>
  <c r="F49" i="15"/>
  <c r="E49" i="15"/>
  <c r="D49" i="15"/>
  <c r="C49" i="15"/>
  <c r="B49" i="15"/>
  <c r="J32" i="15"/>
  <c r="H32" i="15"/>
  <c r="G32" i="15"/>
  <c r="G36" i="15" s="1"/>
  <c r="G38" i="15" s="1"/>
  <c r="G40" i="15" s="1"/>
  <c r="F32" i="15"/>
  <c r="G31" i="15"/>
  <c r="G30" i="15"/>
  <c r="I18" i="15"/>
  <c r="J15" i="15"/>
  <c r="J5" i="15"/>
  <c r="I5" i="15"/>
  <c r="I15" i="15" s="1"/>
  <c r="H5" i="15"/>
  <c r="H13" i="15" s="1"/>
  <c r="F5" i="15"/>
  <c r="E5" i="15"/>
  <c r="D5" i="15"/>
  <c r="C5" i="15"/>
  <c r="B5" i="15"/>
  <c r="E49" i="14"/>
  <c r="E48" i="14"/>
  <c r="E46" i="14"/>
  <c r="E44" i="14"/>
  <c r="E40" i="14"/>
  <c r="E35" i="14"/>
  <c r="E30" i="14"/>
  <c r="E27" i="14"/>
  <c r="E23" i="14"/>
  <c r="E20" i="14"/>
  <c r="E17" i="14"/>
  <c r="E9" i="14"/>
  <c r="E7" i="14"/>
  <c r="C7" i="14"/>
  <c r="E5" i="14"/>
  <c r="I113" i="13"/>
  <c r="H113" i="13"/>
  <c r="G113" i="13"/>
  <c r="F113" i="13"/>
  <c r="E113" i="13"/>
  <c r="D113" i="13"/>
  <c r="C113" i="13"/>
  <c r="I111" i="13"/>
  <c r="H111" i="13"/>
  <c r="G111" i="13"/>
  <c r="F111" i="13"/>
  <c r="E111" i="13"/>
  <c r="D111" i="13"/>
  <c r="C111" i="13"/>
  <c r="I109" i="13"/>
  <c r="H109" i="13"/>
  <c r="G109" i="13"/>
  <c r="F109" i="13"/>
  <c r="E109" i="13"/>
  <c r="D109" i="13"/>
  <c r="C109" i="13"/>
  <c r="I107" i="13"/>
  <c r="H107" i="13"/>
  <c r="G107" i="13"/>
  <c r="F107" i="13"/>
  <c r="E107" i="13"/>
  <c r="D107" i="13"/>
  <c r="C107" i="13"/>
  <c r="K64" i="12"/>
  <c r="AR64" i="12" s="1"/>
  <c r="E64" i="12"/>
  <c r="AR63" i="12"/>
  <c r="P30" i="12"/>
  <c r="O30" i="12"/>
  <c r="N30" i="12"/>
  <c r="M30" i="12"/>
  <c r="E28" i="12"/>
  <c r="AL27" i="12"/>
  <c r="AB22" i="12"/>
  <c r="AA22" i="12"/>
  <c r="Z22" i="12"/>
  <c r="Y22" i="12"/>
  <c r="X22" i="12"/>
  <c r="W22" i="12"/>
  <c r="V22" i="12"/>
  <c r="U22" i="12"/>
  <c r="T22" i="12"/>
  <c r="S22" i="12"/>
  <c r="R22" i="12"/>
  <c r="Q22" i="12"/>
  <c r="P22" i="12"/>
  <c r="O22" i="12"/>
  <c r="N22" i="12"/>
  <c r="M22" i="12"/>
  <c r="G22" i="12"/>
  <c r="F22" i="12"/>
  <c r="E22" i="12"/>
  <c r="D22" i="12"/>
  <c r="C22" i="12"/>
  <c r="B22" i="12"/>
  <c r="AD18" i="12"/>
  <c r="AC18" i="12"/>
  <c r="AB18" i="12"/>
  <c r="AA18" i="12"/>
  <c r="Z18" i="12"/>
  <c r="Y18" i="12"/>
  <c r="X18" i="12"/>
  <c r="W18" i="12"/>
  <c r="V18" i="12"/>
  <c r="U18" i="12"/>
  <c r="T18" i="12"/>
  <c r="S18" i="12"/>
  <c r="R18" i="12"/>
  <c r="Q18" i="12"/>
  <c r="P18" i="12"/>
  <c r="O18" i="12"/>
  <c r="N18" i="12"/>
  <c r="M18" i="12"/>
  <c r="G18" i="12"/>
  <c r="F18" i="12"/>
  <c r="E18" i="12"/>
  <c r="D18" i="12"/>
  <c r="C18" i="12"/>
  <c r="B18" i="12"/>
  <c r="AL6" i="12"/>
  <c r="AK6" i="12"/>
  <c r="I183" i="11"/>
  <c r="I182" i="11"/>
  <c r="I181" i="11"/>
  <c r="V179" i="11"/>
  <c r="I179" i="11"/>
  <c r="V178" i="11"/>
  <c r="I178" i="11"/>
  <c r="V177" i="11"/>
  <c r="I177" i="11"/>
  <c r="V176" i="11"/>
  <c r="I176" i="11"/>
  <c r="V175" i="11"/>
  <c r="I175" i="11"/>
  <c r="V174" i="11"/>
  <c r="I174" i="11"/>
  <c r="V173" i="11"/>
  <c r="I173" i="11"/>
  <c r="V172" i="11"/>
  <c r="I172" i="11"/>
  <c r="V171" i="11"/>
  <c r="I171" i="11"/>
  <c r="V170" i="11"/>
  <c r="I170" i="11"/>
  <c r="V169" i="11"/>
  <c r="I169" i="11"/>
  <c r="V168" i="11"/>
  <c r="I168" i="11"/>
  <c r="I165" i="11"/>
  <c r="I164" i="11"/>
  <c r="I163" i="11"/>
  <c r="V161" i="11"/>
  <c r="I161" i="11"/>
  <c r="V160" i="11"/>
  <c r="I160" i="11"/>
  <c r="V159" i="11"/>
  <c r="I159" i="11"/>
  <c r="V158" i="11"/>
  <c r="I158" i="11"/>
  <c r="V157" i="11"/>
  <c r="I157" i="11"/>
  <c r="V156" i="11"/>
  <c r="I156" i="11"/>
  <c r="V155" i="11"/>
  <c r="I155" i="11"/>
  <c r="AE154" i="11"/>
  <c r="V154" i="11"/>
  <c r="I154" i="11"/>
  <c r="V153" i="11"/>
  <c r="I153" i="11"/>
  <c r="AE152" i="11"/>
  <c r="V152" i="11"/>
  <c r="I152" i="11"/>
  <c r="V151" i="11"/>
  <c r="I151" i="11"/>
  <c r="V150" i="11"/>
  <c r="I150" i="11"/>
  <c r="I148" i="11"/>
  <c r="I147" i="11"/>
  <c r="I146" i="11"/>
  <c r="V144" i="11"/>
  <c r="I144" i="11"/>
  <c r="V143" i="11"/>
  <c r="I143" i="11"/>
  <c r="V142" i="11"/>
  <c r="I142" i="11"/>
  <c r="V141" i="11"/>
  <c r="I141" i="11"/>
  <c r="B141" i="11"/>
  <c r="V140" i="11"/>
  <c r="I140" i="11"/>
  <c r="V139" i="11"/>
  <c r="I139" i="11"/>
  <c r="V138" i="11"/>
  <c r="I138" i="11"/>
  <c r="V137" i="11"/>
  <c r="I137" i="11"/>
  <c r="V136" i="11"/>
  <c r="I136" i="11"/>
  <c r="V135" i="11"/>
  <c r="I135" i="11"/>
  <c r="V134" i="11"/>
  <c r="I134" i="11"/>
  <c r="V133" i="11"/>
  <c r="I133" i="11"/>
  <c r="V131" i="11"/>
  <c r="I131" i="11"/>
  <c r="V129" i="11"/>
  <c r="I129" i="11"/>
  <c r="V128" i="11"/>
  <c r="I128" i="11"/>
  <c r="V127" i="11"/>
  <c r="I127" i="11"/>
  <c r="V126" i="11"/>
  <c r="I126" i="11"/>
  <c r="V125" i="11"/>
  <c r="I125" i="11"/>
  <c r="V124" i="11"/>
  <c r="I124" i="11"/>
  <c r="I123" i="11"/>
  <c r="V122" i="11"/>
  <c r="I122" i="11"/>
  <c r="V121" i="11"/>
  <c r="I121" i="11"/>
  <c r="V120" i="11"/>
  <c r="I120" i="11"/>
  <c r="V118" i="11"/>
  <c r="I118" i="11"/>
  <c r="V116" i="11"/>
  <c r="I116" i="11"/>
  <c r="V115" i="11"/>
  <c r="I115" i="11"/>
  <c r="V114" i="11"/>
  <c r="I114" i="11"/>
  <c r="V113" i="11"/>
  <c r="I113" i="11"/>
  <c r="V112" i="11"/>
  <c r="I112" i="11"/>
  <c r="V111" i="11"/>
  <c r="I111" i="11"/>
  <c r="I110" i="11"/>
  <c r="V109" i="11"/>
  <c r="I109" i="11"/>
  <c r="V108" i="11"/>
  <c r="I108" i="11"/>
  <c r="V107" i="11"/>
  <c r="I107" i="11"/>
  <c r="V105" i="11"/>
  <c r="I105" i="11"/>
  <c r="V103" i="11"/>
  <c r="I103" i="11"/>
  <c r="V102" i="11"/>
  <c r="I102" i="11"/>
  <c r="V101" i="11"/>
  <c r="I101" i="11"/>
  <c r="V100" i="11"/>
  <c r="I100" i="11"/>
  <c r="V99" i="11"/>
  <c r="I99" i="11"/>
  <c r="V98" i="11"/>
  <c r="I98" i="11"/>
  <c r="V96" i="11"/>
  <c r="I96" i="11"/>
  <c r="V95" i="11"/>
  <c r="I95" i="11"/>
  <c r="V94" i="11"/>
  <c r="I94" i="11"/>
  <c r="V92" i="11"/>
  <c r="I92" i="11"/>
  <c r="I91" i="11"/>
  <c r="V90" i="11"/>
  <c r="I90" i="11"/>
  <c r="V89" i="11"/>
  <c r="I89" i="11"/>
  <c r="V88" i="11"/>
  <c r="I88" i="11"/>
  <c r="V87" i="11"/>
  <c r="I87" i="11"/>
  <c r="V86" i="11"/>
  <c r="I86" i="11"/>
  <c r="V85" i="11"/>
  <c r="I85" i="11"/>
  <c r="V83" i="11"/>
  <c r="I83" i="11"/>
  <c r="V82" i="11"/>
  <c r="I82" i="11"/>
  <c r="V81" i="11"/>
  <c r="I81" i="11"/>
  <c r="V79" i="11"/>
  <c r="I79" i="11"/>
  <c r="V77" i="11"/>
  <c r="I77" i="11"/>
  <c r="V76" i="11"/>
  <c r="I76" i="11"/>
  <c r="V75" i="11"/>
  <c r="I75" i="11"/>
  <c r="V74" i="11"/>
  <c r="I74" i="11"/>
  <c r="V73" i="11"/>
  <c r="I73" i="11"/>
  <c r="V72" i="11"/>
  <c r="I72" i="11"/>
  <c r="I71" i="11"/>
  <c r="V70" i="11"/>
  <c r="I70" i="11"/>
  <c r="V69" i="11"/>
  <c r="I69" i="11"/>
  <c r="V68" i="11"/>
  <c r="I68" i="11"/>
  <c r="V66" i="11"/>
  <c r="I66" i="11"/>
  <c r="V65" i="11"/>
  <c r="I65" i="11"/>
  <c r="V64" i="11"/>
  <c r="I64" i="11"/>
  <c r="V63" i="11"/>
  <c r="I63" i="11"/>
  <c r="V62" i="11"/>
  <c r="I62" i="11"/>
  <c r="V61" i="11"/>
  <c r="I61" i="11"/>
  <c r="V60" i="11"/>
  <c r="I60" i="11"/>
  <c r="V59" i="11"/>
  <c r="I59" i="11"/>
  <c r="V58" i="11"/>
  <c r="I58" i="11"/>
  <c r="V57" i="11"/>
  <c r="I57" i="11"/>
  <c r="V56" i="11"/>
  <c r="I56" i="11"/>
  <c r="V55" i="11"/>
  <c r="I55" i="11"/>
  <c r="V53" i="11"/>
  <c r="I53" i="11"/>
  <c r="V52" i="11"/>
  <c r="I52" i="11"/>
  <c r="V51" i="11"/>
  <c r="I51" i="11"/>
  <c r="V50" i="11"/>
  <c r="I50" i="11"/>
  <c r="V49" i="11"/>
  <c r="I49" i="11"/>
  <c r="V48" i="11"/>
  <c r="I48" i="11"/>
  <c r="V47" i="11"/>
  <c r="I47" i="11"/>
  <c r="V46" i="11"/>
  <c r="I46" i="11"/>
  <c r="V45" i="11"/>
  <c r="I45" i="11"/>
  <c r="V44" i="11"/>
  <c r="I44" i="11"/>
  <c r="V43" i="11"/>
  <c r="I43" i="11"/>
  <c r="V42" i="11"/>
  <c r="I42" i="11"/>
  <c r="V40" i="11"/>
  <c r="I40" i="11"/>
  <c r="V39" i="11"/>
  <c r="I39" i="11"/>
  <c r="V38" i="11"/>
  <c r="I38" i="11"/>
  <c r="V37" i="11"/>
  <c r="I37" i="11"/>
  <c r="V36" i="11"/>
  <c r="I36" i="11"/>
  <c r="V35" i="11"/>
  <c r="I35" i="11"/>
  <c r="V34" i="11"/>
  <c r="I34" i="11"/>
  <c r="V33" i="11"/>
  <c r="I33" i="11"/>
  <c r="V32" i="11"/>
  <c r="I32" i="11"/>
  <c r="V31" i="11"/>
  <c r="I31" i="11"/>
  <c r="V30" i="11"/>
  <c r="I30" i="11"/>
  <c r="V29" i="11"/>
  <c r="I29" i="11"/>
  <c r="V27" i="11"/>
  <c r="I27" i="11"/>
  <c r="B27" i="11"/>
  <c r="V26" i="11"/>
  <c r="I26" i="11"/>
  <c r="V25" i="11"/>
  <c r="I25" i="11"/>
  <c r="V24" i="11"/>
  <c r="I24" i="11"/>
  <c r="V23" i="11"/>
  <c r="I23" i="11"/>
  <c r="V22" i="11"/>
  <c r="I22" i="11"/>
  <c r="V21" i="11"/>
  <c r="I21" i="11"/>
  <c r="V20" i="11"/>
  <c r="I20" i="11"/>
  <c r="V19" i="11"/>
  <c r="I19" i="11"/>
  <c r="V18" i="11"/>
  <c r="I18" i="11"/>
  <c r="V17" i="11"/>
  <c r="I17" i="11"/>
  <c r="V16" i="11"/>
  <c r="I16" i="11"/>
  <c r="V14" i="11"/>
  <c r="I14" i="11"/>
  <c r="V13" i="11"/>
  <c r="I13" i="11"/>
  <c r="V12" i="11"/>
  <c r="I12" i="11"/>
  <c r="V11" i="11"/>
  <c r="I11" i="11"/>
  <c r="V10" i="11"/>
  <c r="I10" i="11"/>
  <c r="V9" i="11"/>
  <c r="I9" i="11"/>
  <c r="V8" i="11"/>
  <c r="I8" i="11"/>
  <c r="V7" i="11"/>
  <c r="I7" i="11"/>
  <c r="V6" i="11"/>
  <c r="I6" i="11"/>
  <c r="V5" i="11"/>
  <c r="I5" i="11"/>
  <c r="V4" i="11"/>
  <c r="I4" i="11"/>
  <c r="V3" i="11"/>
  <c r="I3" i="11"/>
  <c r="AW23" i="10"/>
  <c r="AW13" i="10"/>
  <c r="AP56" i="8"/>
  <c r="AN56" i="8"/>
  <c r="AM56" i="8"/>
  <c r="AL56" i="8"/>
  <c r="AK56" i="8"/>
  <c r="AJ56" i="8"/>
  <c r="AI56" i="8"/>
  <c r="AH56" i="8"/>
  <c r="AG56" i="8"/>
  <c r="AF56" i="8"/>
  <c r="AE56" i="8"/>
  <c r="AD56" i="8"/>
  <c r="AC56" i="8"/>
  <c r="AB56" i="8"/>
  <c r="AA56" i="8"/>
  <c r="Z56" i="8"/>
  <c r="Y56" i="8"/>
  <c r="K56" i="8"/>
  <c r="F56" i="8"/>
  <c r="E56" i="8"/>
  <c r="J55" i="8"/>
  <c r="I55" i="8"/>
  <c r="H55" i="8"/>
  <c r="G55" i="8"/>
  <c r="G56" i="8" s="1"/>
  <c r="J54" i="8"/>
  <c r="J56" i="8" s="1"/>
  <c r="I54" i="8"/>
  <c r="H54" i="8"/>
  <c r="H56" i="8" s="1"/>
  <c r="G54" i="8"/>
  <c r="J53" i="8"/>
  <c r="I53" i="8"/>
  <c r="I56" i="8" s="1"/>
  <c r="H53" i="8"/>
  <c r="G53" i="8"/>
  <c r="G168" i="6"/>
  <c r="F168" i="6"/>
  <c r="I167" i="6"/>
  <c r="AI166" i="6"/>
  <c r="AH166" i="6"/>
  <c r="I166" i="6" s="1"/>
  <c r="AG166" i="6"/>
  <c r="AF166" i="6"/>
  <c r="AE166" i="6"/>
  <c r="AD166" i="6"/>
  <c r="AC166" i="6"/>
  <c r="H166" i="6"/>
  <c r="I165" i="6"/>
  <c r="H165" i="6"/>
  <c r="G165" i="6"/>
  <c r="F165" i="6"/>
  <c r="E165" i="6"/>
  <c r="D165" i="6"/>
  <c r="C165" i="6"/>
  <c r="B165" i="6"/>
  <c r="K86" i="6"/>
  <c r="J86" i="6"/>
  <c r="I86" i="6"/>
  <c r="H86" i="6"/>
  <c r="G86" i="6"/>
  <c r="F86" i="6"/>
  <c r="K73" i="6"/>
  <c r="J73" i="6"/>
  <c r="J116" i="6" s="1"/>
  <c r="I73" i="6"/>
  <c r="H73" i="6"/>
  <c r="H116" i="6" s="1"/>
  <c r="G73" i="6"/>
  <c r="G116" i="6" s="1"/>
  <c r="F73" i="6"/>
  <c r="F116" i="6" s="1"/>
  <c r="AU69" i="6"/>
  <c r="AT69" i="6"/>
  <c r="AS69" i="6"/>
  <c r="AR69" i="6"/>
  <c r="AQ69" i="6"/>
  <c r="AP69" i="6"/>
  <c r="AO69" i="6"/>
  <c r="AN69" i="6"/>
  <c r="AM69" i="6"/>
  <c r="AL69" i="6"/>
  <c r="AK69" i="6"/>
  <c r="AJ69" i="6"/>
  <c r="AI69" i="6"/>
  <c r="AH69" i="6"/>
  <c r="AG69" i="6"/>
  <c r="K69" i="6"/>
  <c r="J69" i="6"/>
  <c r="I69" i="6"/>
  <c r="H69" i="6"/>
  <c r="AU68" i="6"/>
  <c r="AT68" i="6"/>
  <c r="AS68" i="6"/>
  <c r="AR68" i="6"/>
  <c r="AQ68" i="6"/>
  <c r="AP68" i="6"/>
  <c r="AO68" i="6"/>
  <c r="AN68" i="6"/>
  <c r="AM68" i="6"/>
  <c r="AL68" i="6"/>
  <c r="AK68" i="6"/>
  <c r="AJ68" i="6"/>
  <c r="AI68" i="6"/>
  <c r="AH68" i="6"/>
  <c r="AG68" i="6"/>
  <c r="K68" i="6"/>
  <c r="J68" i="6"/>
  <c r="I68" i="6"/>
  <c r="H68" i="6"/>
  <c r="AU67" i="6"/>
  <c r="AT67" i="6"/>
  <c r="AS67" i="6"/>
  <c r="AR67" i="6"/>
  <c r="AQ67" i="6"/>
  <c r="AP67" i="6"/>
  <c r="AO67" i="6"/>
  <c r="AN67" i="6"/>
  <c r="AM67" i="6"/>
  <c r="AL67" i="6"/>
  <c r="AK67" i="6"/>
  <c r="AJ67" i="6"/>
  <c r="AI67" i="6"/>
  <c r="AH67" i="6"/>
  <c r="AG67" i="6"/>
  <c r="K67" i="6"/>
  <c r="J67" i="6"/>
  <c r="I67" i="6"/>
  <c r="H67" i="6"/>
  <c r="AU66" i="6"/>
  <c r="AT66" i="6"/>
  <c r="AS66" i="6"/>
  <c r="AR66" i="6"/>
  <c r="AQ66" i="6"/>
  <c r="AP66" i="6"/>
  <c r="AO66" i="6"/>
  <c r="AN66" i="6"/>
  <c r="AM66" i="6"/>
  <c r="AL66" i="6"/>
  <c r="AK66" i="6"/>
  <c r="AJ66" i="6"/>
  <c r="AI66" i="6"/>
  <c r="AH66" i="6"/>
  <c r="AG66" i="6"/>
  <c r="K66" i="6"/>
  <c r="J66" i="6"/>
  <c r="I66" i="6"/>
  <c r="H66" i="6"/>
  <c r="AU65" i="6"/>
  <c r="AT65" i="6"/>
  <c r="AS65" i="6"/>
  <c r="AR65" i="6"/>
  <c r="AQ65" i="6"/>
  <c r="AP65" i="6"/>
  <c r="AO65" i="6"/>
  <c r="AN65" i="6"/>
  <c r="AM65" i="6"/>
  <c r="AL65" i="6"/>
  <c r="AK65" i="6"/>
  <c r="AJ65" i="6"/>
  <c r="AI65" i="6"/>
  <c r="AH65" i="6"/>
  <c r="AG65" i="6"/>
  <c r="K65" i="6"/>
  <c r="J65" i="6"/>
  <c r="I65" i="6"/>
  <c r="H65" i="6"/>
  <c r="AT64" i="6"/>
  <c r="AS64" i="6"/>
  <c r="AR64" i="6"/>
  <c r="AQ64" i="6"/>
  <c r="AP64" i="6"/>
  <c r="AO64" i="6"/>
  <c r="AN64" i="6"/>
  <c r="AM64" i="6"/>
  <c r="AL64" i="6"/>
  <c r="AK64" i="6"/>
  <c r="AJ64" i="6"/>
  <c r="AI64" i="6"/>
  <c r="AH64" i="6"/>
  <c r="AG64" i="6"/>
  <c r="K64" i="6"/>
  <c r="J64" i="6"/>
  <c r="I64" i="6"/>
  <c r="AU62" i="6"/>
  <c r="AT62" i="6"/>
  <c r="AS62" i="6"/>
  <c r="AR62" i="6"/>
  <c r="AQ62" i="6"/>
  <c r="AP62" i="6"/>
  <c r="AO62" i="6"/>
  <c r="AN62" i="6"/>
  <c r="AM62" i="6"/>
  <c r="AL62" i="6"/>
  <c r="AK62" i="6"/>
  <c r="AJ62" i="6"/>
  <c r="AI62" i="6"/>
  <c r="AH62" i="6"/>
  <c r="AG62" i="6"/>
  <c r="K62" i="6"/>
  <c r="J62" i="6"/>
  <c r="I62" i="6"/>
  <c r="H62" i="6"/>
  <c r="AU61" i="6"/>
  <c r="AT61" i="6"/>
  <c r="AS61" i="6"/>
  <c r="AR61" i="6"/>
  <c r="AQ61" i="6"/>
  <c r="AP61" i="6"/>
  <c r="AO61" i="6"/>
  <c r="AN61" i="6"/>
  <c r="AM61" i="6"/>
  <c r="AL61" i="6"/>
  <c r="AK61" i="6"/>
  <c r="AJ61" i="6"/>
  <c r="AI61" i="6"/>
  <c r="AH61" i="6"/>
  <c r="AG61" i="6"/>
  <c r="K61" i="6"/>
  <c r="J61" i="6"/>
  <c r="I61" i="6"/>
  <c r="H61" i="6"/>
  <c r="AU60" i="6"/>
  <c r="AT60" i="6"/>
  <c r="AS60" i="6"/>
  <c r="AR60" i="6"/>
  <c r="AQ60" i="6"/>
  <c r="AP60" i="6"/>
  <c r="AO60" i="6"/>
  <c r="AN60" i="6"/>
  <c r="AM60" i="6"/>
  <c r="AL60" i="6"/>
  <c r="AK60" i="6"/>
  <c r="AJ60" i="6"/>
  <c r="AI60" i="6"/>
  <c r="AH60" i="6"/>
  <c r="AG60" i="6"/>
  <c r="K60" i="6"/>
  <c r="J60" i="6"/>
  <c r="I60" i="6"/>
  <c r="H60" i="6"/>
  <c r="AU59" i="6"/>
  <c r="AT59" i="6"/>
  <c r="AS59" i="6"/>
  <c r="AR59" i="6"/>
  <c r="AQ59" i="6"/>
  <c r="AP59" i="6"/>
  <c r="AO59" i="6"/>
  <c r="AN59" i="6"/>
  <c r="AM59" i="6"/>
  <c r="AL59" i="6"/>
  <c r="AK59" i="6"/>
  <c r="AJ59" i="6"/>
  <c r="AI59" i="6"/>
  <c r="AH59" i="6"/>
  <c r="AG59" i="6"/>
  <c r="K59" i="6"/>
  <c r="J59" i="6"/>
  <c r="I59" i="6"/>
  <c r="H59" i="6"/>
  <c r="AU58" i="6"/>
  <c r="AT58" i="6"/>
  <c r="AS58" i="6"/>
  <c r="AR58" i="6"/>
  <c r="AQ58" i="6"/>
  <c r="AP58" i="6"/>
  <c r="AO58" i="6"/>
  <c r="AN58" i="6"/>
  <c r="AM58" i="6"/>
  <c r="AL58" i="6"/>
  <c r="AK58" i="6"/>
  <c r="AJ58" i="6"/>
  <c r="AI58" i="6"/>
  <c r="AH58" i="6"/>
  <c r="AG58" i="6"/>
  <c r="K58" i="6"/>
  <c r="J58" i="6"/>
  <c r="I58" i="6"/>
  <c r="H58" i="6"/>
  <c r="AT57" i="6"/>
  <c r="AS57" i="6"/>
  <c r="AR57" i="6"/>
  <c r="AQ57" i="6"/>
  <c r="AP57" i="6"/>
  <c r="AO57" i="6"/>
  <c r="AN57" i="6"/>
  <c r="AM57" i="6"/>
  <c r="AL57" i="6"/>
  <c r="AK57" i="6"/>
  <c r="AJ57" i="6"/>
  <c r="AI57" i="6"/>
  <c r="AH57" i="6"/>
  <c r="AG57" i="6"/>
  <c r="K57" i="6"/>
  <c r="J57" i="6"/>
  <c r="I57" i="6"/>
  <c r="AU55" i="6"/>
  <c r="AT55" i="6"/>
  <c r="AS55" i="6"/>
  <c r="AR55" i="6"/>
  <c r="AQ55" i="6"/>
  <c r="AP55" i="6"/>
  <c r="AO55" i="6"/>
  <c r="AN55" i="6"/>
  <c r="AM55" i="6"/>
  <c r="AL55" i="6"/>
  <c r="AK55" i="6"/>
  <c r="AJ55" i="6"/>
  <c r="AI55" i="6"/>
  <c r="AH55" i="6"/>
  <c r="AG55" i="6"/>
  <c r="K55" i="6"/>
  <c r="J55" i="6"/>
  <c r="I55" i="6"/>
  <c r="H55" i="6"/>
  <c r="AU54" i="6"/>
  <c r="AT54" i="6"/>
  <c r="AS54" i="6"/>
  <c r="AR54" i="6"/>
  <c r="AQ54" i="6"/>
  <c r="AP54" i="6"/>
  <c r="AO54" i="6"/>
  <c r="AN54" i="6"/>
  <c r="AM54" i="6"/>
  <c r="AL54" i="6"/>
  <c r="AK54" i="6"/>
  <c r="AJ54" i="6"/>
  <c r="AI54" i="6"/>
  <c r="AH54" i="6"/>
  <c r="AG54" i="6"/>
  <c r="K54" i="6"/>
  <c r="J54" i="6"/>
  <c r="I54" i="6"/>
  <c r="H54" i="6"/>
  <c r="AU53" i="6"/>
  <c r="AT53" i="6"/>
  <c r="AS53" i="6"/>
  <c r="AR53" i="6"/>
  <c r="AQ53" i="6"/>
  <c r="AP53" i="6"/>
  <c r="AO53" i="6"/>
  <c r="AN53" i="6"/>
  <c r="AM53" i="6"/>
  <c r="AL53" i="6"/>
  <c r="AK53" i="6"/>
  <c r="AJ53" i="6"/>
  <c r="AI53" i="6"/>
  <c r="AH53" i="6"/>
  <c r="AG53" i="6"/>
  <c r="K53" i="6"/>
  <c r="J53" i="6"/>
  <c r="I53" i="6"/>
  <c r="H53" i="6"/>
  <c r="AU52" i="6"/>
  <c r="AT52" i="6"/>
  <c r="AS52" i="6"/>
  <c r="AR52" i="6"/>
  <c r="AQ52" i="6"/>
  <c r="AP52" i="6"/>
  <c r="AO52" i="6"/>
  <c r="AN52" i="6"/>
  <c r="AM52" i="6"/>
  <c r="AL52" i="6"/>
  <c r="AK52" i="6"/>
  <c r="AJ52" i="6"/>
  <c r="AI52" i="6"/>
  <c r="AH52" i="6"/>
  <c r="AG52" i="6"/>
  <c r="K52" i="6"/>
  <c r="J52" i="6"/>
  <c r="I52" i="6"/>
  <c r="H52" i="6"/>
  <c r="AU51" i="6"/>
  <c r="AT51" i="6"/>
  <c r="AS51" i="6"/>
  <c r="AR51" i="6"/>
  <c r="AQ51" i="6"/>
  <c r="AP51" i="6"/>
  <c r="AO51" i="6"/>
  <c r="AN51" i="6"/>
  <c r="AM51" i="6"/>
  <c r="AL51" i="6"/>
  <c r="AK51" i="6"/>
  <c r="AJ51" i="6"/>
  <c r="AI51" i="6"/>
  <c r="AH51" i="6"/>
  <c r="AG51" i="6"/>
  <c r="K51" i="6"/>
  <c r="J51" i="6"/>
  <c r="I51" i="6"/>
  <c r="H51" i="6"/>
  <c r="AT50" i="6"/>
  <c r="AS50" i="6"/>
  <c r="AR50" i="6"/>
  <c r="AQ50" i="6"/>
  <c r="AP50" i="6"/>
  <c r="AO50" i="6"/>
  <c r="AN50" i="6"/>
  <c r="AM50" i="6"/>
  <c r="AL50" i="6"/>
  <c r="AK50" i="6"/>
  <c r="AI50" i="6"/>
  <c r="AH50" i="6"/>
  <c r="AG50" i="6"/>
  <c r="K50" i="6"/>
  <c r="J50" i="6"/>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R114" i="5"/>
  <c r="J114" i="5"/>
  <c r="I114" i="5"/>
  <c r="H114" i="5"/>
  <c r="G114" i="5"/>
  <c r="F114" i="5"/>
  <c r="E114" i="5"/>
  <c r="AK105" i="5"/>
  <c r="K105" i="5"/>
  <c r="J105" i="5"/>
  <c r="I105" i="5"/>
  <c r="G105" i="5"/>
  <c r="AK104" i="5"/>
  <c r="AJ104" i="5"/>
  <c r="AI104" i="5"/>
  <c r="AH104" i="5"/>
  <c r="AG104" i="5"/>
  <c r="K104" i="5"/>
  <c r="I104" i="5"/>
  <c r="H104" i="5"/>
  <c r="G104" i="5"/>
  <c r="AK103" i="5"/>
  <c r="AJ103" i="5"/>
  <c r="AI103" i="5"/>
  <c r="AH103" i="5"/>
  <c r="AG103" i="5"/>
  <c r="K103" i="5"/>
  <c r="I103" i="5"/>
  <c r="G103" i="5"/>
  <c r="AT100" i="5"/>
  <c r="AR100" i="5"/>
  <c r="AK100" i="5"/>
  <c r="AI100" i="5"/>
  <c r="AH100" i="5"/>
  <c r="AF100" i="5"/>
  <c r="Y100" i="5"/>
  <c r="W100" i="5"/>
  <c r="V100" i="5"/>
  <c r="T100" i="5"/>
  <c r="M100" i="5"/>
  <c r="J100" i="5"/>
  <c r="I100" i="5"/>
  <c r="G100" i="5"/>
  <c r="AT99" i="5"/>
  <c r="AS99" i="5"/>
  <c r="AS100" i="5" s="1"/>
  <c r="AR99" i="5"/>
  <c r="AQ99" i="5"/>
  <c r="AQ100" i="5" s="1"/>
  <c r="AP99" i="5"/>
  <c r="AP100" i="5" s="1"/>
  <c r="AO99" i="5"/>
  <c r="AO100" i="5" s="1"/>
  <c r="AN99" i="5"/>
  <c r="AN100" i="5" s="1"/>
  <c r="AM99" i="5"/>
  <c r="AM100" i="5" s="1"/>
  <c r="AL99" i="5"/>
  <c r="AL100" i="5" s="1"/>
  <c r="AK99" i="5"/>
  <c r="AJ99" i="5"/>
  <c r="AJ100" i="5" s="1"/>
  <c r="AI99" i="5"/>
  <c r="AH99" i="5"/>
  <c r="AG99" i="5"/>
  <c r="AG100" i="5" s="1"/>
  <c r="AF99" i="5"/>
  <c r="AE99" i="5"/>
  <c r="AE100" i="5" s="1"/>
  <c r="AD99" i="5"/>
  <c r="AD100" i="5" s="1"/>
  <c r="AC99" i="5"/>
  <c r="AC100" i="5" s="1"/>
  <c r="AB99" i="5"/>
  <c r="AB100" i="5" s="1"/>
  <c r="AA99" i="5"/>
  <c r="AA100" i="5" s="1"/>
  <c r="Z99" i="5"/>
  <c r="Z100" i="5" s="1"/>
  <c r="Y99" i="5"/>
  <c r="X99" i="5"/>
  <c r="X100" i="5" s="1"/>
  <c r="W99" i="5"/>
  <c r="V99" i="5"/>
  <c r="U99" i="5"/>
  <c r="U100" i="5" s="1"/>
  <c r="T99" i="5"/>
  <c r="S99" i="5"/>
  <c r="S100" i="5" s="1"/>
  <c r="R99" i="5"/>
  <c r="R100" i="5" s="1"/>
  <c r="Q99" i="5"/>
  <c r="Q100" i="5" s="1"/>
  <c r="P99" i="5"/>
  <c r="P100" i="5" s="1"/>
  <c r="O99" i="5"/>
  <c r="O100" i="5" s="1"/>
  <c r="N99" i="5"/>
  <c r="N100" i="5" s="1"/>
  <c r="M99" i="5"/>
  <c r="K99" i="5"/>
  <c r="K100" i="5" s="1"/>
  <c r="J99" i="5"/>
  <c r="I99" i="5"/>
  <c r="G99" i="5"/>
  <c r="F99" i="5"/>
  <c r="F100" i="5" s="1"/>
  <c r="E99" i="5"/>
  <c r="E100" i="5" s="1"/>
  <c r="D99" i="5"/>
  <c r="D100" i="5" s="1"/>
  <c r="C99" i="5"/>
  <c r="C100" i="5" s="1"/>
  <c r="B99" i="5"/>
  <c r="B100" i="5" s="1"/>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M96" i="5"/>
  <c r="K96" i="5"/>
  <c r="J96" i="5"/>
  <c r="I96" i="5"/>
  <c r="G96" i="5"/>
  <c r="F96" i="5"/>
  <c r="E96" i="5"/>
  <c r="D96" i="5"/>
  <c r="C96" i="5"/>
  <c r="B96"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M95" i="5"/>
  <c r="K95" i="5"/>
  <c r="J95" i="5"/>
  <c r="I95" i="5"/>
  <c r="H95" i="5"/>
  <c r="G95" i="5"/>
  <c r="F95" i="5"/>
  <c r="E95" i="5"/>
  <c r="D95" i="5"/>
  <c r="C95" i="5"/>
  <c r="B95"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M94" i="5"/>
  <c r="K94" i="5"/>
  <c r="J94" i="5"/>
  <c r="I94" i="5"/>
  <c r="H94" i="5"/>
  <c r="G94" i="5"/>
  <c r="F94" i="5"/>
  <c r="E94" i="5"/>
  <c r="D94" i="5"/>
  <c r="C94" i="5"/>
  <c r="B94"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M93" i="5"/>
  <c r="I93" i="5"/>
  <c r="H93" i="5"/>
  <c r="G93" i="5"/>
  <c r="F93" i="5"/>
  <c r="E93" i="5"/>
  <c r="D93" i="5"/>
  <c r="C93" i="5"/>
  <c r="B93" i="5"/>
  <c r="AS91" i="5"/>
  <c r="AR91" i="5"/>
  <c r="AQ91" i="5"/>
  <c r="AP91" i="5"/>
  <c r="AO91" i="5"/>
  <c r="AN91" i="5"/>
  <c r="AM91" i="5"/>
  <c r="AL91" i="5"/>
  <c r="AK91" i="5"/>
  <c r="AJ91" i="5"/>
  <c r="AJ88" i="5" s="1"/>
  <c r="AI91" i="5"/>
  <c r="AH91" i="5"/>
  <c r="AG91" i="5"/>
  <c r="K91" i="5"/>
  <c r="K89" i="5" s="1"/>
  <c r="J91" i="5"/>
  <c r="I91" i="5"/>
  <c r="I89" i="5" s="1"/>
  <c r="H91" i="5"/>
  <c r="AR90" i="5"/>
  <c r="AN90" i="5"/>
  <c r="AM90" i="5"/>
  <c r="AL90" i="5"/>
  <c r="AK90" i="5"/>
  <c r="AJ90" i="5"/>
  <c r="AI90" i="5"/>
  <c r="AI89" i="5" s="1"/>
  <c r="AH90" i="5"/>
  <c r="AH88" i="5" s="1"/>
  <c r="AG90" i="5"/>
  <c r="K90" i="5"/>
  <c r="J90" i="5"/>
  <c r="J89" i="5" s="1"/>
  <c r="I90" i="5"/>
  <c r="I88" i="5" s="1"/>
  <c r="AR89" i="5"/>
  <c r="AN89" i="5"/>
  <c r="AK89" i="5"/>
  <c r="AJ89" i="5"/>
  <c r="AH89" i="5"/>
  <c r="AN88" i="5"/>
  <c r="AM88" i="5"/>
  <c r="AL88" i="5"/>
  <c r="AK88" i="5"/>
  <c r="AI88" i="5"/>
  <c r="AG88" i="5"/>
  <c r="AO85" i="5"/>
  <c r="AL85" i="5"/>
  <c r="AJ85" i="5"/>
  <c r="AI85" i="5"/>
  <c r="AH85" i="5"/>
  <c r="AG85" i="5"/>
  <c r="K85" i="5"/>
  <c r="I85" i="5"/>
  <c r="AO84" i="5"/>
  <c r="AN84" i="5"/>
  <c r="AN85" i="5" s="1"/>
  <c r="AM84" i="5"/>
  <c r="AM85" i="5" s="1"/>
  <c r="AL84" i="5"/>
  <c r="AK84" i="5"/>
  <c r="AK85" i="5" s="1"/>
  <c r="AJ84" i="5"/>
  <c r="AI84" i="5"/>
  <c r="AH84" i="5"/>
  <c r="AG84" i="5"/>
  <c r="K84" i="5"/>
  <c r="J84" i="5"/>
  <c r="J85" i="5" s="1"/>
  <c r="I84" i="5"/>
  <c r="AD80" i="5"/>
  <c r="AC80" i="5"/>
  <c r="AB80" i="5"/>
  <c r="AA80" i="5"/>
  <c r="Z80" i="5"/>
  <c r="Y80" i="5"/>
  <c r="G80" i="5" s="1"/>
  <c r="F80" i="5"/>
  <c r="Y78" i="5"/>
  <c r="AJ74" i="5"/>
  <c r="AH74" i="5"/>
  <c r="K74" i="5"/>
  <c r="J74" i="5"/>
  <c r="I74" i="5"/>
  <c r="AJ73" i="5"/>
  <c r="K73" i="5"/>
  <c r="H73" i="5"/>
  <c r="L69" i="5"/>
  <c r="AJ68" i="5"/>
  <c r="AI68" i="5"/>
  <c r="AI74" i="5" s="1"/>
  <c r="AH68" i="5"/>
  <c r="AG68" i="5"/>
  <c r="AG74" i="5" s="1"/>
  <c r="J68" i="5"/>
  <c r="I68" i="5"/>
  <c r="AJ67" i="5"/>
  <c r="AI67" i="5"/>
  <c r="AI73" i="5" s="1"/>
  <c r="AH67" i="5"/>
  <c r="AH73" i="5" s="1"/>
  <c r="AG67" i="5"/>
  <c r="AG73" i="5" s="1"/>
  <c r="J67" i="5"/>
  <c r="J73" i="5" s="1"/>
  <c r="I67" i="5"/>
  <c r="I73" i="5" s="1"/>
  <c r="K56" i="5"/>
  <c r="J56" i="5"/>
  <c r="AJ55" i="5"/>
  <c r="AI55" i="5"/>
  <c r="AH55" i="5"/>
  <c r="AG55" i="5"/>
  <c r="K55" i="5"/>
  <c r="J55" i="5"/>
  <c r="I55" i="5"/>
  <c r="AJ54" i="5"/>
  <c r="AI54" i="5"/>
  <c r="AH54" i="5"/>
  <c r="AG54" i="5"/>
  <c r="K54" i="5"/>
  <c r="J54" i="5"/>
  <c r="I54" i="5"/>
  <c r="H50" i="5"/>
  <c r="H49" i="5"/>
  <c r="H48" i="5"/>
  <c r="H56" i="5" s="1"/>
  <c r="H47" i="5"/>
  <c r="H46" i="5"/>
  <c r="H55" i="5" s="1"/>
  <c r="H45" i="5"/>
  <c r="H54" i="5" s="1"/>
  <c r="AT41" i="5"/>
  <c r="AR41" i="5"/>
  <c r="AP41" i="5"/>
  <c r="AN41" i="5"/>
  <c r="AM41" i="5"/>
  <c r="AK41" i="5"/>
  <c r="K41" i="5"/>
  <c r="AT40" i="5"/>
  <c r="AR40" i="5"/>
  <c r="AP40" i="5"/>
  <c r="AO40" i="5"/>
  <c r="AL40" i="5"/>
  <c r="AK40" i="5"/>
  <c r="K40" i="5"/>
  <c r="AR39" i="5"/>
  <c r="AO39" i="5"/>
  <c r="AN39" i="5"/>
  <c r="AK39" i="5"/>
  <c r="K39" i="5"/>
  <c r="J39" i="5"/>
  <c r="AO36" i="5"/>
  <c r="AQ36" i="5" s="1"/>
  <c r="AQ41" i="5" s="1"/>
  <c r="AM36" i="5"/>
  <c r="AL36" i="5"/>
  <c r="J36" i="5" s="1"/>
  <c r="J41" i="5" s="1"/>
  <c r="AK36" i="5"/>
  <c r="AT35" i="5"/>
  <c r="AQ35" i="5"/>
  <c r="AQ40" i="5" s="1"/>
  <c r="AP35" i="5"/>
  <c r="AM35" i="5"/>
  <c r="AM40" i="5" s="1"/>
  <c r="AL35" i="5"/>
  <c r="J35" i="5"/>
  <c r="J40" i="5" s="1"/>
  <c r="AT34" i="5"/>
  <c r="AT39" i="5" s="1"/>
  <c r="AP34" i="5"/>
  <c r="AQ34" i="5" s="1"/>
  <c r="AQ39" i="5" s="1"/>
  <c r="AL34" i="5"/>
  <c r="AL39" i="5" s="1"/>
  <c r="AP31" i="5"/>
  <c r="AQ30" i="5"/>
  <c r="AP30" i="5"/>
  <c r="AM30" i="5"/>
  <c r="AN30" i="5" s="1"/>
  <c r="AL30" i="5"/>
  <c r="AQ29" i="5"/>
  <c r="AP29" i="5"/>
  <c r="AM29" i="5"/>
  <c r="AN29" i="5" s="1"/>
  <c r="AL29" i="5"/>
  <c r="K25" i="5"/>
  <c r="J25" i="5" s="1"/>
  <c r="I25" i="5" s="1"/>
  <c r="H25" i="5" s="1"/>
  <c r="G25" i="5" s="1"/>
  <c r="F25" i="5" s="1"/>
  <c r="E25" i="5" s="1"/>
  <c r="D25" i="5" s="1"/>
  <c r="C25" i="5" s="1"/>
  <c r="K24" i="5"/>
  <c r="J24" i="5"/>
  <c r="H24" i="5"/>
  <c r="H23" i="5"/>
  <c r="I24" i="5" s="1"/>
  <c r="H22" i="5"/>
  <c r="H21" i="5"/>
  <c r="H74" i="5" s="1"/>
  <c r="H20" i="5"/>
  <c r="H19" i="5"/>
  <c r="H90" i="5" s="1"/>
  <c r="H88" i="5" s="1"/>
  <c r="H18" i="5"/>
  <c r="H84" i="5" s="1"/>
  <c r="H85" i="5" s="1"/>
  <c r="H9" i="5"/>
  <c r="H105" i="5" s="1"/>
  <c r="H8" i="5"/>
  <c r="J7" i="5"/>
  <c r="J104" i="5" s="1"/>
  <c r="H7" i="5"/>
  <c r="H6" i="5"/>
  <c r="J5" i="5"/>
  <c r="H5" i="5"/>
  <c r="J4" i="5"/>
  <c r="J103" i="5" s="1"/>
  <c r="H4" i="5"/>
  <c r="H103" i="5" s="1"/>
  <c r="AP16" i="4"/>
  <c r="AP15" i="4"/>
  <c r="AL7" i="4"/>
  <c r="AK7" i="4"/>
  <c r="H20" i="1"/>
  <c r="H8" i="1"/>
  <c r="H9" i="1" s="1"/>
  <c r="H10" i="1" s="1"/>
  <c r="H11" i="1" s="1"/>
  <c r="H12" i="1" s="1"/>
  <c r="H13" i="1" s="1"/>
  <c r="H14" i="1" s="1"/>
  <c r="H15" i="1" s="1"/>
  <c r="H16" i="1" s="1"/>
  <c r="H7" i="1"/>
  <c r="G159" i="6" l="1"/>
  <c r="G153" i="6"/>
  <c r="G151" i="6"/>
  <c r="G148" i="6"/>
  <c r="G146" i="6"/>
  <c r="G144" i="6"/>
  <c r="G139" i="6"/>
  <c r="G133" i="6"/>
  <c r="G128" i="6"/>
  <c r="G124" i="6"/>
  <c r="G155" i="6"/>
  <c r="G130" i="6"/>
  <c r="G141" i="6"/>
  <c r="G126" i="6"/>
  <c r="G157" i="6"/>
  <c r="G135" i="6"/>
  <c r="G119" i="6"/>
  <c r="G160" i="6"/>
  <c r="G158" i="6"/>
  <c r="G156" i="6"/>
  <c r="G154" i="6"/>
  <c r="G152" i="6"/>
  <c r="G149" i="6"/>
  <c r="G147" i="6"/>
  <c r="G145" i="6"/>
  <c r="G142" i="6"/>
  <c r="G140" i="6"/>
  <c r="G138" i="6"/>
  <c r="G136" i="6"/>
  <c r="G134" i="6"/>
  <c r="G129" i="6"/>
  <c r="G127" i="6"/>
  <c r="G125" i="6"/>
  <c r="G122" i="6"/>
  <c r="G120" i="6"/>
  <c r="G137" i="6"/>
  <c r="G121" i="6"/>
  <c r="H169" i="6"/>
  <c r="H153" i="6"/>
  <c r="H146" i="6"/>
  <c r="H141" i="6"/>
  <c r="H135" i="6"/>
  <c r="H128" i="6"/>
  <c r="H121" i="6"/>
  <c r="H159" i="6"/>
  <c r="H157" i="6"/>
  <c r="H148" i="6"/>
  <c r="H139" i="6"/>
  <c r="H130" i="6"/>
  <c r="H119" i="6"/>
  <c r="H160" i="6"/>
  <c r="H158" i="6"/>
  <c r="H156" i="6"/>
  <c r="H154" i="6"/>
  <c r="H152" i="6"/>
  <c r="H149" i="6"/>
  <c r="H147" i="6"/>
  <c r="H145" i="6"/>
  <c r="H142" i="6"/>
  <c r="H140" i="6"/>
  <c r="H138" i="6"/>
  <c r="H136" i="6"/>
  <c r="H134" i="6"/>
  <c r="H129" i="6"/>
  <c r="H127" i="6"/>
  <c r="H125" i="6"/>
  <c r="H122" i="6"/>
  <c r="H120" i="6"/>
  <c r="H151" i="6"/>
  <c r="H144" i="6"/>
  <c r="H137" i="6"/>
  <c r="H133" i="6"/>
  <c r="H124" i="6"/>
  <c r="H155" i="6"/>
  <c r="H126" i="6"/>
  <c r="K119" i="6"/>
  <c r="F132" i="6"/>
  <c r="G169" i="6"/>
  <c r="G132" i="6"/>
  <c r="J157" i="6"/>
  <c r="J153" i="6"/>
  <c r="J151" i="6"/>
  <c r="J144" i="6"/>
  <c r="J141" i="6"/>
  <c r="J139" i="6"/>
  <c r="J133" i="6"/>
  <c r="J130" i="6"/>
  <c r="J128" i="6"/>
  <c r="J121" i="6"/>
  <c r="J159" i="6"/>
  <c r="J148" i="6"/>
  <c r="J135" i="6"/>
  <c r="J124" i="6"/>
  <c r="J160" i="6"/>
  <c r="J158" i="6"/>
  <c r="J156" i="6"/>
  <c r="J154" i="6"/>
  <c r="J152" i="6"/>
  <c r="J149" i="6"/>
  <c r="J147" i="6"/>
  <c r="J145" i="6"/>
  <c r="J142" i="6"/>
  <c r="J140" i="6"/>
  <c r="J138" i="6"/>
  <c r="J136" i="6"/>
  <c r="J134" i="6"/>
  <c r="J129" i="6"/>
  <c r="J127" i="6"/>
  <c r="J125" i="6"/>
  <c r="J122" i="6"/>
  <c r="J120" i="6"/>
  <c r="J155" i="6"/>
  <c r="J146" i="6"/>
  <c r="J137" i="6"/>
  <c r="J126" i="6"/>
  <c r="J119" i="6"/>
  <c r="H132" i="6"/>
  <c r="H89" i="5"/>
  <c r="J132" i="6"/>
  <c r="F160" i="6"/>
  <c r="F158" i="6"/>
  <c r="F156" i="6"/>
  <c r="F154" i="6"/>
  <c r="F152" i="6"/>
  <c r="F149" i="6"/>
  <c r="F147" i="6"/>
  <c r="F145" i="6"/>
  <c r="F142" i="6"/>
  <c r="F140" i="6"/>
  <c r="F138" i="6"/>
  <c r="F136" i="6"/>
  <c r="F134" i="6"/>
  <c r="F129" i="6"/>
  <c r="F127" i="6"/>
  <c r="F125" i="6"/>
  <c r="F122" i="6"/>
  <c r="F120" i="6"/>
  <c r="F169" i="6"/>
  <c r="F159" i="6"/>
  <c r="F157" i="6"/>
  <c r="F155" i="6"/>
  <c r="F153" i="6"/>
  <c r="F151" i="6"/>
  <c r="F148" i="6"/>
  <c r="F146" i="6"/>
  <c r="F144" i="6"/>
  <c r="F141" i="6"/>
  <c r="F139" i="6"/>
  <c r="F137" i="6"/>
  <c r="F135" i="6"/>
  <c r="F133" i="6"/>
  <c r="F130" i="6"/>
  <c r="F128" i="6"/>
  <c r="F126" i="6"/>
  <c r="F124" i="6"/>
  <c r="F121" i="6"/>
  <c r="F119" i="6"/>
  <c r="AL41" i="5"/>
  <c r="AO41" i="5"/>
  <c r="J88" i="5"/>
  <c r="H23" i="17"/>
  <c r="H99" i="5"/>
  <c r="H100" i="5" s="1"/>
  <c r="K88" i="5"/>
  <c r="H96" i="5"/>
  <c r="I116" i="6"/>
  <c r="AM34" i="5"/>
  <c r="AM39" i="5" s="1"/>
  <c r="AP39" i="5"/>
  <c r="D24" i="17"/>
  <c r="K116" i="6"/>
  <c r="F24" i="17"/>
  <c r="H62" i="17"/>
  <c r="AN35" i="5"/>
  <c r="AN40" i="5" s="1"/>
  <c r="G162" i="6" l="1"/>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J162" i="6"/>
  <c r="K159" i="6"/>
  <c r="K157" i="6"/>
  <c r="K155" i="6"/>
  <c r="K153" i="6"/>
  <c r="K151" i="6"/>
  <c r="K148" i="6"/>
  <c r="K146" i="6"/>
  <c r="K144" i="6"/>
  <c r="K141" i="6"/>
  <c r="K139" i="6"/>
  <c r="K137" i="6"/>
  <c r="K135" i="6"/>
  <c r="K133" i="6"/>
  <c r="K130" i="6"/>
  <c r="K128" i="6"/>
  <c r="K126" i="6"/>
  <c r="K124" i="6"/>
  <c r="K162" i="6" s="1"/>
  <c r="K121" i="6"/>
  <c r="K160" i="6"/>
  <c r="K158" i="6"/>
  <c r="K156" i="6"/>
  <c r="K154" i="6"/>
  <c r="K152" i="6"/>
  <c r="K149" i="6"/>
  <c r="K147" i="6"/>
  <c r="K145" i="6"/>
  <c r="K142" i="6"/>
  <c r="K140" i="6"/>
  <c r="K138" i="6"/>
  <c r="K136" i="6"/>
  <c r="K134" i="6"/>
  <c r="K132" i="6"/>
  <c r="K129" i="6"/>
  <c r="K127" i="6"/>
  <c r="K125" i="6"/>
  <c r="K122" i="6"/>
  <c r="K120" i="6"/>
  <c r="F162" i="6"/>
  <c r="H162" i="6"/>
  <c r="I16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Q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G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J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M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E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H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J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E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J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K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E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H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J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K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59" authorId="16"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F62" authorId="17"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H62" authorId="18"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I62" authorId="19"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M62" authorId="20"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N62" authorId="21"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P62" authorId="22"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Q62" authorId="23"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R62" authorId="24"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T62" authorId="25"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U62" authorId="26"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H63" authorId="27"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I63" authorId="28"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N63" authorId="29"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O63" authorId="30"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P63" authorId="31"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T63" authorId="32"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U63" authorId="33"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G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G165" authorId="2"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H165" authorId="3"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I165" authorId="4"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N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I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N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T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G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G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D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D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E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G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D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G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G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G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D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tc={84E62534-97F0-4E9F-8F25-2FF009AF4F89}</author>
    <author>tc={01C3BB86-9E17-451C-9C55-191412B8D9FD}</author>
    <author>tc={957F0EBC-B60A-423D-A8B5-C78BA643942C}</author>
    <author>tc={DF7BE275-5FD2-475A-967B-3D7D6E2C1D0A}</author>
    <author>tc={B09E12F3-C577-455C-B5E6-7EAFC4E726CB}</author>
    <author>tc={4EFA571F-6DDA-42F3-A06B-60D1F48BC178}</author>
  </authors>
  <commentList>
    <comment ref="H123" authorId="0" shapeId="0" xr:uid="{84E62534-97F0-4E9F-8F25-2FF009AF4F89}">
      <text>
        <t>[Threaded comment]
Your version of Excel allows you to read this threaded comment; however, any edits to it will get removed if the file is opened in a newer version of Excel. Learn more: https://go.microsoft.com/fwlink/?linkid=870924
Comment:
    2023-06</t>
      </text>
    </comment>
    <comment ref="H124" authorId="1" shapeId="0" xr:uid="{01C3BB86-9E17-451C-9C55-191412B8D9FD}">
      <text>
        <t>[Threaded comment]
Your version of Excel allows you to read this threaded comment; however, any edits to it will get removed if the file is opened in a newer version of Excel. Learn more: https://go.microsoft.com/fwlink/?linkid=870924
Comment:
    2023-03</t>
      </text>
    </comment>
    <comment ref="H125" authorId="2" shapeId="0" xr:uid="{957F0EBC-B60A-423D-A8B5-C78BA643942C}">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H126" authorId="3" shapeId="0" xr:uid="{DF7BE275-5FD2-475A-967B-3D7D6E2C1D0A}">
      <text>
        <t>[Threaded comment]
Your version of Excel allows you to read this threaded comment; however, any edits to it will get removed if the file is opened in a newer version of Excel. Learn more: https://go.microsoft.com/fwlink/?linkid=870924
Comment:
    2023-12</t>
      </text>
    </comment>
    <comment ref="H127" authorId="4" shapeId="0" xr:uid="{B09E12F3-C577-455C-B5E6-7EAFC4E726CB}">
      <text>
        <t>[Threaded comment]
Your version of Excel allows you to read this threaded comment; however, any edits to it will get removed if the file is opened in a newer version of Excel. Learn more: https://go.microsoft.com/fwlink/?linkid=870924
Comment:
    2024-02</t>
      </text>
    </comment>
    <comment ref="I127" authorId="5" shapeId="0" xr:uid="{4EFA571F-6DDA-42F3-A06B-60D1F48BC178}">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0"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6"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<sst xmlns="http://schemas.openxmlformats.org/spreadsheetml/2006/main" count="6194" uniqueCount="1316">
  <si>
    <t xml:space="preserve">Key figures </t>
  </si>
  <si>
    <t xml:space="preserve">Content </t>
  </si>
  <si>
    <t xml:space="preserve">Last updated </t>
  </si>
  <si>
    <t>Definitions</t>
  </si>
  <si>
    <t>Q3 2025 - October 29, 2025</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</si>
  <si>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</si>
  <si>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</si>
  <si>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</si>
  <si>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</si>
  <si>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</si>
  <si>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</si>
  <si>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</si>
  <si>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</si>
  <si>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</si>
  <si>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</si>
  <si>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</si>
  <si>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</si>
  <si>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</si>
  <si>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</si>
  <si>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</si>
  <si>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</si>
  <si>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</si>
  <si>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</si>
  <si>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</si>
  <si>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Through 2025-10-29</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</si>
  <si>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</si>
  <si>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</si>
  <si>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</si>
  <si>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</si>
  <si>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</si>
  <si>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</si>
  <si>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</si>
  <si>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</si>
  <si>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</si>
  <si>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</si>
  <si>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</si>
  <si>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</si>
  <si>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</si>
  <si>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</si>
  <si>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</si>
  <si>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</si>
  <si>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</si>
  <si>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</si>
  <si>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</si>
  <si>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</si>
  <si>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</si>
  <si>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</si>
  <si>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</si>
  <si>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</si>
  <si>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</si>
  <si>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</si>
  <si>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</si>
  <si>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</si>
  <si>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</si>
  <si>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</si>
  <si>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</si>
  <si>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</si>
  <si>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</si>
  <si>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</si>
  <si>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</si>
  <si>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</si>
  <si>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</si>
  <si>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</si>
  <si>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</si>
  <si>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</si>
  <si>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</si>
  <si>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</si>
  <si>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</si>
  <si>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</si>
  <si>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</si>
  <si>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</si>
  <si>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</si>
  <si>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</si>
  <si>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</si>
  <si>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</si>
  <si>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</si>
  <si>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</si>
  <si>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Orders above MSEK 100.</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</si>
  <si>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</si>
  <si>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</si>
  <si>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</si>
  <si>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</si>
  <si>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</si>
  <si>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</si>
  <si>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</si>
  <si>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</si>
  <si>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</si>
  <si>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</si>
  <si>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</si>
  <si>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</si>
  <si>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</si>
  <si>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</si>
  <si>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</si>
  <si>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</si>
  <si>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</si>
  <si>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</si>
  <si>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</si>
  <si>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</si>
  <si>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</si>
  <si>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</si>
  <si>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</si>
  <si>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</si>
  <si>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</si>
  <si>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</si>
  <si>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</si>
  <si>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</si>
  <si>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</si>
  <si>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</si>
  <si>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</si>
  <si>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</si>
  <si>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</si>
  <si>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</si>
  <si>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</si>
  <si>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</si>
  <si>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</si>
  <si>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</si>
  <si>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</si>
  <si>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</si>
  <si>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</si>
  <si>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</si>
  <si>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</si>
  <si>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</si>
  <si>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</si>
  <si>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</si>
  <si>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</si>
  <si>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</si>
  <si>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</si>
  <si>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</si>
  <si>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</si>
  <si>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</si>
  <si>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</si>
  <si>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</si>
  <si>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</si>
  <si>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</si>
  <si>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</si>
  <si>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</si>
  <si>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</si>
  <si>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</si>
  <si>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</si>
  <si>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</si>
  <si>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</si>
  <si>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</si>
  <si>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</si>
  <si>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</si>
  <si>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</si>
  <si>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</si>
  <si>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</si>
  <si>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</si>
  <si>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</si>
  <si>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</si>
  <si>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</si>
  <si>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</si>
  <si>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</si>
  <si>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</si>
  <si>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</si>
  <si>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</si>
  <si>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</si>
  <si>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</si>
  <si>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</si>
  <si>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</si>
  <si>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</si>
  <si>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</si>
  <si>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</si>
  <si>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</si>
  <si>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</si>
  <si>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</si>
  <si>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</si>
  <si>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</si>
  <si>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</si>
  <si>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</si>
  <si>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</si>
  <si>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</si>
  <si>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</si>
  <si>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</si>
  <si>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</si>
  <si>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</si>
  <si>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</si>
  <si>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</si>
  <si>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</si>
  <si>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</si>
  <si>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</si>
  <si>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</si>
  <si>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</si>
  <si>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</si>
  <si>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</si>
  <si>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</si>
  <si>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</si>
  <si>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</si>
  <si>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</si>
  <si>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</si>
  <si>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</si>
  <si>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</si>
  <si>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</si>
  <si>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</si>
  <si>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</si>
  <si>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</si>
  <si>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</si>
  <si>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</si>
  <si>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</si>
  <si>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</si>
  <si>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</si>
  <si>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</si>
  <si>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</si>
  <si>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</si>
  <si>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</si>
  <si>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</si>
  <si>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</si>
  <si>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</si>
  <si>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</si>
  <si>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</si>
  <si>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</si>
  <si>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</si>
  <si>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</si>
  <si>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</si>
  <si>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</si>
  <si>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</si>
  <si>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</si>
  <si>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</si>
  <si>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</si>
  <si>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</si>
  <si>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</si>
  <si>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</si>
  <si>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</si>
  <si>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</si>
  <si>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</si>
  <si>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</si>
  <si>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</si>
  <si>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</si>
  <si>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</si>
  <si>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</si>
  <si>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</si>
  <si>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</si>
  <si>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</si>
  <si>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</si>
  <si>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</si>
  <si>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</si>
  <si>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</si>
  <si>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</si>
  <si>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</si>
  <si>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</si>
  <si>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</si>
  <si>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</si>
  <si>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</si>
  <si>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</si>
  <si>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</si>
  <si>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</si>
  <si>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</si>
  <si>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</si>
  <si>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</si>
  <si>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</si>
  <si>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</si>
  <si>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</si>
  <si>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</si>
  <si>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</si>
  <si>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</si>
  <si>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</si>
  <si>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</si>
  <si>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</si>
  <si>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</si>
  <si>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</si>
  <si>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</si>
  <si>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</si>
  <si>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</si>
  <si>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</si>
  <si>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</si>
  <si>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</si>
  <si>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</si>
  <si>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</si>
  <si>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</si>
  <si>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</si>
  <si>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</si>
  <si>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</si>
  <si>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</si>
  <si>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</si>
  <si>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</si>
  <si>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</si>
  <si>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</si>
  <si>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</si>
  <si>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</si>
  <si>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</si>
  <si>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</si>
  <si>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</si>
  <si>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</si>
  <si>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</si>
  <si>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</si>
  <si>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</si>
  <si>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</si>
  <si>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</si>
  <si>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</si>
  <si>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</si>
  <si>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</si>
  <si>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</si>
  <si>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</si>
  <si>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</si>
  <si>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</si>
  <si>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</si>
  <si>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</si>
  <si>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</si>
  <si>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</si>
  <si>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</si>
  <si>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</si>
  <si>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</si>
  <si>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</si>
  <si>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</si>
  <si>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</si>
  <si>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CAGR 2015-2024</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</si>
  <si>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</si>
  <si>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</si>
  <si>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</si>
  <si>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</si>
  <si>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</si>
  <si>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</si>
  <si>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</si>
  <si>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</si>
  <si>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</si>
  <si>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</si>
  <si>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</si>
  <si>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</si>
  <si>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</si>
  <si>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</si>
  <si>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</si>
  <si>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</si>
  <si>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</si>
  <si>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</si>
  <si>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</si>
  <si>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</si>
  <si>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</si>
  <si>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</si>
  <si>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</si>
  <si>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</si>
  <si>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</si>
  <si>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</si>
  <si>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</si>
  <si>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</si>
  <si>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</si>
  <si>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</si>
  <si>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</si>
  <si>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</si>
  <si>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</si>
  <si>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</si>
  <si>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</si>
  <si>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</si>
  <si>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</si>
  <si>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</si>
  <si>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</si>
  <si>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</si>
  <si>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</si>
  <si>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</si>
  <si>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</si>
  <si>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</si>
  <si>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</si>
  <si>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</si>
  <si>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</si>
  <si>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</si>
  <si>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</si>
  <si>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</si>
  <si>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</si>
  <si>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</si>
  <si>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</si>
  <si>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</si>
  <si>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</si>
  <si>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</si>
  <si>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</si>
  <si>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</si>
  <si>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</si>
  <si>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</si>
  <si>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</si>
  <si>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</si>
  <si>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</si>
  <si>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</si>
  <si>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</si>
  <si>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</si>
  <si>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</si>
  <si>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</si>
  <si>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</si>
  <si>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</si>
  <si>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</si>
  <si>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</si>
  <si>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</si>
  <si>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</si>
  <si>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</si>
  <si>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</si>
  <si>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</si>
  <si>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</si>
  <si>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</si>
  <si>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</si>
  <si>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</si>
  <si>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</si>
  <si>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</si>
  <si>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</si>
  <si>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</si>
  <si>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</si>
  <si>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</si>
  <si>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</si>
  <si>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</si>
  <si>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</si>
  <si>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</si>
  <si>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</si>
  <si>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</si>
  <si>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</si>
  <si>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</si>
  <si>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</si>
  <si>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</si>
  <si>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</si>
  <si>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</si>
  <si>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</si>
  <si>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</si>
  <si>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</si>
  <si>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</si>
  <si>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Investments in associates and joint ventures</t>
  </si>
  <si>
    <t>Other financial assets and receivables</t>
  </si>
  <si>
    <t>Deferred tax assets</t>
  </si>
  <si>
    <t>Total non-current assets</t>
  </si>
  <si>
    <t>Inventories</t>
  </si>
  <si>
    <t>Trade receivables</t>
  </si>
  <si>
    <t>Other receivables</t>
  </si>
  <si>
    <t>Income tax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</si>
  <si>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</si>
  <si>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</si>
  <si>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</si>
  <si>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</si>
  <si>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</si>
  <si>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</si>
  <si>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</si>
  <si>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</si>
  <si>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</si>
  <si>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</si>
  <si>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</si>
  <si>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</si>
  <si>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</si>
  <si>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</si>
  <si>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</si>
  <si>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</si>
  <si>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</si>
  <si>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</si>
  <si>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</si>
  <si>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</si>
  <si>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</si>
  <si>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</si>
  <si>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</si>
  <si>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</si>
  <si>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</si>
  <si>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</si>
  <si>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</si>
  <si>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</si>
  <si>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</si>
  <si>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</si>
  <si>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</si>
  <si>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</si>
  <si>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</si>
  <si>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</si>
  <si>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</si>
  <si>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</si>
  <si>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</si>
  <si>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</si>
  <si>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</si>
  <si>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</si>
  <si>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</si>
  <si>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</si>
  <si>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</si>
  <si>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</si>
  <si>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</si>
  <si>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</si>
  <si>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</si>
  <si>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</si>
  <si>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</si>
  <si>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</si>
  <si>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</si>
  <si>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</si>
  <si>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</si>
  <si>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</si>
  <si>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</si>
  <si>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</si>
  <si>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</si>
  <si>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</si>
  <si>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</si>
  <si>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</si>
  <si>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</si>
  <si>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</si>
  <si>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</si>
  <si>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</si>
  <si>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</si>
  <si>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</si>
  <si>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</si>
  <si>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</si>
  <si>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</si>
  <si>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</si>
  <si>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</si>
  <si>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</si>
  <si>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</si>
  <si>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</si>
  <si>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</si>
  <si>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</si>
  <si>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</si>
  <si>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</si>
  <si>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</si>
  <si>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</si>
  <si>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</si>
  <si>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</si>
  <si>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</si>
  <si>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</si>
  <si>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</si>
  <si>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</si>
  <si>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</si>
  <si>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</si>
  <si>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</si>
  <si>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</si>
  <si>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</si>
  <si>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</si>
  <si>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</si>
  <si>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</si>
  <si>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</si>
  <si>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</si>
  <si>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</si>
  <si>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</si>
  <si>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</si>
  <si>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</si>
  <si>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</si>
  <si>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</si>
  <si>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</si>
  <si>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</si>
  <si>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</si>
  <si>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</si>
  <si>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</si>
  <si>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</si>
  <si>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</si>
  <si>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</si>
  <si>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</si>
  <si>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</si>
  <si>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</si>
  <si>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</si>
  <si>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</si>
  <si>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</si>
  <si>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</si>
  <si>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</si>
  <si>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</si>
  <si>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</si>
  <si>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</si>
  <si>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</si>
  <si>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</si>
  <si>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</si>
  <si>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</si>
  <si>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</si>
  <si>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</si>
  <si>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</si>
  <si>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</si>
  <si>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</si>
  <si>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</si>
  <si>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</si>
  <si>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</si>
  <si>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</si>
  <si>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</si>
  <si>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</si>
  <si>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</si>
  <si>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</si>
  <si>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</si>
  <si>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</si>
  <si>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</si>
  <si>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</si>
  <si>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</si>
  <si>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</si>
  <si>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</si>
  <si>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</si>
  <si>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</si>
  <si>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</si>
  <si>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</si>
  <si>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</si>
  <si>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</si>
  <si>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</si>
  <si>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</si>
  <si>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</si>
  <si>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</si>
  <si>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</si>
  <si>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</si>
  <si>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</si>
  <si>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</si>
  <si>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</si>
  <si>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</si>
  <si>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</si>
  <si>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</si>
  <si>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</si>
  <si>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</si>
  <si>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</si>
  <si>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</si>
  <si>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</si>
  <si>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</si>
  <si>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</si>
  <si>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</si>
  <si>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</si>
  <si>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</si>
  <si>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</si>
  <si>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</si>
  <si>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</si>
  <si>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</si>
  <si>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</si>
  <si>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</si>
  <si>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</si>
  <si>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</si>
  <si>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</si>
  <si>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</si>
  <si>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</si>
  <si>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</si>
  <si>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</si>
  <si>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</si>
  <si>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</si>
  <si>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</si>
  <si>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</si>
  <si>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</si>
  <si>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</si>
  <si>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</si>
  <si>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</si>
  <si>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</si>
  <si>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</si>
  <si>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</si>
  <si>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</si>
  <si>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</si>
  <si>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</si>
  <si>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</si>
  <si>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</si>
  <si>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</si>
  <si>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</si>
  <si>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</si>
  <si>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</si>
  <si>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</si>
  <si>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</si>
  <si>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</si>
  <si>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</si>
  <si>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</si>
  <si>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</si>
  <si>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</si>
  <si>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</si>
  <si>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</si>
  <si>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</si>
  <si>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</si>
  <si>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</si>
  <si>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</si>
  <si>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</si>
  <si>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</si>
  <si>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</si>
  <si>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</si>
  <si>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</si>
  <si>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</si>
  <si>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</si>
  <si>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</si>
  <si>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</si>
  <si>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</si>
  <si>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</si>
  <si>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</si>
  <si>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</si>
  <si>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</si>
  <si>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</si>
  <si>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</si>
  <si>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</si>
  <si>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</si>
  <si>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</si>
  <si>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</si>
  <si>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</si>
  <si>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</si>
  <si>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</si>
  <si>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</si>
  <si>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</si>
  <si>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</si>
  <si>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</si>
  <si>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xml:space="preserve">CO2e emissions from transport, tonnes, 12 months  </t>
  </si>
  <si>
    <t>Transport CO2, tonnes/COS, MSEK, 12 months</t>
  </si>
  <si>
    <t>* Data prior to Q4 2021 are not comparable</t>
  </si>
  <si>
    <t>** Proposed by the Board</t>
  </si>
  <si>
    <t>Sustainability performance</t>
  </si>
  <si>
    <t>Reference in Annual and Sustainability Report 2024</t>
  </si>
  <si>
    <t>Environment</t>
  </si>
  <si>
    <t>2019 (BY) Restated</t>
  </si>
  <si>
    <t>2025 Target</t>
  </si>
  <si>
    <t>Emissions</t>
  </si>
  <si>
    <t>p.99-100</t>
  </si>
  <si>
    <t>SCOPE 1 GHG EMISSIONS ((tCO2e) - On-site</t>
  </si>
  <si>
    <t>SCOPE 1 GHG EMISSIONS (ktCO2e) - Company Vehicles</t>
  </si>
  <si>
    <t>SCOPE 1 GHG EMISSIONS (ktCO2e) - Total</t>
  </si>
  <si>
    <t>SCOPE 2 GHG EMISSIONS (ktCO2e) - On-site</t>
  </si>
  <si>
    <t>SCOPE 2 GHG EMISSIONS (ktCO2e) - Company Vehicles</t>
  </si>
  <si>
    <t>SCOPE 2 GHG EMISSIONS (ktCO2e) - Total (market-based)</t>
  </si>
  <si>
    <t>SCOPE 2 GHG EMISSIONS (ktCO2e) - Total (location-based)</t>
  </si>
  <si>
    <t>p.97, 100</t>
  </si>
  <si>
    <t>SCOPE 1 &amp; 2 GHG EMISSIONS (ktCO2e) - (market-based)</t>
  </si>
  <si>
    <t>Target</t>
  </si>
  <si>
    <t>SCOPE 3 GHG EMISSIONS (ktCO2e) - Purchased goods and services</t>
  </si>
  <si>
    <t>SCOPE 3 GHG EMISSIONS (ktCO2e) - Upstream and downstream transportation and distribution</t>
  </si>
  <si>
    <t>SCOPE 3 GHG EMISSIONS (ktCO2e) - Use of sold products</t>
  </si>
  <si>
    <t>p.98</t>
  </si>
  <si>
    <t>Range of emissions-free product offering, %</t>
  </si>
  <si>
    <t>Total GHG emissions per net revenue (location-based) (tCO2e /net revenue)</t>
  </si>
  <si>
    <t>0.11</t>
  </si>
  <si>
    <t>0.10</t>
  </si>
  <si>
    <t>Total GHG emissions per net revenue (market-based) (tCO2e /net revenue)</t>
  </si>
  <si>
    <t xml:space="preserve">Energy </t>
  </si>
  <si>
    <t>p.98, 100</t>
  </si>
  <si>
    <t>Total fossil energy consumption (GWh)</t>
  </si>
  <si>
    <t>Consumption from nuclear sources (GWh)</t>
  </si>
  <si>
    <t>Total renewable energy consumption (GWh</t>
  </si>
  <si>
    <t>Total energy consumption (GWh)</t>
  </si>
  <si>
    <t>Share of renewable sources in total energy consumption (%) - On-site</t>
  </si>
  <si>
    <t>Share of renewable sources in total energy consumption (%) - Total</t>
  </si>
  <si>
    <t>Share of renewable sources incl. renewable of mix in total energy consumption (%) - Total</t>
  </si>
  <si>
    <t>Total energy consumption per net revenue (MWh/MSEK)</t>
  </si>
  <si>
    <t>3.27</t>
  </si>
  <si>
    <t>4.59</t>
  </si>
  <si>
    <t>Water</t>
  </si>
  <si>
    <t>p.104</t>
  </si>
  <si>
    <t>Water withdrawal in water risk areas (’000 m3)</t>
  </si>
  <si>
    <t xml:space="preserve">Water withdrawal in water risk areas (in m3)/COS, MSEK </t>
  </si>
  <si>
    <t>&lt;4,0</t>
  </si>
  <si>
    <t>EU Taxonomy</t>
  </si>
  <si>
    <t>p.110, 113</t>
  </si>
  <si>
    <t>% Taxonomy-Aligned activities - Turnover</t>
  </si>
  <si>
    <t>% Taxonomy-Eligible activities - Turnover</t>
  </si>
  <si>
    <t>p.111, 113</t>
  </si>
  <si>
    <t>% Taxonomy-Eligible activities - Capex</t>
  </si>
  <si>
    <t>p.112-113</t>
  </si>
  <si>
    <t>% Taxonomy-Eligible activities - Opex</t>
  </si>
  <si>
    <t>p.113</t>
  </si>
  <si>
    <t>% Taxonomy-Eligible activities and additional revenues - Turnover</t>
  </si>
  <si>
    <t xml:space="preserve">Social </t>
  </si>
  <si>
    <t>Employees</t>
  </si>
  <si>
    <t>p.114</t>
  </si>
  <si>
    <t>p.119</t>
  </si>
  <si>
    <t xml:space="preserve">Nationalities among senior managers, number </t>
  </si>
  <si>
    <t>p.120</t>
  </si>
  <si>
    <t xml:space="preserve">Turnover, voluntary leave % </t>
  </si>
  <si>
    <t xml:space="preserve">Turnover, Total % </t>
  </si>
  <si>
    <t>New hires (headcount)</t>
  </si>
  <si>
    <t>p.121</t>
  </si>
  <si>
    <t>Employees by country, where Epiroc has at least 50 employees and
representing at least 10% of our total number of employees.</t>
  </si>
  <si>
    <t>Sweden</t>
  </si>
  <si>
    <t>Australia</t>
  </si>
  <si>
    <t>p.120-121</t>
  </si>
  <si>
    <t>Number of permanent employees</t>
  </si>
  <si>
    <t>Number of temporary employees</t>
  </si>
  <si>
    <t>Number of non-guaranteed hours employees</t>
  </si>
  <si>
    <t>Number of full-time employees</t>
  </si>
  <si>
    <t>Number of part-time employees</t>
  </si>
  <si>
    <t>Employees covered by Collective bargaining agreements, %</t>
  </si>
  <si>
    <t>p.122</t>
  </si>
  <si>
    <t>Women employees, period end, %</t>
  </si>
  <si>
    <t>&gt;20,8</t>
  </si>
  <si>
    <t>Women employees, Research and development, %</t>
  </si>
  <si>
    <t>Women employees, Marketing and sales, %</t>
  </si>
  <si>
    <t>Women employees, Manufacturing, %</t>
  </si>
  <si>
    <t>Women employees, Logistics, %</t>
  </si>
  <si>
    <t>Women employees, Service, %</t>
  </si>
  <si>
    <t xml:space="preserve">Women managers, period end, % </t>
  </si>
  <si>
    <t>&gt;25,5</t>
  </si>
  <si>
    <t>Compensation metrics, ratio of remuneration for highest paid individual to 
average total compensation for average employees</t>
  </si>
  <si>
    <t>Education and leadership</t>
  </si>
  <si>
    <t>p.117-118</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</si>
  <si>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</si>
  <si>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</si>
  <si>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</si>
  <si>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</si>
  <si>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</si>
  <si>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</si>
  <si>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</si>
  <si>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</si>
  <si>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</si>
  <si>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</si>
  <si>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</si>
  <si>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</si>
  <si>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</si>
  <si>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</si>
  <si>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</si>
  <si>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</si>
  <si>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p.129-130</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</si>
  <si>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</si>
  <si>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</si>
  <si>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</si>
  <si>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</si>
  <si>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</si>
  <si>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</si>
  <si>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</si>
  <si>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</si>
  <si>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</si>
  <si>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&gt;98</t>
  </si>
  <si>
    <t>Reported potential violations, number</t>
  </si>
  <si>
    <t>p.59-60, 62-63</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</si>
  <si>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</si>
  <si>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</si>
  <si>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</si>
  <si>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</si>
  <si>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</si>
  <si>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</si>
  <si>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</si>
  <si>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</si>
  <si>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</si>
  <si>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</si>
  <si>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</si>
  <si>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</si>
  <si>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</si>
  <si>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</si>
  <si>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</si>
  <si>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</si>
  <si>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</si>
  <si>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</si>
  <si>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</si>
  <si>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</si>
  <si>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</si>
  <si>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</si>
  <si>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</si>
  <si>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</si>
  <si>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</si>
  <si>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</si>
  <si>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</si>
  <si>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</si>
  <si>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</si>
  <si>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</si>
  <si>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</si>
  <si>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</si>
  <si>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 xml:space="preserve"> </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</si>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</sst>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
    <numFmt numFmtId="166" formatCode="#,##0.0"/>
    <numFmt numFmtId="167" formatCode="_-* #,##0.0\ &quot;kr&quot;_-;\-* #,##0.0\ &quot;kr&quot;_-;_-* &quot;-&quot;??\ &quot;kr&quot;_-;_-@_-"/>
    <numFmt numFmtId="168" formatCode="0.000000000000000%"/>
    <numFmt numFmtId="169" formatCode="_-* #,##0\ _k_r_-;\-* #,##0\ _k_r_-;_-* &quot;-&quot;??\ _k_r_-;_-@_-"/>
    <numFmt numFmtId="170" formatCode="0.00000000000000%"/>
    <numFmt numFmtId="171" formatCode="_-* #,##0.00\ _k_r_-;\-* #,##0.00\ _k_r_-;_-* &quot;-&quot;??\ _k_r_-;_-@_-"/>
    <numFmt numFmtId="172" formatCode="\+#,##0;\-#,##0"/>
    <numFmt numFmtId="173" formatCode="#,##0_ ;\-#,##0\ "/>
    <numFmt numFmtId="174" formatCode="\+#,##0.0;\-#,##0.0"/>
    <numFmt numFmtId="175" formatCode="#,##0.0_ ;\-#,##0.0\ "/>
    <numFmt numFmtId="176" formatCode="#,##0.00_ ;\-#,##0.00\ "/>
    <numFmt numFmtId="177" formatCode="\+0;\-0;0"/>
    <numFmt numFmtId="178" formatCode="_-* #,##0.0\ _k_r_-;\-* #,##0.0\ _k_r_-;_-* &quot;-&quot;??\ _k_r_-;_-@_-"/>
  </numFmts>
  <fonts count="77" x14ac:knownFonts="1">
    <font>
      <sz val="10"/>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11"/>
      <color rgb="FF00B0F0"/>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s>
  <fills count="20">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s>
  <borders count="24">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s>
  <cellStyleXfs count="2">
    <xf numFmtId="0" fontId="0" fillId="0" borderId="0"/>
    <xf numFmtId="9" fontId="2" fillId="0" borderId="0" applyFont="0" applyFill="0" applyBorder="0" applyAlignment="0" applyProtection="0"/>
  </cellStyleXfs>
  <cellXfs count="1042">
    <xf numFmtId="0" fontId="0" fillId="0" borderId="0" xfId="0"/>
    <xf numFmtId="0" fontId="3" fillId="3" borderId="0" xfId="0" applyFont="1" applyFill="1"/>
    <xf numFmtId="0" fontId="4" fillId="3" borderId="0" xfId="0" applyFont="1" applyFill="1"/>
    <xf numFmtId="0" fontId="5" fillId="4" borderId="0" xfId="0" applyFont="1" applyFill="1"/>
    <xf numFmtId="0" fontId="5" fillId="5" borderId="0" xfId="0" applyFont="1" applyFill="1"/>
    <xf numFmtId="0" fontId="6" fillId="5" borderId="0" xfId="0" applyFont="1" applyFill="1"/>
    <xf numFmtId="0" fontId="7" fillId="5" borderId="0" xfId="0" applyFont="1" applyFill="1"/>
    <xf numFmtId="0" fontId="4" fillId="5" borderId="0" xfId="0" applyFont="1" applyFill="1"/>
    <xf numFmtId="0" fontId="4" fillId="4" borderId="0" xfId="0" applyFont="1" applyFill="1"/>
    <xf numFmtId="0" fontId="8" fillId="5" borderId="0" xfId="0" applyFont="1" applyFill="1"/>
    <xf numFmtId="0" fontId="9" fillId="5" borderId="0" xfId="0" applyFont="1" applyFill="1" applyAlignment="1">
      <alignment horizontal="center"/>
    </xf>
    <xf numFmtId="14" fontId="10" fillId="5" borderId="0" xfId="0" applyNumberFormat="1" applyFont="1" applyFill="1"/>
    <xf numFmtId="0" fontId="11" fillId="5" borderId="0" xfId="0" applyFont="1" applyFill="1"/>
    <xf numFmtId="0" fontId="12" fillId="5" borderId="0" xfId="0" applyFont="1" applyFill="1"/>
    <xf numFmtId="0" fontId="13" fillId="5" borderId="0" xfId="0" applyFont="1" applyFill="1"/>
    <xf numFmtId="0" fontId="14" fillId="5" borderId="0" xfId="0" applyFont="1" applyFill="1" applyAlignment="1">
      <alignment vertical="center" wrapText="1"/>
    </xf>
    <xf numFmtId="0" fontId="15" fillId="3" borderId="0" xfId="0" applyFont="1" applyFill="1"/>
    <xf numFmtId="0" fontId="16" fillId="3" borderId="0" xfId="0" applyFont="1" applyFill="1"/>
    <xf numFmtId="0" fontId="17" fillId="3" borderId="0" xfId="0" applyFont="1" applyFill="1"/>
    <xf numFmtId="0" fontId="18" fillId="6" borderId="1" xfId="0" applyFont="1" applyFill="1" applyBorder="1"/>
    <xf numFmtId="0" fontId="19" fillId="4" borderId="0" xfId="0" applyFont="1" applyFill="1"/>
    <xf numFmtId="0" fontId="20" fillId="4" borderId="2" xfId="0" applyFont="1" applyFill="1" applyBorder="1"/>
    <xf numFmtId="0" fontId="19" fillId="0" borderId="0" xfId="0" applyFont="1" applyAlignment="1">
      <alignment horizontal="left" vertical="top" wrapText="1"/>
    </xf>
    <xf numFmtId="0" fontId="22" fillId="4" borderId="0" xfId="0" applyFont="1" applyFill="1" applyAlignment="1">
      <alignment vertical="center"/>
    </xf>
    <xf numFmtId="0" fontId="19" fillId="0" borderId="0" xfId="0" applyFont="1"/>
    <xf numFmtId="0" fontId="23" fillId="0" borderId="0" xfId="0" applyFont="1"/>
    <xf numFmtId="0" fontId="24" fillId="3" borderId="0" xfId="0" applyFont="1" applyFill="1"/>
    <xf numFmtId="0" fontId="25" fillId="3" borderId="0" xfId="0" applyFont="1" applyFill="1"/>
    <xf numFmtId="0" fontId="25" fillId="3" borderId="0" xfId="0" applyFont="1" applyFill="1" applyAlignment="1">
      <alignment horizontal="right"/>
    </xf>
    <xf numFmtId="0" fontId="25" fillId="7" borderId="0" xfId="0" applyFont="1" applyFill="1"/>
    <xf numFmtId="0" fontId="25" fillId="3" borderId="3" xfId="0" applyFont="1" applyFill="1" applyBorder="1"/>
    <xf numFmtId="0" fontId="24" fillId="4" borderId="0" xfId="0" applyFont="1" applyFill="1"/>
    <xf numFmtId="0" fontId="25" fillId="4" borderId="0" xfId="0" applyFont="1" applyFill="1"/>
    <xf numFmtId="0" fontId="25" fillId="4" borderId="0" xfId="0" applyFont="1" applyFill="1" applyAlignment="1">
      <alignment horizontal="right"/>
    </xf>
    <xf numFmtId="0" fontId="25" fillId="4" borderId="3" xfId="0" applyFont="1" applyFill="1" applyBorder="1"/>
    <xf numFmtId="0" fontId="24" fillId="4" borderId="0" xfId="0" applyFont="1" applyFill="1" applyAlignment="1">
      <alignment vertical="center"/>
    </xf>
    <xf numFmtId="0" fontId="24" fillId="4" borderId="0" xfId="0" applyFont="1" applyFill="1" applyAlignment="1">
      <alignment horizontal="right" vertical="center"/>
    </xf>
    <xf numFmtId="0" fontId="24" fillId="4" borderId="3" xfId="0" applyFont="1" applyFill="1" applyBorder="1" applyAlignment="1">
      <alignment horizontal="right" vertical="center"/>
    </xf>
    <xf numFmtId="0" fontId="25" fillId="4" borderId="0" xfId="0" applyFont="1" applyFill="1" applyAlignment="1">
      <alignment vertical="center" wrapText="1"/>
    </xf>
    <xf numFmtId="3" fontId="25" fillId="4" borderId="0" xfId="0" applyNumberFormat="1" applyFont="1" applyFill="1" applyAlignment="1">
      <alignment horizontal="right" vertical="center" wrapText="1"/>
    </xf>
    <xf numFmtId="3" fontId="25" fillId="4" borderId="3" xfId="0" applyNumberFormat="1" applyFont="1" applyFill="1" applyBorder="1" applyAlignment="1">
      <alignment horizontal="right" vertical="center" wrapText="1"/>
    </xf>
    <xf numFmtId="0" fontId="24" fillId="8" borderId="0" xfId="0" applyFont="1" applyFill="1" applyAlignment="1">
      <alignment vertical="center" wrapText="1"/>
    </xf>
    <xf numFmtId="0" fontId="24" fillId="8" borderId="0" xfId="0" applyFont="1" applyFill="1" applyAlignment="1">
      <alignment horizontal="right" vertical="center" wrapText="1"/>
    </xf>
    <xf numFmtId="1" fontId="24" fillId="8" borderId="0" xfId="0" applyNumberFormat="1" applyFont="1" applyFill="1" applyAlignment="1">
      <alignment horizontal="right" vertical="center" wrapText="1"/>
    </xf>
    <xf numFmtId="1" fontId="24" fillId="4" borderId="0" xfId="0" applyNumberFormat="1" applyFont="1" applyFill="1" applyAlignment="1">
      <alignment horizontal="right" vertical="center" wrapText="1"/>
    </xf>
    <xf numFmtId="1" fontId="24" fillId="8" borderId="3" xfId="0" applyNumberFormat="1" applyFont="1" applyFill="1" applyBorder="1" applyAlignment="1">
      <alignment horizontal="right" vertical="center" wrapText="1"/>
    </xf>
    <xf numFmtId="0" fontId="25" fillId="4" borderId="0" xfId="0" applyFont="1" applyFill="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right" vertical="center" wrapText="1"/>
    </xf>
    <xf numFmtId="0" fontId="24" fillId="4" borderId="0" xfId="0" applyFont="1" applyFill="1" applyAlignment="1">
      <alignment horizontal="right" vertical="center" wrapText="1"/>
    </xf>
    <xf numFmtId="0" fontId="24" fillId="4" borderId="4" xfId="0" applyFont="1" applyFill="1" applyBorder="1" applyAlignment="1">
      <alignment horizontal="right" vertical="center"/>
    </xf>
    <xf numFmtId="0" fontId="24" fillId="4" borderId="5" xfId="0" applyFont="1" applyFill="1" applyBorder="1" applyAlignment="1">
      <alignment horizontal="right" vertical="center"/>
    </xf>
    <xf numFmtId="3" fontId="25" fillId="4" borderId="3" xfId="0" applyNumberFormat="1" applyFont="1" applyFill="1" applyBorder="1" applyAlignment="1">
      <alignment vertical="center" wrapText="1"/>
    </xf>
    <xf numFmtId="3" fontId="24" fillId="8"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8" borderId="3" xfId="0" applyNumberFormat="1" applyFont="1" applyFill="1" applyBorder="1" applyAlignment="1">
      <alignment horizontal="right" vertical="center" wrapText="1"/>
    </xf>
    <xf numFmtId="164" fontId="24" fillId="8" borderId="0" xfId="0" applyNumberFormat="1" applyFont="1" applyFill="1" applyAlignment="1">
      <alignment horizontal="right" vertical="center" wrapText="1"/>
    </xf>
    <xf numFmtId="164" fontId="24" fillId="4" borderId="0" xfId="0" applyNumberFormat="1" applyFont="1" applyFill="1" applyAlignment="1">
      <alignment horizontal="right" vertical="center" wrapText="1"/>
    </xf>
    <xf numFmtId="164" fontId="24" fillId="8" borderId="3" xfId="0" applyNumberFormat="1" applyFont="1" applyFill="1" applyBorder="1" applyAlignment="1">
      <alignment horizontal="right" vertical="center" wrapText="1"/>
    </xf>
    <xf numFmtId="3" fontId="25" fillId="4" borderId="0" xfId="0" applyNumberFormat="1" applyFont="1" applyFill="1" applyAlignment="1">
      <alignment vertical="center" wrapText="1"/>
    </xf>
    <xf numFmtId="0" fontId="25" fillId="4" borderId="0" xfId="0" applyFont="1" applyFill="1" applyAlignment="1">
      <alignment vertical="top" wrapText="1"/>
    </xf>
    <xf numFmtId="0" fontId="25" fillId="4" borderId="0" xfId="0" applyFont="1" applyFill="1" applyAlignment="1">
      <alignment horizontal="right" vertical="center" wrapText="1"/>
    </xf>
    <xf numFmtId="0" fontId="25" fillId="4" borderId="0" xfId="0" applyFont="1" applyFill="1" applyAlignment="1">
      <alignment horizontal="right" wrapText="1"/>
    </xf>
    <xf numFmtId="0" fontId="25" fillId="4" borderId="0" xfId="0" applyFont="1" applyFill="1" applyAlignment="1">
      <alignment vertical="center"/>
    </xf>
    <xf numFmtId="0" fontId="25" fillId="4" borderId="3" xfId="0" applyFont="1" applyFill="1" applyBorder="1" applyAlignment="1">
      <alignment vertical="center" wrapText="1"/>
    </xf>
    <xf numFmtId="0" fontId="24" fillId="4" borderId="0" xfId="0" applyFont="1" applyFill="1" applyAlignment="1">
      <alignment vertical="top" wrapText="1"/>
    </xf>
    <xf numFmtId="3" fontId="24" fillId="4" borderId="0" xfId="0" applyNumberFormat="1" applyFont="1" applyFill="1" applyAlignment="1">
      <alignment vertical="center" wrapText="1"/>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3" fontId="25" fillId="4" borderId="0" xfId="0" applyNumberFormat="1" applyFont="1" applyFill="1" applyAlignment="1">
      <alignment horizontal="right" vertical="center"/>
    </xf>
    <xf numFmtId="3" fontId="25" fillId="4" borderId="3" xfId="0" applyNumberFormat="1" applyFont="1" applyFill="1" applyBorder="1" applyAlignment="1">
      <alignment vertical="center"/>
    </xf>
    <xf numFmtId="3" fontId="25" fillId="4" borderId="3" xfId="0" applyNumberFormat="1" applyFont="1" applyFill="1" applyBorder="1" applyAlignment="1">
      <alignment horizontal="right" vertical="center"/>
    </xf>
    <xf numFmtId="3" fontId="25" fillId="4" borderId="6" xfId="0" applyNumberFormat="1" applyFont="1" applyFill="1" applyBorder="1" applyAlignment="1">
      <alignment horizontal="right" vertical="center"/>
    </xf>
    <xf numFmtId="0" fontId="24" fillId="4" borderId="0" xfId="0" applyFont="1" applyFill="1" applyAlignment="1">
      <alignment vertical="center" wrapText="1"/>
    </xf>
    <xf numFmtId="164" fontId="24" fillId="4" borderId="3" xfId="0" applyNumberFormat="1" applyFont="1" applyFill="1" applyBorder="1" applyAlignment="1">
      <alignment horizontal="right" vertical="center" wrapText="1"/>
    </xf>
    <xf numFmtId="165" fontId="24" fillId="4" borderId="0" xfId="0" applyNumberFormat="1" applyFont="1" applyFill="1" applyAlignment="1">
      <alignment vertical="center" wrapText="1"/>
    </xf>
    <xf numFmtId="0" fontId="24" fillId="4" borderId="3" xfId="0" applyFont="1" applyFill="1" applyBorder="1" applyAlignment="1">
      <alignment vertical="center" wrapText="1"/>
    </xf>
    <xf numFmtId="3" fontId="24" fillId="8" borderId="0" xfId="0" applyNumberFormat="1" applyFont="1" applyFill="1" applyAlignment="1">
      <alignment vertical="center" wrapText="1"/>
    </xf>
    <xf numFmtId="3" fontId="24" fillId="8" borderId="3" xfId="0" applyNumberFormat="1" applyFont="1" applyFill="1" applyBorder="1" applyAlignment="1">
      <alignment vertical="center" wrapText="1"/>
    </xf>
    <xf numFmtId="166" fontId="24" fillId="4" borderId="0" xfId="0" applyNumberFormat="1" applyFont="1" applyFill="1" applyAlignment="1">
      <alignment vertical="center" wrapText="1"/>
    </xf>
    <xf numFmtId="166" fontId="24" fillId="4" borderId="0" xfId="0" applyNumberFormat="1" applyFont="1" applyFill="1" applyAlignment="1">
      <alignment horizontal="right" vertical="center" wrapText="1"/>
    </xf>
    <xf numFmtId="166" fontId="24" fillId="4" borderId="3" xfId="0" applyNumberFormat="1" applyFont="1" applyFill="1" applyBorder="1" applyAlignment="1">
      <alignment vertical="center" wrapText="1"/>
    </xf>
    <xf numFmtId="2" fontId="24" fillId="8" borderId="0" xfId="0" applyNumberFormat="1" applyFont="1" applyFill="1" applyAlignment="1">
      <alignment horizontal="right" vertical="center" wrapText="1"/>
    </xf>
    <xf numFmtId="2" fontId="24" fillId="4" borderId="0" xfId="0" applyNumberFormat="1" applyFont="1" applyFill="1" applyAlignment="1">
      <alignment horizontal="right" vertical="center" wrapText="1"/>
    </xf>
    <xf numFmtId="2" fontId="24" fillId="8" borderId="3" xfId="0" applyNumberFormat="1" applyFont="1" applyFill="1" applyBorder="1" applyAlignment="1">
      <alignment horizontal="right" vertical="center" wrapText="1"/>
    </xf>
    <xf numFmtId="0" fontId="25" fillId="4" borderId="3" xfId="0" applyFont="1" applyFill="1" applyBorder="1" applyAlignment="1">
      <alignment horizontal="right" vertical="center" wrapText="1"/>
    </xf>
    <xf numFmtId="0" fontId="28" fillId="3" borderId="0" xfId="0" applyFont="1" applyFill="1"/>
    <xf numFmtId="0" fontId="29" fillId="3" borderId="0" xfId="0" applyFont="1" applyFill="1"/>
    <xf numFmtId="0" fontId="30" fillId="0" borderId="0" xfId="0" applyFont="1"/>
    <xf numFmtId="0" fontId="29" fillId="3" borderId="3" xfId="0" applyFont="1" applyFill="1" applyBorder="1"/>
    <xf numFmtId="0" fontId="3" fillId="3" borderId="3" xfId="0" applyFont="1" applyFill="1" applyBorder="1"/>
    <xf numFmtId="0" fontId="30" fillId="0" borderId="3" xfId="0" applyFont="1" applyBorder="1"/>
    <xf numFmtId="0" fontId="25" fillId="0" borderId="0" xfId="0" applyFont="1" applyAlignment="1">
      <alignment horizontal="left" vertical="center"/>
    </xf>
    <xf numFmtId="0" fontId="24" fillId="0" borderId="0" xfId="0" applyFont="1" applyAlignment="1">
      <alignment horizontal="right" vertical="center"/>
    </xf>
    <xf numFmtId="0" fontId="24" fillId="0" borderId="3" xfId="0" applyFont="1" applyBorder="1" applyAlignment="1">
      <alignment horizontal="right" vertical="center"/>
    </xf>
    <xf numFmtId="0" fontId="24" fillId="0" borderId="0" xfId="0" applyFont="1" applyAlignment="1">
      <alignment vertical="center"/>
    </xf>
    <xf numFmtId="3" fontId="25" fillId="0" borderId="0" xfId="0" applyNumberFormat="1" applyFont="1" applyAlignment="1">
      <alignment vertical="center"/>
    </xf>
    <xf numFmtId="3" fontId="25" fillId="0" borderId="3" xfId="0" applyNumberFormat="1" applyFont="1" applyBorder="1" applyAlignment="1">
      <alignment vertical="center"/>
    </xf>
    <xf numFmtId="9" fontId="0" fillId="0" borderId="0" xfId="0" applyNumberFormat="1"/>
    <xf numFmtId="0" fontId="25" fillId="0" borderId="0" xfId="0" applyFont="1" applyAlignment="1">
      <alignment vertical="center"/>
    </xf>
    <xf numFmtId="0" fontId="24" fillId="9" borderId="0" xfId="0" applyFont="1" applyFill="1" applyAlignment="1">
      <alignment vertical="center"/>
    </xf>
    <xf numFmtId="3" fontId="24" fillId="9" borderId="0" xfId="0" applyNumberFormat="1" applyFont="1" applyFill="1" applyAlignment="1">
      <alignment vertical="center"/>
    </xf>
    <xf numFmtId="3" fontId="24" fillId="9" borderId="3" xfId="0" applyNumberFormat="1" applyFont="1" applyFill="1" applyBorder="1" applyAlignment="1">
      <alignment vertical="center"/>
    </xf>
    <xf numFmtId="0" fontId="31" fillId="0" borderId="0" xfId="0" applyFont="1" applyAlignment="1">
      <alignment vertical="center"/>
    </xf>
    <xf numFmtId="165" fontId="31" fillId="0" borderId="0" xfId="0" applyNumberFormat="1" applyFont="1" applyAlignment="1">
      <alignment vertical="center"/>
    </xf>
    <xf numFmtId="0" fontId="14" fillId="0" borderId="0" xfId="0" applyFont="1"/>
    <xf numFmtId="165" fontId="31" fillId="0" borderId="3" xfId="0" applyNumberFormat="1" applyFont="1" applyBorder="1" applyAlignment="1">
      <alignment vertical="center"/>
    </xf>
    <xf numFmtId="165" fontId="31" fillId="0" borderId="0" xfId="0" applyNumberFormat="1" applyFont="1" applyAlignment="1">
      <alignment horizontal="right" vertical="center"/>
    </xf>
    <xf numFmtId="3" fontId="25" fillId="4" borderId="0" xfId="0" applyNumberFormat="1" applyFont="1" applyFill="1" applyAlignment="1">
      <alignment vertical="center"/>
    </xf>
    <xf numFmtId="3" fontId="24" fillId="9" borderId="0" xfId="0" applyNumberFormat="1" applyFont="1" applyFill="1" applyAlignment="1">
      <alignment horizontal="right" vertical="center"/>
    </xf>
    <xf numFmtId="3" fontId="24" fillId="9" borderId="3" xfId="0" applyNumberFormat="1" applyFont="1" applyFill="1" applyBorder="1" applyAlignment="1">
      <alignment horizontal="right" vertical="center"/>
    </xf>
    <xf numFmtId="3" fontId="32" fillId="0" borderId="0" xfId="0" applyNumberFormat="1" applyFont="1" applyAlignment="1">
      <alignment vertical="center"/>
    </xf>
    <xf numFmtId="3" fontId="31" fillId="0" borderId="0" xfId="0" applyNumberFormat="1" applyFont="1" applyAlignment="1">
      <alignment vertical="center"/>
    </xf>
    <xf numFmtId="3" fontId="31" fillId="0" borderId="3" xfId="0" applyNumberFormat="1" applyFont="1" applyBorder="1" applyAlignment="1">
      <alignmen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31" fillId="0" borderId="0" xfId="0" applyNumberFormat="1" applyFont="1" applyAlignment="1">
      <alignment horizontal="right" vertical="center"/>
    </xf>
    <xf numFmtId="165" fontId="31" fillId="0" borderId="3" xfId="0" applyNumberFormat="1" applyFont="1" applyBorder="1" applyAlignment="1">
      <alignment horizontal="right" vertical="center"/>
    </xf>
    <xf numFmtId="0" fontId="33" fillId="0" borderId="0" xfId="0" applyFont="1" applyAlignment="1">
      <alignment vertical="center" wrapText="1"/>
    </xf>
    <xf numFmtId="3" fontId="30" fillId="0" borderId="0" xfId="0" applyNumberFormat="1" applyFont="1"/>
    <xf numFmtId="0" fontId="34" fillId="3" borderId="0" xfId="0" applyFont="1" applyFill="1"/>
    <xf numFmtId="0" fontId="30" fillId="3" borderId="0" xfId="0" applyFont="1" applyFill="1"/>
    <xf numFmtId="0" fontId="35" fillId="3" borderId="0" xfId="0" applyFont="1" applyFill="1"/>
    <xf numFmtId="0" fontId="30" fillId="3" borderId="3" xfId="0" applyFont="1" applyFill="1" applyBorder="1"/>
    <xf numFmtId="0" fontId="36" fillId="7" borderId="0" xfId="0" applyFont="1" applyFill="1"/>
    <xf numFmtId="0" fontId="14" fillId="10" borderId="0" xfId="0" applyFont="1" applyFill="1"/>
    <xf numFmtId="0" fontId="34" fillId="0" borderId="0" xfId="0" applyFont="1" applyAlignment="1">
      <alignment vertical="center"/>
    </xf>
    <xf numFmtId="0" fontId="34" fillId="0" borderId="0" xfId="0" applyFont="1" applyAlignment="1">
      <alignment horizontal="right" vertical="center"/>
    </xf>
    <xf numFmtId="0" fontId="34" fillId="0" borderId="3"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vertical="center"/>
    </xf>
    <xf numFmtId="3" fontId="35" fillId="0" borderId="0" xfId="0" applyNumberFormat="1" applyFont="1" applyAlignment="1">
      <alignment vertical="center"/>
    </xf>
    <xf numFmtId="3" fontId="30" fillId="0" borderId="3" xfId="0" applyNumberFormat="1" applyFont="1" applyBorder="1" applyAlignment="1">
      <alignment vertical="center"/>
    </xf>
    <xf numFmtId="3" fontId="35" fillId="0" borderId="3" xfId="0" applyNumberFormat="1" applyFont="1" applyBorder="1" applyAlignment="1">
      <alignment vertical="center"/>
    </xf>
    <xf numFmtId="9" fontId="0" fillId="0" borderId="0" xfId="1" applyFont="1"/>
    <xf numFmtId="0" fontId="14" fillId="0" borderId="0" xfId="0" applyFont="1" applyAlignment="1">
      <alignment vertical="center"/>
    </xf>
    <xf numFmtId="3" fontId="14" fillId="0" borderId="0" xfId="0" applyNumberFormat="1" applyFont="1" applyAlignment="1">
      <alignment horizontal="right" vertical="center"/>
    </xf>
    <xf numFmtId="3" fontId="36" fillId="0" borderId="0" xfId="0" applyNumberFormat="1" applyFont="1" applyAlignment="1">
      <alignment horizontal="right" vertical="center"/>
    </xf>
    <xf numFmtId="3" fontId="14" fillId="10" borderId="0" xfId="0" applyNumberFormat="1" applyFont="1" applyFill="1" applyAlignment="1">
      <alignment horizontal="right" vertical="center"/>
    </xf>
    <xf numFmtId="3" fontId="14" fillId="0" borderId="3"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10" borderId="3" xfId="0" applyNumberFormat="1" applyFont="1" applyFill="1" applyBorder="1" applyAlignment="1">
      <alignment horizontal="right" vertical="center"/>
    </xf>
    <xf numFmtId="3" fontId="14" fillId="4" borderId="3" xfId="0" applyNumberFormat="1" applyFont="1" applyFill="1" applyBorder="1" applyAlignment="1">
      <alignment horizontal="right" vertical="center"/>
    </xf>
    <xf numFmtId="3" fontId="14" fillId="0" borderId="0" xfId="0" quotePrefix="1" applyNumberFormat="1" applyFont="1" applyAlignment="1">
      <alignment horizontal="right" vertical="center"/>
    </xf>
    <xf numFmtId="3" fontId="36" fillId="0" borderId="0" xfId="0" quotePrefix="1" applyNumberFormat="1" applyFont="1" applyAlignment="1">
      <alignment horizontal="right" vertical="center"/>
    </xf>
    <xf numFmtId="3" fontId="14" fillId="10" borderId="0" xfId="0" quotePrefix="1" applyNumberFormat="1" applyFont="1" applyFill="1" applyAlignment="1">
      <alignment horizontal="right" vertical="center"/>
    </xf>
    <xf numFmtId="3" fontId="14" fillId="0" borderId="3" xfId="0" quotePrefix="1" applyNumberFormat="1" applyFont="1" applyBorder="1" applyAlignment="1">
      <alignment horizontal="right" vertical="center"/>
    </xf>
    <xf numFmtId="3" fontId="36" fillId="0" borderId="3" xfId="0" quotePrefix="1" applyNumberFormat="1" applyFont="1" applyBorder="1" applyAlignment="1">
      <alignment horizontal="right" vertical="center"/>
    </xf>
    <xf numFmtId="3" fontId="14" fillId="10" borderId="3" xfId="0" quotePrefix="1" applyNumberFormat="1" applyFont="1" applyFill="1" applyBorder="1" applyAlignment="1">
      <alignment horizontal="right" vertical="center"/>
    </xf>
    <xf numFmtId="3" fontId="14" fillId="4" borderId="3" xfId="0" quotePrefix="1" applyNumberFormat="1" applyFont="1" applyFill="1" applyBorder="1" applyAlignment="1">
      <alignment horizontal="right" vertical="center"/>
    </xf>
    <xf numFmtId="3" fontId="37" fillId="0" borderId="0" xfId="0" applyNumberFormat="1" applyFont="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9" fontId="30" fillId="0" borderId="0" xfId="0" applyNumberFormat="1" applyFont="1"/>
    <xf numFmtId="3" fontId="34" fillId="9" borderId="3" xfId="0" applyNumberFormat="1" applyFont="1" applyFill="1" applyBorder="1" applyAlignment="1">
      <alignment vertical="center"/>
    </xf>
    <xf numFmtId="3" fontId="38" fillId="9" borderId="0" xfId="0" applyNumberFormat="1" applyFont="1" applyFill="1" applyAlignment="1">
      <alignment vertical="center"/>
    </xf>
    <xf numFmtId="3" fontId="38" fillId="9" borderId="3" xfId="0" applyNumberFormat="1" applyFont="1" applyFill="1" applyBorder="1" applyAlignment="1">
      <alignment vertical="center"/>
    </xf>
    <xf numFmtId="3" fontId="34" fillId="0" borderId="0" xfId="0" applyNumberFormat="1" applyFont="1" applyAlignment="1">
      <alignment vertical="center"/>
    </xf>
    <xf numFmtId="3" fontId="34" fillId="0" borderId="3" xfId="0" applyNumberFormat="1" applyFont="1" applyBorder="1" applyAlignment="1">
      <alignment vertical="center"/>
    </xf>
    <xf numFmtId="167" fontId="34" fillId="0" borderId="3" xfId="0" applyNumberFormat="1" applyFont="1" applyBorder="1" applyAlignment="1">
      <alignment vertical="center"/>
    </xf>
    <xf numFmtId="167" fontId="34" fillId="0" borderId="0" xfId="0" applyNumberFormat="1" applyFont="1" applyAlignment="1">
      <alignmen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34" fillId="0" borderId="5" xfId="0" applyFont="1" applyBorder="1" applyAlignment="1">
      <alignment horizontal="right" vertical="center"/>
    </xf>
    <xf numFmtId="166" fontId="30" fillId="0" borderId="0" xfId="0" applyNumberFormat="1" applyFont="1" applyAlignment="1">
      <alignment vertical="center"/>
    </xf>
    <xf numFmtId="166" fontId="30" fillId="0" borderId="3" xfId="0" applyNumberFormat="1" applyFont="1" applyBorder="1" applyAlignment="1">
      <alignment vertical="center"/>
    </xf>
    <xf numFmtId="3" fontId="30" fillId="4" borderId="0" xfId="0" applyNumberFormat="1" applyFont="1" applyFill="1" applyAlignment="1">
      <alignment vertical="center"/>
    </xf>
    <xf numFmtId="168" fontId="30" fillId="0" borderId="0" xfId="0" applyNumberFormat="1" applyFont="1"/>
    <xf numFmtId="169" fontId="30" fillId="0" borderId="0" xfId="0" applyNumberFormat="1" applyFont="1"/>
    <xf numFmtId="9" fontId="14" fillId="0" borderId="0" xfId="0" applyNumberFormat="1" applyFont="1" applyAlignment="1">
      <alignment vertical="center"/>
    </xf>
    <xf numFmtId="9" fontId="14" fillId="4" borderId="0" xfId="0" applyNumberFormat="1" applyFont="1" applyFill="1" applyAlignment="1">
      <alignment vertical="center"/>
    </xf>
    <xf numFmtId="9" fontId="34" fillId="0" borderId="0" xfId="0" applyNumberFormat="1" applyFont="1" applyAlignment="1">
      <alignment vertical="center"/>
    </xf>
    <xf numFmtId="0" fontId="30" fillId="4" borderId="0" xfId="0" applyFont="1" applyFill="1" applyAlignment="1">
      <alignment vertical="center"/>
    </xf>
    <xf numFmtId="3" fontId="35" fillId="4" borderId="0" xfId="0" applyNumberFormat="1" applyFont="1" applyFill="1" applyAlignment="1">
      <alignment vertical="center"/>
    </xf>
    <xf numFmtId="3" fontId="30" fillId="4" borderId="3" xfId="0" applyNumberFormat="1" applyFont="1" applyFill="1" applyBorder="1" applyAlignment="1">
      <alignment vertical="center"/>
    </xf>
    <xf numFmtId="3" fontId="35" fillId="4" borderId="7" xfId="0" applyNumberFormat="1" applyFont="1" applyFill="1" applyBorder="1" applyAlignment="1">
      <alignment vertical="center"/>
    </xf>
    <xf numFmtId="165" fontId="0" fillId="0" borderId="0" xfId="1" applyNumberFormat="1" applyFont="1"/>
    <xf numFmtId="3" fontId="35" fillId="4" borderId="3" xfId="0" applyNumberFormat="1" applyFont="1" applyFill="1" applyBorder="1" applyAlignment="1">
      <alignment vertical="center"/>
    </xf>
    <xf numFmtId="165" fontId="30" fillId="9" borderId="0" xfId="0" applyNumberFormat="1" applyFont="1" applyFill="1" applyAlignment="1">
      <alignment vertical="center"/>
    </xf>
    <xf numFmtId="165" fontId="30" fillId="9" borderId="3" xfId="0" applyNumberFormat="1" applyFont="1" applyFill="1" applyBorder="1" applyAlignment="1">
      <alignment vertical="center"/>
    </xf>
    <xf numFmtId="165" fontId="30" fillId="0" borderId="0" xfId="0" applyNumberFormat="1" applyFont="1" applyAlignment="1">
      <alignment horizontal="right" vertical="center"/>
    </xf>
    <xf numFmtId="165" fontId="30" fillId="0" borderId="3" xfId="0" applyNumberFormat="1" applyFont="1" applyBorder="1" applyAlignment="1">
      <alignment horizontal="right" vertical="center"/>
    </xf>
    <xf numFmtId="0" fontId="30" fillId="0" borderId="0" xfId="0" applyFont="1" applyAlignment="1">
      <alignment horizontal="right" vertical="center"/>
    </xf>
    <xf numFmtId="3" fontId="30" fillId="0" borderId="0" xfId="0" applyNumberFormat="1" applyFont="1" applyAlignment="1">
      <alignment horizontal="right" vertical="center"/>
    </xf>
    <xf numFmtId="0" fontId="30" fillId="0" borderId="3" xfId="0" applyFont="1" applyBorder="1" applyAlignment="1">
      <alignment horizontal="right" vertical="center"/>
    </xf>
    <xf numFmtId="0" fontId="30" fillId="0" borderId="0" xfId="0" applyFont="1" applyAlignment="1">
      <alignment vertical="top" wrapText="1"/>
    </xf>
    <xf numFmtId="165" fontId="30" fillId="4" borderId="0" xfId="0" applyNumberFormat="1" applyFont="1" applyFill="1" applyAlignment="1">
      <alignment horizontal="right" vertical="center"/>
    </xf>
    <xf numFmtId="165" fontId="30" fillId="4" borderId="3" xfId="0" applyNumberFormat="1" applyFont="1" applyFill="1" applyBorder="1" applyAlignment="1">
      <alignment horizontal="right" vertical="center"/>
    </xf>
    <xf numFmtId="165" fontId="35" fillId="4" borderId="0" xfId="0" applyNumberFormat="1" applyFont="1" applyFill="1" applyAlignment="1">
      <alignment horizontal="right" vertical="center"/>
    </xf>
    <xf numFmtId="165" fontId="35" fillId="4" borderId="7" xfId="0" applyNumberFormat="1" applyFont="1" applyFill="1" applyBorder="1" applyAlignment="1">
      <alignment horizontal="right" vertical="center"/>
    </xf>
    <xf numFmtId="165" fontId="35" fillId="4" borderId="3" xfId="0" applyNumberFormat="1" applyFont="1" applyFill="1" applyBorder="1" applyAlignment="1">
      <alignment horizontal="right" vertical="center"/>
    </xf>
    <xf numFmtId="165" fontId="30" fillId="4" borderId="3" xfId="0" quotePrefix="1" applyNumberFormat="1" applyFont="1" applyFill="1" applyBorder="1" applyAlignment="1">
      <alignment horizontal="right" vertical="center"/>
    </xf>
    <xf numFmtId="165" fontId="34" fillId="9" borderId="0" xfId="0" applyNumberFormat="1" applyFont="1" applyFill="1" applyAlignment="1">
      <alignment vertical="center"/>
    </xf>
    <xf numFmtId="165" fontId="30" fillId="0" borderId="0" xfId="0" applyNumberFormat="1" applyFont="1"/>
    <xf numFmtId="165" fontId="34" fillId="9" borderId="3" xfId="0" applyNumberFormat="1" applyFont="1" applyFill="1" applyBorder="1" applyAlignment="1">
      <alignment vertical="center"/>
    </xf>
    <xf numFmtId="165" fontId="34" fillId="9" borderId="0" xfId="0" applyNumberFormat="1" applyFont="1" applyFill="1" applyAlignment="1">
      <alignment horizontal="right" vertical="center"/>
    </xf>
    <xf numFmtId="0" fontId="34" fillId="4" borderId="0" xfId="0" applyFont="1" applyFill="1" applyAlignment="1">
      <alignment vertical="center"/>
    </xf>
    <xf numFmtId="165" fontId="30" fillId="4" borderId="0" xfId="0" applyNumberFormat="1" applyFont="1" applyFill="1" applyAlignment="1">
      <alignment vertical="center"/>
    </xf>
    <xf numFmtId="165" fontId="34" fillId="4" borderId="0" xfId="0" applyNumberFormat="1" applyFont="1" applyFill="1" applyAlignment="1">
      <alignment vertical="center"/>
    </xf>
    <xf numFmtId="165" fontId="30" fillId="4" borderId="0" xfId="0" applyNumberFormat="1" applyFont="1" applyFill="1"/>
    <xf numFmtId="165" fontId="30" fillId="4" borderId="3" xfId="0" applyNumberFormat="1" applyFont="1" applyFill="1" applyBorder="1" applyAlignment="1">
      <alignment vertical="center"/>
    </xf>
    <xf numFmtId="165" fontId="34" fillId="4" borderId="3" xfId="0" applyNumberFormat="1" applyFont="1" applyFill="1" applyBorder="1" applyAlignment="1">
      <alignment vertical="center"/>
    </xf>
    <xf numFmtId="3" fontId="34" fillId="0" borderId="0" xfId="0" applyNumberFormat="1" applyFont="1" applyAlignment="1">
      <alignment horizontal="right" vertical="center"/>
    </xf>
    <xf numFmtId="3" fontId="34" fillId="0" borderId="3" xfId="0" applyNumberFormat="1" applyFont="1" applyBorder="1" applyAlignment="1">
      <alignment horizontal="right" vertical="center"/>
    </xf>
    <xf numFmtId="165" fontId="34" fillId="0" borderId="0" xfId="0" applyNumberFormat="1" applyFont="1" applyAlignment="1">
      <alignment horizontal="right" vertical="center"/>
    </xf>
    <xf numFmtId="165" fontId="35" fillId="0" borderId="0" xfId="0" applyNumberFormat="1" applyFont="1" applyAlignment="1">
      <alignment horizontal="right" vertical="center"/>
    </xf>
    <xf numFmtId="165" fontId="35" fillId="0" borderId="7" xfId="0" applyNumberFormat="1" applyFont="1" applyBorder="1" applyAlignment="1">
      <alignment horizontal="right" vertical="center"/>
    </xf>
    <xf numFmtId="165" fontId="30" fillId="0" borderId="0" xfId="0" quotePrefix="1" applyNumberFormat="1" applyFont="1" applyAlignment="1">
      <alignment horizontal="right" vertical="center"/>
    </xf>
    <xf numFmtId="165" fontId="35" fillId="0" borderId="0" xfId="0" quotePrefix="1" applyNumberFormat="1" applyFont="1" applyAlignment="1">
      <alignment horizontal="right" vertical="center"/>
    </xf>
    <xf numFmtId="165" fontId="30" fillId="0" borderId="3" xfId="0" quotePrefix="1" applyNumberFormat="1" applyFont="1" applyBorder="1" applyAlignment="1">
      <alignment horizontal="right" vertical="center"/>
    </xf>
    <xf numFmtId="165" fontId="35" fillId="0" borderId="3" xfId="0" quotePrefix="1" applyNumberFormat="1" applyFont="1" applyBorder="1" applyAlignment="1">
      <alignment horizontal="right" vertical="center"/>
    </xf>
    <xf numFmtId="165" fontId="34" fillId="0" borderId="0" xfId="0" applyNumberFormat="1" applyFont="1" applyAlignment="1">
      <alignment vertical="center"/>
    </xf>
    <xf numFmtId="165" fontId="34" fillId="0" borderId="3" xfId="0" applyNumberFormat="1" applyFont="1" applyBorder="1" applyAlignment="1">
      <alignment vertical="center"/>
    </xf>
    <xf numFmtId="0" fontId="30" fillId="4" borderId="0" xfId="0" applyFont="1" applyFill="1" applyAlignment="1">
      <alignment horizontal="right" vertical="center"/>
    </xf>
    <xf numFmtId="0" fontId="30" fillId="0" borderId="0" xfId="0" quotePrefix="1" applyFont="1" applyAlignment="1">
      <alignment horizontal="right" vertical="center"/>
    </xf>
    <xf numFmtId="3" fontId="30" fillId="0" borderId="0" xfId="0" applyNumberFormat="1" applyFont="1" applyAlignment="1">
      <alignment wrapText="1"/>
    </xf>
    <xf numFmtId="3" fontId="34" fillId="9" borderId="0" xfId="0" applyNumberFormat="1" applyFont="1" applyFill="1" applyAlignment="1">
      <alignment horizontal="right" vertical="center"/>
    </xf>
    <xf numFmtId="0" fontId="30" fillId="0" borderId="0" xfId="0" applyFont="1" applyAlignment="1">
      <alignment horizontal="right"/>
    </xf>
    <xf numFmtId="165" fontId="30" fillId="0" borderId="0" xfId="0" applyNumberFormat="1" applyFont="1" applyAlignment="1">
      <alignment horizontal="right"/>
    </xf>
    <xf numFmtId="169" fontId="34" fillId="0" borderId="0" xfId="0" applyNumberFormat="1" applyFont="1" applyAlignment="1">
      <alignment vertical="center"/>
    </xf>
    <xf numFmtId="9" fontId="30" fillId="0" borderId="0" xfId="0" applyNumberFormat="1" applyFont="1" applyAlignment="1">
      <alignment horizontal="right" vertical="center"/>
    </xf>
    <xf numFmtId="165" fontId="35" fillId="0" borderId="3" xfId="0" applyNumberFormat="1" applyFont="1" applyBorder="1" applyAlignment="1">
      <alignment horizontal="right" vertical="center"/>
    </xf>
    <xf numFmtId="165" fontId="34" fillId="0" borderId="0" xfId="0" applyNumberFormat="1" applyFont="1"/>
    <xf numFmtId="9" fontId="34" fillId="9" borderId="0" xfId="0" applyNumberFormat="1" applyFont="1" applyFill="1" applyAlignment="1">
      <alignment horizontal="right" vertic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0" applyFont="1" applyAlignment="1">
      <alignment wrapText="1"/>
    </xf>
    <xf numFmtId="0" fontId="30" fillId="0" borderId="3" xfId="0" applyFont="1" applyBorder="1" applyAlignment="1">
      <alignment vertical="center" wrapText="1"/>
    </xf>
    <xf numFmtId="1" fontId="30" fillId="0" borderId="0" xfId="0" applyNumberFormat="1" applyFont="1" applyAlignment="1">
      <alignment vertical="center" wrapText="1"/>
    </xf>
    <xf numFmtId="1" fontId="30" fillId="0" borderId="0" xfId="0" applyNumberFormat="1" applyFont="1" applyAlignment="1">
      <alignment horizontal="right" vertical="center"/>
    </xf>
    <xf numFmtId="9" fontId="30" fillId="4" borderId="0" xfId="0" applyNumberFormat="1" applyFont="1" applyFill="1" applyAlignment="1">
      <alignment vertical="center"/>
    </xf>
    <xf numFmtId="9" fontId="30" fillId="0" borderId="0" xfId="0" applyNumberFormat="1" applyFont="1" applyAlignment="1">
      <alignment vertical="center"/>
    </xf>
    <xf numFmtId="9" fontId="35" fillId="0" borderId="0" xfId="0" applyNumberFormat="1" applyFont="1" applyAlignment="1">
      <alignment vertical="center"/>
    </xf>
    <xf numFmtId="9" fontId="30" fillId="0" borderId="3" xfId="0" applyNumberFormat="1" applyFont="1" applyBorder="1" applyAlignment="1">
      <alignment vertical="center"/>
    </xf>
    <xf numFmtId="9" fontId="35" fillId="0" borderId="7" xfId="0" applyNumberFormat="1" applyFont="1" applyBorder="1" applyAlignment="1">
      <alignment vertical="center"/>
    </xf>
    <xf numFmtId="9" fontId="30" fillId="0" borderId="7" xfId="0" applyNumberFormat="1" applyFont="1" applyBorder="1" applyAlignment="1">
      <alignment vertical="center"/>
    </xf>
    <xf numFmtId="9" fontId="35" fillId="0" borderId="3" xfId="0" applyNumberFormat="1" applyFont="1" applyBorder="1" applyAlignment="1">
      <alignment vertical="center"/>
    </xf>
    <xf numFmtId="9" fontId="30" fillId="4" borderId="3" xfId="0" quotePrefix="1" applyNumberFormat="1" applyFont="1" applyFill="1" applyBorder="1" applyAlignment="1">
      <alignment horizontal="right" vertical="center"/>
    </xf>
    <xf numFmtId="9" fontId="30" fillId="10" borderId="0" xfId="0" applyNumberFormat="1" applyFont="1" applyFill="1" applyAlignment="1">
      <alignment vertical="center"/>
    </xf>
    <xf numFmtId="9" fontId="30" fillId="10" borderId="3" xfId="0" applyNumberFormat="1" applyFont="1" applyFill="1" applyBorder="1" applyAlignment="1">
      <alignment vertical="center"/>
    </xf>
    <xf numFmtId="9" fontId="30" fillId="0" borderId="8" xfId="0" applyNumberFormat="1" applyFont="1" applyBorder="1" applyAlignment="1">
      <alignment vertical="center"/>
    </xf>
    <xf numFmtId="9" fontId="30" fillId="4" borderId="3" xfId="0" applyNumberFormat="1" applyFont="1" applyFill="1" applyBorder="1" applyAlignment="1">
      <alignment vertical="center"/>
    </xf>
    <xf numFmtId="3" fontId="30" fillId="10" borderId="0" xfId="0" applyNumberFormat="1" applyFont="1" applyFill="1" applyAlignment="1">
      <alignment vertical="center"/>
    </xf>
    <xf numFmtId="3" fontId="30" fillId="10" borderId="3" xfId="0" applyNumberFormat="1" applyFont="1" applyFill="1" applyBorder="1" applyAlignment="1">
      <alignment vertical="center"/>
    </xf>
    <xf numFmtId="3" fontId="30" fillId="4" borderId="0" xfId="0" applyNumberFormat="1" applyFont="1" applyFill="1"/>
    <xf numFmtId="3" fontId="35" fillId="0" borderId="0" xfId="0" applyNumberFormat="1" applyFont="1"/>
    <xf numFmtId="3" fontId="30" fillId="10" borderId="0" xfId="0" applyNumberFormat="1" applyFont="1" applyFill="1"/>
    <xf numFmtId="3" fontId="30" fillId="0" borderId="3" xfId="0" applyNumberFormat="1" applyFont="1" applyBorder="1"/>
    <xf numFmtId="3" fontId="35" fillId="0" borderId="3" xfId="0" applyNumberFormat="1" applyFont="1" applyBorder="1"/>
    <xf numFmtId="3" fontId="30" fillId="10" borderId="3" xfId="0" applyNumberFormat="1" applyFont="1" applyFill="1" applyBorder="1"/>
    <xf numFmtId="3" fontId="30" fillId="4" borderId="3" xfId="0" applyNumberFormat="1" applyFont="1" applyFill="1" applyBorder="1"/>
    <xf numFmtId="10" fontId="30" fillId="0" borderId="0" xfId="0" applyNumberFormat="1" applyFont="1"/>
    <xf numFmtId="170" fontId="30" fillId="0" borderId="0" xfId="0" applyNumberFormat="1" applyFont="1"/>
    <xf numFmtId="9" fontId="30" fillId="0" borderId="3" xfId="0" applyNumberFormat="1" applyFont="1" applyBorder="1"/>
    <xf numFmtId="9" fontId="30" fillId="10" borderId="0" xfId="0" applyNumberFormat="1" applyFont="1" applyFill="1"/>
    <xf numFmtId="9" fontId="30" fillId="0" borderId="7" xfId="0" applyNumberFormat="1" applyFont="1" applyBorder="1"/>
    <xf numFmtId="3" fontId="35" fillId="0" borderId="7" xfId="0" applyNumberFormat="1" applyFont="1" applyBorder="1" applyAlignment="1">
      <alignment vertical="center"/>
    </xf>
    <xf numFmtId="3" fontId="30" fillId="9" borderId="0" xfId="0" applyNumberFormat="1" applyFont="1" applyFill="1" applyAlignment="1">
      <alignment vertical="center"/>
    </xf>
    <xf numFmtId="3" fontId="30" fillId="9" borderId="3" xfId="0" applyNumberFormat="1" applyFont="1" applyFill="1" applyBorder="1" applyAlignment="1">
      <alignment vertical="center"/>
    </xf>
    <xf numFmtId="1" fontId="30" fillId="0" borderId="0" xfId="0" applyNumberFormat="1" applyFont="1"/>
    <xf numFmtId="1" fontId="30" fillId="0" borderId="3" xfId="0" applyNumberFormat="1" applyFont="1" applyBorder="1"/>
    <xf numFmtId="0" fontId="30" fillId="4" borderId="0" xfId="0" applyFont="1" applyFill="1"/>
    <xf numFmtId="166" fontId="30" fillId="4" borderId="0" xfId="0" applyNumberFormat="1" applyFont="1" applyFill="1" applyAlignment="1">
      <alignment vertical="center"/>
    </xf>
    <xf numFmtId="166" fontId="30" fillId="4" borderId="3" xfId="0" applyNumberFormat="1" applyFont="1" applyFill="1" applyBorder="1" applyAlignment="1">
      <alignment vertical="center"/>
    </xf>
    <xf numFmtId="166" fontId="30" fillId="4" borderId="8" xfId="0" applyNumberFormat="1" applyFont="1" applyFill="1" applyBorder="1" applyAlignment="1">
      <alignment vertical="center"/>
    </xf>
    <xf numFmtId="166" fontId="30" fillId="9" borderId="0" xfId="0" applyNumberFormat="1" applyFont="1" applyFill="1" applyAlignment="1">
      <alignment vertical="center"/>
    </xf>
    <xf numFmtId="166" fontId="30" fillId="9" borderId="3" xfId="0" applyNumberFormat="1" applyFont="1" applyFill="1" applyBorder="1" applyAlignment="1">
      <alignment vertical="center"/>
    </xf>
    <xf numFmtId="0" fontId="30" fillId="0" borderId="0" xfId="0" quotePrefix="1" applyFont="1"/>
    <xf numFmtId="171" fontId="30" fillId="0" borderId="0" xfId="0" applyNumberFormat="1" applyFont="1"/>
    <xf numFmtId="171" fontId="30" fillId="0" borderId="3" xfId="0" applyNumberFormat="1" applyFont="1" applyBorder="1"/>
    <xf numFmtId="0" fontId="25" fillId="0" borderId="0" xfId="0" applyFont="1"/>
    <xf numFmtId="0" fontId="39" fillId="0" borderId="0" xfId="0" applyFont="1"/>
    <xf numFmtId="0" fontId="25" fillId="0" borderId="3" xfId="0" applyFont="1" applyBorder="1"/>
    <xf numFmtId="0" fontId="28" fillId="0" borderId="0" xfId="0" applyFont="1"/>
    <xf numFmtId="0" fontId="24" fillId="0" borderId="0" xfId="0" applyFont="1" applyAlignment="1">
      <alignment horizontal="center"/>
    </xf>
    <xf numFmtId="0" fontId="24" fillId="0" borderId="0" xfId="0" applyFont="1" applyAlignment="1">
      <alignment horizontal="right"/>
    </xf>
    <xf numFmtId="0" fontId="24" fillId="0" borderId="3" xfId="0" applyFont="1" applyBorder="1" applyAlignment="1">
      <alignment horizontal="right"/>
    </xf>
    <xf numFmtId="0" fontId="40" fillId="0" borderId="0" xfId="0" applyFont="1" applyAlignment="1">
      <alignment horizontal="left" vertical="top"/>
    </xf>
    <xf numFmtId="0" fontId="28" fillId="9" borderId="0" xfId="0" applyFont="1" applyFill="1"/>
    <xf numFmtId="3" fontId="24" fillId="9" borderId="0" xfId="0" applyNumberFormat="1" applyFont="1" applyFill="1"/>
    <xf numFmtId="3" fontId="24" fillId="0" borderId="0" xfId="0" applyNumberFormat="1" applyFont="1"/>
    <xf numFmtId="3" fontId="24" fillId="9" borderId="3" xfId="0" applyNumberFormat="1" applyFont="1" applyFill="1" applyBorder="1"/>
    <xf numFmtId="3" fontId="25" fillId="0" borderId="0" xfId="0" applyNumberFormat="1" applyFont="1"/>
    <xf numFmtId="3" fontId="25" fillId="0" borderId="3" xfId="0" applyNumberFormat="1" applyFont="1" applyBorder="1"/>
    <xf numFmtId="3" fontId="41" fillId="9" borderId="0" xfId="0" applyNumberFormat="1" applyFont="1" applyFill="1"/>
    <xf numFmtId="3" fontId="41" fillId="9" borderId="3" xfId="0" applyNumberFormat="1" applyFont="1" applyFill="1" applyBorder="1"/>
    <xf numFmtId="3" fontId="42" fillId="0" borderId="0" xfId="0" applyNumberFormat="1" applyFont="1"/>
    <xf numFmtId="3" fontId="42" fillId="0" borderId="3" xfId="0" applyNumberFormat="1" applyFont="1" applyBorder="1"/>
    <xf numFmtId="0" fontId="25" fillId="0" borderId="4" xfId="0" applyFont="1" applyBorder="1"/>
    <xf numFmtId="0" fontId="28" fillId="0" borderId="4" xfId="0" applyFont="1" applyBorder="1"/>
    <xf numFmtId="0" fontId="24" fillId="0" borderId="0" xfId="0" applyFont="1"/>
    <xf numFmtId="3" fontId="24" fillId="9" borderId="9" xfId="0" applyNumberFormat="1" applyFont="1" applyFill="1" applyBorder="1"/>
    <xf numFmtId="9" fontId="25" fillId="0" borderId="0" xfId="0" applyNumberFormat="1" applyFont="1"/>
    <xf numFmtId="9" fontId="25" fillId="0" borderId="9" xfId="0" applyNumberFormat="1" applyFont="1" applyBorder="1"/>
    <xf numFmtId="9" fontId="25" fillId="0" borderId="3" xfId="0" applyNumberFormat="1" applyFont="1" applyBorder="1"/>
    <xf numFmtId="9" fontId="31" fillId="0" borderId="3" xfId="0" applyNumberFormat="1" applyFont="1" applyBorder="1"/>
    <xf numFmtId="3" fontId="25" fillId="0" borderId="9" xfId="0" applyNumberFormat="1" applyFont="1" applyBorder="1"/>
    <xf numFmtId="9" fontId="31" fillId="0" borderId="0" xfId="0" applyNumberFormat="1" applyFont="1"/>
    <xf numFmtId="9" fontId="42" fillId="0" borderId="9" xfId="0" applyNumberFormat="1" applyFont="1" applyBorder="1"/>
    <xf numFmtId="9" fontId="42" fillId="0" borderId="0" xfId="0" applyNumberFormat="1" applyFont="1"/>
    <xf numFmtId="9" fontId="42" fillId="0" borderId="3" xfId="0" applyNumberFormat="1" applyFont="1" applyBorder="1"/>
    <xf numFmtId="0" fontId="25" fillId="0" borderId="9" xfId="0" applyFont="1" applyBorder="1"/>
    <xf numFmtId="0" fontId="24" fillId="0" borderId="4" xfId="0" applyFont="1" applyBorder="1" applyAlignment="1">
      <alignment wrapText="1"/>
    </xf>
    <xf numFmtId="0" fontId="24" fillId="0" borderId="4" xfId="0" applyFont="1" applyBorder="1" applyAlignment="1">
      <alignment horizontal="right"/>
    </xf>
    <xf numFmtId="0" fontId="24" fillId="0" borderId="4" xfId="0" applyFont="1" applyBorder="1" applyAlignment="1">
      <alignment horizontal="center"/>
    </xf>
    <xf numFmtId="0" fontId="24" fillId="0" borderId="4" xfId="0" applyFont="1" applyBorder="1" applyAlignment="1">
      <alignment horizontal="right" wrapText="1"/>
    </xf>
    <xf numFmtId="169" fontId="24" fillId="0" borderId="0" xfId="0" applyNumberFormat="1" applyFont="1"/>
    <xf numFmtId="169" fontId="24" fillId="0" borderId="0" xfId="0" applyNumberFormat="1" applyFont="1" applyAlignment="1">
      <alignment horizontal="right"/>
    </xf>
    <xf numFmtId="169" fontId="40" fillId="0" borderId="0" xfId="0" applyNumberFormat="1" applyFont="1"/>
    <xf numFmtId="169" fontId="25" fillId="0" borderId="0" xfId="0" applyNumberFormat="1" applyFont="1"/>
    <xf numFmtId="169" fontId="43" fillId="0" borderId="0" xfId="0" applyNumberFormat="1" applyFont="1"/>
    <xf numFmtId="9" fontId="24" fillId="0" borderId="0" xfId="0" applyNumberFormat="1" applyFont="1"/>
    <xf numFmtId="0" fontId="40" fillId="0" borderId="0" xfId="0" applyFont="1"/>
    <xf numFmtId="0" fontId="25" fillId="0" borderId="7" xfId="0" applyFont="1" applyBorder="1"/>
    <xf numFmtId="0" fontId="44" fillId="3" borderId="0" xfId="0" applyFont="1" applyFill="1"/>
    <xf numFmtId="0" fontId="45" fillId="3" borderId="0" xfId="0" applyFont="1" applyFill="1"/>
    <xf numFmtId="3" fontId="16" fillId="0" borderId="0" xfId="0" applyNumberFormat="1" applyFont="1" applyAlignment="1" applyProtection="1">
      <alignment vertical="top" wrapText="1"/>
      <protection locked="0"/>
    </xf>
    <xf numFmtId="0" fontId="45" fillId="3" borderId="3" xfId="0" applyFont="1" applyFill="1" applyBorder="1"/>
    <xf numFmtId="0" fontId="16" fillId="0" borderId="0" xfId="0" applyFont="1" applyAlignment="1">
      <alignment horizontal="right" vertical="center"/>
    </xf>
    <xf numFmtId="0" fontId="16" fillId="0" borderId="3" xfId="0" applyFont="1" applyBorder="1" applyAlignment="1">
      <alignment horizontal="right" vertical="center"/>
    </xf>
    <xf numFmtId="0" fontId="16" fillId="0" borderId="10" xfId="0" applyFont="1" applyBorder="1" applyAlignment="1">
      <alignment horizontal="left" vertical="center"/>
    </xf>
    <xf numFmtId="0" fontId="16" fillId="0" borderId="10" xfId="0" applyFont="1" applyBorder="1" applyAlignment="1">
      <alignment horizontal="center"/>
    </xf>
    <xf numFmtId="0" fontId="16" fillId="0" borderId="10" xfId="0" applyFont="1" applyBorder="1" applyAlignment="1">
      <alignment horizontal="right"/>
    </xf>
    <xf numFmtId="0" fontId="17" fillId="0" borderId="10" xfId="0" applyFont="1" applyBorder="1"/>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17" fillId="0" borderId="0" xfId="0" applyFont="1" applyAlignment="1">
      <alignment vertical="top" wrapText="1"/>
    </xf>
    <xf numFmtId="3" fontId="17" fillId="0" borderId="0" xfId="0" applyNumberFormat="1" applyFont="1" applyAlignment="1">
      <alignment vertical="top" wrapText="1"/>
    </xf>
    <xf numFmtId="3" fontId="17" fillId="0" borderId="0" xfId="0" applyNumberFormat="1" applyFont="1" applyAlignment="1" applyProtection="1">
      <alignment vertical="top" wrapText="1"/>
      <protection locked="0"/>
    </xf>
    <xf numFmtId="3" fontId="17" fillId="0" borderId="3" xfId="0" quotePrefix="1" applyNumberFormat="1" applyFont="1" applyBorder="1" applyAlignment="1">
      <alignment vertical="top" wrapText="1"/>
    </xf>
    <xf numFmtId="3" fontId="17" fillId="0" borderId="0" xfId="0" quotePrefix="1" applyNumberFormat="1" applyFont="1" applyAlignment="1">
      <alignment vertical="top" wrapText="1"/>
    </xf>
    <xf numFmtId="0" fontId="47" fillId="0" borderId="0" xfId="0" applyFont="1" applyAlignment="1">
      <alignment vertical="top" wrapText="1"/>
    </xf>
    <xf numFmtId="3" fontId="47" fillId="0" borderId="0" xfId="0" applyNumberFormat="1" applyFont="1" applyAlignment="1">
      <alignment vertical="top" wrapText="1"/>
    </xf>
    <xf numFmtId="3" fontId="47" fillId="0" borderId="0" xfId="0" applyNumberFormat="1" applyFont="1" applyAlignment="1" applyProtection="1">
      <alignment vertical="top" wrapText="1"/>
      <protection locked="0"/>
    </xf>
    <xf numFmtId="3" fontId="48" fillId="0" borderId="0" xfId="0" applyNumberFormat="1" applyFont="1" applyAlignment="1" applyProtection="1">
      <alignment vertical="top" wrapText="1"/>
      <protection locked="0"/>
    </xf>
    <xf numFmtId="3" fontId="47" fillId="0" borderId="3" xfId="0" quotePrefix="1" applyNumberFormat="1" applyFont="1" applyBorder="1" applyAlignment="1">
      <alignment vertical="top" wrapText="1"/>
    </xf>
    <xf numFmtId="3" fontId="47" fillId="0" borderId="0" xfId="0" quotePrefix="1" applyNumberFormat="1" applyFont="1" applyAlignment="1">
      <alignment vertical="top" wrapText="1"/>
    </xf>
    <xf numFmtId="3" fontId="17" fillId="0" borderId="3" xfId="0" applyNumberFormat="1" applyFont="1" applyBorder="1" applyAlignment="1">
      <alignment vertical="top" wrapText="1"/>
    </xf>
    <xf numFmtId="0" fontId="16" fillId="9" borderId="0" xfId="0" applyFont="1" applyFill="1" applyAlignment="1">
      <alignment vertical="top" wrapText="1"/>
    </xf>
    <xf numFmtId="3" fontId="16" fillId="9" borderId="0" xfId="0" applyNumberFormat="1" applyFont="1" applyFill="1" applyAlignment="1">
      <alignment vertical="top" wrapText="1"/>
    </xf>
    <xf numFmtId="3" fontId="16" fillId="9" borderId="0" xfId="0" applyNumberFormat="1" applyFont="1" applyFill="1" applyAlignment="1" applyProtection="1">
      <alignment vertical="top" wrapText="1"/>
      <protection locked="0"/>
    </xf>
    <xf numFmtId="3" fontId="16" fillId="9" borderId="3" xfId="0" applyNumberFormat="1" applyFont="1" applyFill="1" applyBorder="1" applyAlignment="1">
      <alignment vertical="top" wrapText="1"/>
    </xf>
    <xf numFmtId="3" fontId="17" fillId="0" borderId="0" xfId="0" applyNumberFormat="1" applyFont="1" applyAlignment="1">
      <alignment horizontal="right" vertical="top" wrapText="1"/>
    </xf>
    <xf numFmtId="3" fontId="17" fillId="0" borderId="3" xfId="0" applyNumberFormat="1" applyFont="1" applyBorder="1" applyAlignment="1">
      <alignment horizontal="right" vertical="top" wrapText="1"/>
    </xf>
    <xf numFmtId="0" fontId="16" fillId="9" borderId="0" xfId="0" applyFont="1" applyFill="1" applyAlignment="1">
      <alignment vertical="top"/>
    </xf>
    <xf numFmtId="0" fontId="17" fillId="0" borderId="0" xfId="0" applyFont="1" applyAlignment="1">
      <alignment vertical="top"/>
    </xf>
    <xf numFmtId="0" fontId="49" fillId="0" borderId="0" xfId="0" applyFont="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0" fontId="16" fillId="0" borderId="0" xfId="0" applyFont="1" applyAlignment="1">
      <alignment horizontal="right" vertical="top" wrapText="1"/>
    </xf>
    <xf numFmtId="0" fontId="16" fillId="0" borderId="3" xfId="0" applyFont="1" applyBorder="1" applyAlignment="1">
      <alignment horizontal="left" vertical="top" wrapText="1"/>
    </xf>
    <xf numFmtId="0" fontId="49" fillId="0" borderId="3" xfId="0" applyFont="1" applyBorder="1"/>
    <xf numFmtId="0" fontId="17" fillId="0" borderId="0" xfId="0" applyFont="1" applyAlignment="1" applyProtection="1">
      <alignment vertical="top" wrapText="1"/>
      <protection locked="0"/>
    </xf>
    <xf numFmtId="3" fontId="17" fillId="0" borderId="0" xfId="0" applyNumberFormat="1" applyFont="1" applyAlignment="1" applyProtection="1">
      <alignment horizontal="right" vertical="top" wrapText="1"/>
      <protection locked="0"/>
    </xf>
    <xf numFmtId="3" fontId="49" fillId="0" borderId="0" xfId="0" applyNumberFormat="1" applyFont="1"/>
    <xf numFmtId="3" fontId="49" fillId="0" borderId="3" xfId="0" applyNumberFormat="1" applyFont="1" applyBorder="1"/>
    <xf numFmtId="3" fontId="17" fillId="0" borderId="0" xfId="0" applyNumberFormat="1" applyFont="1" applyAlignment="1" applyProtection="1">
      <alignment horizontal="right" wrapText="1"/>
      <protection locked="0"/>
    </xf>
    <xf numFmtId="3" fontId="17" fillId="0" borderId="0" xfId="0" applyNumberFormat="1" applyFont="1" applyAlignment="1">
      <alignment horizontal="right" wrapText="1"/>
    </xf>
    <xf numFmtId="0" fontId="16" fillId="9" borderId="0" xfId="0" applyFont="1" applyFill="1" applyAlignment="1" applyProtection="1">
      <alignment vertical="top" wrapText="1"/>
      <protection locked="0"/>
    </xf>
    <xf numFmtId="3" fontId="16" fillId="9" borderId="0" xfId="0" applyNumberFormat="1" applyFont="1" applyFill="1" applyAlignment="1" applyProtection="1">
      <alignment horizontal="right" vertical="top" wrapText="1"/>
      <protection locked="0"/>
    </xf>
    <xf numFmtId="3" fontId="16" fillId="9" borderId="3" xfId="0" applyNumberFormat="1" applyFont="1" applyFill="1" applyBorder="1" applyAlignment="1" applyProtection="1">
      <alignment horizontal="right" vertical="top" wrapText="1"/>
      <protection locked="0"/>
    </xf>
    <xf numFmtId="0" fontId="16" fillId="4" borderId="0" xfId="0" applyFont="1" applyFill="1" applyAlignment="1" applyProtection="1">
      <alignment vertical="top" wrapText="1"/>
      <protection locked="0"/>
    </xf>
    <xf numFmtId="3" fontId="16" fillId="4" borderId="0" xfId="0" applyNumberFormat="1" applyFont="1" applyFill="1" applyAlignment="1" applyProtection="1">
      <alignment horizontal="right" vertical="top" wrapText="1"/>
      <protection locked="0"/>
    </xf>
    <xf numFmtId="3" fontId="16" fillId="4" borderId="3" xfId="0" applyNumberFormat="1" applyFont="1" applyFill="1" applyBorder="1" applyAlignment="1" applyProtection="1">
      <alignment horizontal="right" vertical="top" wrapText="1"/>
      <protection locked="0"/>
    </xf>
    <xf numFmtId="3" fontId="16" fillId="0" borderId="0" xfId="0" applyNumberFormat="1" applyFont="1" applyAlignment="1">
      <alignment horizontal="right" vertical="top" wrapText="1"/>
    </xf>
    <xf numFmtId="3" fontId="17" fillId="0" borderId="0" xfId="0" applyNumberFormat="1" applyFont="1" applyAlignment="1" applyProtection="1">
      <alignment horizontal="right" vertical="center" wrapText="1"/>
      <protection locked="0"/>
    </xf>
    <xf numFmtId="3" fontId="17" fillId="0" borderId="3" xfId="0" applyNumberFormat="1" applyFont="1" applyBorder="1" applyAlignment="1" applyProtection="1">
      <alignment horizontal="right" vertical="center" wrapText="1"/>
      <protection locked="0"/>
    </xf>
    <xf numFmtId="3" fontId="49" fillId="0" borderId="0" xfId="0" applyNumberFormat="1" applyFont="1" applyAlignment="1">
      <alignment horizontal="right"/>
    </xf>
    <xf numFmtId="3" fontId="49" fillId="0" borderId="3" xfId="0" applyNumberFormat="1" applyFont="1" applyBorder="1" applyAlignment="1">
      <alignment horizontal="right"/>
    </xf>
    <xf numFmtId="3" fontId="17" fillId="0" borderId="0" xfId="0" applyNumberFormat="1" applyFont="1" applyProtection="1">
      <protection locked="0"/>
    </xf>
    <xf numFmtId="3" fontId="16" fillId="9" borderId="0" xfId="0" applyNumberFormat="1" applyFont="1" applyFill="1" applyAlignment="1">
      <alignment horizontal="right" vertical="top" wrapText="1"/>
    </xf>
    <xf numFmtId="3" fontId="16" fillId="9" borderId="3" xfId="0" applyNumberFormat="1" applyFont="1" applyFill="1" applyBorder="1" applyAlignment="1">
      <alignment horizontal="right" vertical="top" wrapText="1"/>
    </xf>
    <xf numFmtId="3" fontId="16" fillId="4" borderId="0" xfId="0" applyNumberFormat="1" applyFont="1" applyFill="1" applyAlignment="1">
      <alignment horizontal="right" vertical="top" wrapText="1"/>
    </xf>
    <xf numFmtId="3" fontId="16" fillId="4" borderId="3" xfId="0" applyNumberFormat="1" applyFont="1" applyFill="1" applyBorder="1" applyAlignment="1">
      <alignment horizontal="right" vertical="top" wrapText="1"/>
    </xf>
    <xf numFmtId="0" fontId="49" fillId="0" borderId="0" xfId="0" applyFont="1" applyAlignment="1">
      <alignment wrapText="1"/>
    </xf>
    <xf numFmtId="3" fontId="17" fillId="0" borderId="3" xfId="0" quotePrefix="1" applyNumberFormat="1" applyFont="1" applyBorder="1" applyAlignment="1">
      <alignment horizontal="right" vertical="top" wrapText="1"/>
    </xf>
    <xf numFmtId="3" fontId="17" fillId="0" borderId="3" xfId="0" applyNumberFormat="1" applyFont="1" applyBorder="1" applyAlignment="1">
      <alignment horizontal="left" vertical="top" wrapText="1"/>
    </xf>
    <xf numFmtId="3" fontId="17" fillId="0" borderId="0" xfId="0" applyNumberFormat="1" applyFont="1"/>
    <xf numFmtId="3" fontId="17" fillId="0" borderId="3" xfId="0" applyNumberFormat="1" applyFont="1" applyBorder="1" applyAlignment="1">
      <alignment horizontal="left"/>
    </xf>
    <xf numFmtId="3" fontId="46" fillId="9" borderId="0" xfId="0" applyNumberFormat="1" applyFont="1" applyFill="1"/>
    <xf numFmtId="3" fontId="46" fillId="9" borderId="3" xfId="0" applyNumberFormat="1" applyFont="1" applyFill="1" applyBorder="1"/>
    <xf numFmtId="3" fontId="17" fillId="0" borderId="3" xfId="0" applyNumberFormat="1" applyFont="1" applyBorder="1" applyAlignment="1" applyProtection="1">
      <alignment horizontal="left" vertical="top" wrapText="1"/>
      <protection locked="0"/>
    </xf>
    <xf numFmtId="0" fontId="47" fillId="0" borderId="0" xfId="0" quotePrefix="1" applyFont="1" applyAlignment="1" applyProtection="1">
      <alignment vertical="center"/>
      <protection locked="0"/>
    </xf>
    <xf numFmtId="0" fontId="47" fillId="0" borderId="3" xfId="0" quotePrefix="1" applyFont="1" applyBorder="1" applyAlignment="1" applyProtection="1">
      <alignment vertical="center"/>
      <protection locked="0"/>
    </xf>
    <xf numFmtId="0" fontId="28" fillId="3" borderId="0" xfId="0" applyFont="1" applyFill="1" applyAlignment="1">
      <alignment horizontal="right"/>
    </xf>
    <xf numFmtId="0" fontId="29" fillId="3" borderId="0" xfId="0" applyFont="1" applyFill="1" applyAlignment="1">
      <alignment horizontal="right"/>
    </xf>
    <xf numFmtId="0" fontId="29" fillId="3" borderId="3" xfId="0" applyFont="1" applyFill="1" applyBorder="1" applyAlignment="1">
      <alignment horizontal="right"/>
    </xf>
    <xf numFmtId="0" fontId="28" fillId="3" borderId="0" xfId="0" applyFont="1" applyFill="1" applyAlignment="1">
      <alignment horizontal="left"/>
    </xf>
    <xf numFmtId="0" fontId="29" fillId="3" borderId="0" xfId="0" applyFont="1" applyFill="1" applyAlignment="1">
      <alignment horizontal="left" vertical="top"/>
    </xf>
    <xf numFmtId="0" fontId="42" fillId="0" borderId="0" xfId="0" applyFont="1" applyAlignment="1">
      <alignment horizontal="right"/>
    </xf>
    <xf numFmtId="0" fontId="25" fillId="0" borderId="0" xfId="0" applyFont="1" applyAlignment="1">
      <alignment horizontal="right"/>
    </xf>
    <xf numFmtId="0" fontId="25" fillId="0" borderId="3" xfId="0" applyFont="1" applyBorder="1" applyAlignment="1">
      <alignment horizontal="right"/>
    </xf>
    <xf numFmtId="0" fontId="14" fillId="11" borderId="0" xfId="0" applyFont="1" applyFill="1"/>
    <xf numFmtId="0" fontId="31" fillId="0" borderId="0" xfId="0" applyFont="1" applyAlignment="1">
      <alignment horizontal="left" vertical="top"/>
    </xf>
    <xf numFmtId="0" fontId="28" fillId="0" borderId="10" xfId="0" applyFont="1" applyBorder="1" applyAlignment="1">
      <alignment wrapText="1"/>
    </xf>
    <xf numFmtId="0" fontId="24" fillId="0" borderId="10" xfId="0" applyFont="1" applyBorder="1" applyAlignment="1">
      <alignment horizontal="right"/>
    </xf>
    <xf numFmtId="0" fontId="25" fillId="0" borderId="10" xfId="0" applyFont="1" applyBorder="1"/>
    <xf numFmtId="0" fontId="24" fillId="0" borderId="11" xfId="0" applyFont="1" applyBorder="1" applyAlignment="1">
      <alignment horizontal="right"/>
    </xf>
    <xf numFmtId="0" fontId="25" fillId="0" borderId="0" xfId="0" applyFont="1" applyAlignment="1">
      <alignment horizontal="left" wrapText="1"/>
    </xf>
    <xf numFmtId="3" fontId="25" fillId="0" borderId="0" xfId="0" applyNumberFormat="1" applyFont="1" applyAlignment="1">
      <alignment horizontal="right"/>
    </xf>
    <xf numFmtId="3" fontId="25" fillId="0" borderId="3" xfId="0" applyNumberFormat="1" applyFont="1" applyBorder="1" applyAlignment="1">
      <alignment horizontal="right"/>
    </xf>
    <xf numFmtId="0" fontId="25" fillId="0" borderId="0" xfId="0" applyFont="1" applyAlignment="1">
      <alignment vertical="top" wrapText="1"/>
    </xf>
    <xf numFmtId="172" fontId="25" fillId="0" borderId="0" xfId="0" applyNumberFormat="1" applyFont="1" applyAlignment="1" applyProtection="1">
      <alignment horizontal="right"/>
      <protection locked="0"/>
    </xf>
    <xf numFmtId="172" fontId="25" fillId="0" borderId="3" xfId="0" applyNumberFormat="1" applyFont="1" applyBorder="1" applyAlignment="1" applyProtection="1">
      <alignment horizontal="right"/>
      <protection locked="0"/>
    </xf>
    <xf numFmtId="172" fontId="50" fillId="0" borderId="0" xfId="0" applyNumberFormat="1" applyFont="1" applyAlignment="1" applyProtection="1">
      <alignment horizontal="right"/>
      <protection locked="0"/>
    </xf>
    <xf numFmtId="0" fontId="25" fillId="9" borderId="0" xfId="0" applyFont="1" applyFill="1" applyAlignment="1">
      <alignment vertical="top" wrapText="1"/>
    </xf>
    <xf numFmtId="172" fontId="25" fillId="9" borderId="0" xfId="0" applyNumberFormat="1" applyFont="1" applyFill="1" applyAlignment="1" applyProtection="1">
      <alignment horizontal="right"/>
      <protection locked="0"/>
    </xf>
    <xf numFmtId="172" fontId="25" fillId="9" borderId="3" xfId="0" applyNumberFormat="1" applyFont="1" applyFill="1" applyBorder="1" applyAlignment="1" applyProtection="1">
      <alignment horizontal="right"/>
      <protection locked="0"/>
    </xf>
    <xf numFmtId="172" fontId="50" fillId="9" borderId="0" xfId="0" applyNumberFormat="1" applyFont="1" applyFill="1" applyAlignment="1" applyProtection="1">
      <alignment horizontal="right"/>
      <protection locked="0"/>
    </xf>
    <xf numFmtId="3" fontId="25" fillId="4" borderId="3" xfId="0" applyNumberFormat="1" applyFont="1" applyFill="1" applyBorder="1" applyAlignment="1">
      <alignment horizontal="right"/>
    </xf>
    <xf numFmtId="3" fontId="50" fillId="0" borderId="0" xfId="0" applyNumberFormat="1" applyFont="1" applyAlignment="1">
      <alignment horizontal="right"/>
    </xf>
    <xf numFmtId="0" fontId="31" fillId="0" borderId="0" xfId="0" applyFont="1" applyAlignment="1">
      <alignment vertical="top" wrapText="1"/>
    </xf>
    <xf numFmtId="1" fontId="25" fillId="0" borderId="0" xfId="0" applyNumberFormat="1" applyFont="1"/>
    <xf numFmtId="0" fontId="31" fillId="4" borderId="0" xfId="0" applyFont="1" applyFill="1" applyAlignment="1">
      <alignment horizontal="left" wrapText="1"/>
    </xf>
    <xf numFmtId="0" fontId="24" fillId="4" borderId="0" xfId="0" applyFont="1" applyFill="1" applyAlignment="1">
      <alignment horizontal="right"/>
    </xf>
    <xf numFmtId="0" fontId="24" fillId="4" borderId="3" xfId="0" applyFont="1" applyFill="1" applyBorder="1" applyAlignment="1">
      <alignment horizontal="right"/>
    </xf>
    <xf numFmtId="0" fontId="37" fillId="4" borderId="0" xfId="0" quotePrefix="1" applyFont="1" applyFill="1"/>
    <xf numFmtId="0" fontId="37" fillId="4" borderId="0" xfId="0" quotePrefix="1" applyFont="1" applyFill="1" applyAlignment="1">
      <alignment horizontal="right"/>
    </xf>
    <xf numFmtId="9" fontId="37" fillId="4" borderId="0" xfId="0" quotePrefix="1" applyNumberFormat="1" applyFont="1" applyFill="1" applyAlignment="1">
      <alignment horizontal="right"/>
    </xf>
    <xf numFmtId="9" fontId="30" fillId="4" borderId="0" xfId="0" quotePrefix="1" applyNumberFormat="1" applyFont="1" applyFill="1" applyAlignment="1">
      <alignment horizontal="right"/>
    </xf>
    <xf numFmtId="9" fontId="30" fillId="4" borderId="3" xfId="0" quotePrefix="1" applyNumberFormat="1" applyFont="1" applyFill="1" applyBorder="1" applyAlignment="1">
      <alignment horizontal="right"/>
    </xf>
    <xf numFmtId="0" fontId="24" fillId="0" borderId="10" xfId="0" applyFont="1" applyBorder="1" applyAlignment="1">
      <alignment horizontal="left" wrapText="1"/>
    </xf>
    <xf numFmtId="3" fontId="25" fillId="0" borderId="0" xfId="0" applyNumberFormat="1" applyFont="1" applyAlignment="1" applyProtection="1">
      <alignment horizontal="right"/>
      <protection locked="0"/>
    </xf>
    <xf numFmtId="3" fontId="25" fillId="0" borderId="3" xfId="0" applyNumberFormat="1" applyFont="1" applyBorder="1" applyAlignment="1" applyProtection="1">
      <alignment horizontal="right"/>
      <protection locked="0"/>
    </xf>
    <xf numFmtId="3" fontId="50" fillId="0" borderId="0" xfId="0" applyNumberFormat="1" applyFont="1" applyAlignment="1" applyProtection="1">
      <alignment horizontal="right"/>
      <protection locked="0"/>
    </xf>
    <xf numFmtId="0" fontId="31" fillId="4" borderId="0" xfId="0" applyFont="1" applyFill="1" applyAlignment="1">
      <alignment vertical="top" wrapText="1"/>
    </xf>
    <xf numFmtId="3" fontId="25" fillId="4" borderId="0" xfId="0" applyNumberFormat="1" applyFont="1" applyFill="1" applyAlignment="1">
      <alignment horizontal="right"/>
    </xf>
    <xf numFmtId="172" fontId="25" fillId="0" borderId="0" xfId="0" quotePrefix="1" applyNumberFormat="1" applyFont="1" applyAlignment="1" applyProtection="1">
      <alignment horizontal="right"/>
      <protection locked="0"/>
    </xf>
    <xf numFmtId="172" fontId="25" fillId="0" borderId="3" xfId="0" quotePrefix="1" applyNumberFormat="1" applyFont="1" applyBorder="1" applyAlignment="1" applyProtection="1">
      <alignment horizontal="right"/>
      <protection locked="0"/>
    </xf>
    <xf numFmtId="0" fontId="51" fillId="0" borderId="0" xfId="0" applyFont="1" applyAlignment="1">
      <alignment horizontal="left" wrapText="1"/>
    </xf>
    <xf numFmtId="0" fontId="51" fillId="0" borderId="0" xfId="0" applyFont="1" applyAlignment="1">
      <alignment horizontal="right"/>
    </xf>
    <xf numFmtId="0" fontId="52" fillId="0" borderId="0" xfId="0" applyFont="1"/>
    <xf numFmtId="0" fontId="51" fillId="0" borderId="3" xfId="0" applyFont="1" applyBorder="1" applyAlignment="1">
      <alignment horizontal="right"/>
    </xf>
    <xf numFmtId="0" fontId="32" fillId="0" borderId="0" xfId="0" applyFont="1" applyAlignment="1">
      <alignment horizontal="right"/>
    </xf>
    <xf numFmtId="0" fontId="32" fillId="0" borderId="3" xfId="0" applyFont="1" applyBorder="1" applyAlignment="1">
      <alignment horizontal="right"/>
    </xf>
    <xf numFmtId="0" fontId="51" fillId="0" borderId="12" xfId="0" applyFont="1" applyBorder="1" applyAlignment="1">
      <alignment horizontal="left" wrapText="1"/>
    </xf>
    <xf numFmtId="0" fontId="51" fillId="0" borderId="12" xfId="0" applyFont="1" applyBorder="1" applyAlignment="1">
      <alignment horizontal="right"/>
    </xf>
    <xf numFmtId="0" fontId="51" fillId="0" borderId="13" xfId="0" applyFont="1" applyBorder="1" applyAlignment="1">
      <alignment horizontal="right"/>
    </xf>
    <xf numFmtId="0" fontId="32" fillId="0" borderId="12" xfId="0" applyFont="1" applyBorder="1" applyAlignment="1">
      <alignment horizontal="right"/>
    </xf>
    <xf numFmtId="0" fontId="32" fillId="0" borderId="13" xfId="0" applyFont="1" applyBorder="1" applyAlignment="1">
      <alignment horizontal="right"/>
    </xf>
    <xf numFmtId="0" fontId="52" fillId="0" borderId="0" xfId="0" applyFont="1" applyAlignment="1">
      <alignment vertical="top" wrapText="1"/>
    </xf>
    <xf numFmtId="0" fontId="52" fillId="0" borderId="3" xfId="0" applyFont="1" applyBorder="1" applyAlignment="1">
      <alignment vertical="top" wrapText="1"/>
    </xf>
    <xf numFmtId="0" fontId="31" fillId="0" borderId="3" xfId="0" applyFont="1" applyBorder="1" applyAlignment="1">
      <alignment vertical="top" wrapText="1"/>
    </xf>
    <xf numFmtId="0" fontId="51" fillId="0" borderId="0" xfId="0" applyFont="1" applyAlignment="1">
      <alignment vertical="top" wrapText="1"/>
    </xf>
    <xf numFmtId="0" fontId="28" fillId="0" borderId="0" xfId="0" applyFont="1" applyAlignment="1">
      <alignment wrapText="1"/>
    </xf>
    <xf numFmtId="0" fontId="24" fillId="0" borderId="10" xfId="0" applyFont="1" applyBorder="1"/>
    <xf numFmtId="173" fontId="25" fillId="0" borderId="0" xfId="0" applyNumberFormat="1" applyFont="1" applyAlignment="1">
      <alignment horizontal="right"/>
    </xf>
    <xf numFmtId="173" fontId="25" fillId="0" borderId="3" xfId="0" applyNumberFormat="1" applyFont="1" applyBorder="1" applyAlignment="1">
      <alignment horizontal="right"/>
    </xf>
    <xf numFmtId="0" fontId="25" fillId="0" borderId="0" xfId="0" applyFont="1" applyAlignment="1">
      <alignment horizontal="center" vertical="center"/>
    </xf>
    <xf numFmtId="0" fontId="24" fillId="0" borderId="0" xfId="0" applyFont="1" applyAlignment="1">
      <alignment wrapText="1"/>
    </xf>
    <xf numFmtId="0" fontId="25" fillId="0" borderId="4" xfId="0" applyFont="1" applyBorder="1" applyAlignment="1">
      <alignment horizontal="right"/>
    </xf>
    <xf numFmtId="0" fontId="25" fillId="0" borderId="5" xfId="0" applyFont="1" applyBorder="1" applyAlignment="1">
      <alignment horizontal="right"/>
    </xf>
    <xf numFmtId="173" fontId="25" fillId="0" borderId="0" xfId="0" applyNumberFormat="1" applyFont="1" applyAlignment="1" applyProtection="1">
      <alignment horizontal="right"/>
      <protection locked="0"/>
    </xf>
    <xf numFmtId="164" fontId="25" fillId="0" borderId="0" xfId="0" applyNumberFormat="1" applyFont="1" applyAlignment="1">
      <alignment horizontal="right"/>
    </xf>
    <xf numFmtId="164" fontId="25" fillId="0" borderId="3" xfId="0" applyNumberFormat="1" applyFont="1" applyBorder="1" applyAlignment="1">
      <alignment horizontal="right"/>
    </xf>
    <xf numFmtId="174" fontId="25" fillId="0" borderId="0" xfId="0" applyNumberFormat="1" applyFont="1" applyAlignment="1" applyProtection="1">
      <alignment horizontal="right"/>
      <protection locked="0"/>
    </xf>
    <xf numFmtId="174" fontId="25" fillId="0" borderId="3" xfId="0" applyNumberFormat="1" applyFont="1" applyBorder="1" applyAlignment="1" applyProtection="1">
      <alignment horizontal="right"/>
      <protection locked="0"/>
    </xf>
    <xf numFmtId="174" fontId="25" fillId="9" borderId="0" xfId="0" applyNumberFormat="1" applyFont="1" applyFill="1" applyAlignment="1" applyProtection="1">
      <alignment horizontal="right"/>
      <protection locked="0"/>
    </xf>
    <xf numFmtId="173" fontId="25" fillId="9" borderId="0" xfId="0" applyNumberFormat="1" applyFont="1" applyFill="1" applyAlignment="1" applyProtection="1">
      <alignment horizontal="right"/>
      <protection locked="0"/>
    </xf>
    <xf numFmtId="174" fontId="25" fillId="9" borderId="3" xfId="0" applyNumberFormat="1" applyFont="1" applyFill="1" applyBorder="1" applyAlignment="1" applyProtection="1">
      <alignment horizontal="right"/>
      <protection locked="0"/>
    </xf>
    <xf numFmtId="0" fontId="24" fillId="0" borderId="0" xfId="0" applyFont="1" applyAlignment="1">
      <alignment horizontal="left" wrapText="1"/>
    </xf>
    <xf numFmtId="0" fontId="24" fillId="0" borderId="12" xfId="0" applyFont="1" applyBorder="1" applyAlignment="1">
      <alignment horizontal="left" wrapText="1"/>
    </xf>
    <xf numFmtId="0" fontId="25" fillId="0" borderId="12" xfId="0" applyFont="1" applyBorder="1" applyAlignment="1">
      <alignment horizontal="right"/>
    </xf>
    <xf numFmtId="0" fontId="25" fillId="0" borderId="13" xfId="0" applyFont="1" applyBorder="1" applyAlignment="1">
      <alignment horizontal="right"/>
    </xf>
    <xf numFmtId="175" fontId="25" fillId="0" borderId="0" xfId="0" applyNumberFormat="1" applyFont="1" applyAlignment="1" applyProtection="1">
      <alignment horizontal="right"/>
      <protection locked="0"/>
    </xf>
    <xf numFmtId="0" fontId="25" fillId="9" borderId="0" xfId="0" applyFont="1" applyFill="1"/>
    <xf numFmtId="2" fontId="25" fillId="0" borderId="0" xfId="0" applyNumberFormat="1" applyFont="1" applyAlignment="1">
      <alignment horizontal="right"/>
    </xf>
    <xf numFmtId="164" fontId="25" fillId="0" borderId="0" xfId="0" applyNumberFormat="1" applyFont="1" applyAlignment="1" applyProtection="1">
      <alignment horizontal="right"/>
      <protection locked="0"/>
    </xf>
    <xf numFmtId="0" fontId="25" fillId="0" borderId="0" xfId="0" applyFont="1" applyAlignment="1">
      <alignment wrapText="1"/>
    </xf>
    <xf numFmtId="173" fontId="25" fillId="0" borderId="0" xfId="0" applyNumberFormat="1" applyFont="1"/>
    <xf numFmtId="176" fontId="25" fillId="0" borderId="0" xfId="0" applyNumberFormat="1" applyFont="1"/>
    <xf numFmtId="176" fontId="25" fillId="0" borderId="3" xfId="0" applyNumberFormat="1" applyFont="1" applyBorder="1"/>
    <xf numFmtId="173" fontId="25" fillId="0" borderId="9" xfId="0" applyNumberFormat="1" applyFont="1" applyBorder="1"/>
    <xf numFmtId="0" fontId="15" fillId="3" borderId="0" xfId="0" applyFont="1" applyFill="1" applyAlignment="1">
      <alignment horizontal="left" vertical="center"/>
    </xf>
    <xf numFmtId="0" fontId="44" fillId="3" borderId="0" xfId="0" applyFont="1" applyFill="1" applyAlignment="1">
      <alignment horizontal="left" vertical="center"/>
    </xf>
    <xf numFmtId="0" fontId="45" fillId="3" borderId="0" xfId="0" applyFont="1" applyFill="1" applyAlignment="1">
      <alignment horizontal="left" vertical="center"/>
    </xf>
    <xf numFmtId="0" fontId="17" fillId="0" borderId="0" xfId="0" applyFont="1" applyAlignment="1">
      <alignment horizontal="left" vertical="center"/>
    </xf>
    <xf numFmtId="0" fontId="45" fillId="3" borderId="3" xfId="0" applyFont="1" applyFill="1" applyBorder="1" applyAlignment="1">
      <alignment horizontal="left" vertical="center"/>
    </xf>
    <xf numFmtId="0" fontId="45" fillId="7" borderId="0" xfId="0" applyFont="1" applyFill="1" applyAlignment="1">
      <alignment horizontal="left" vertical="center"/>
    </xf>
    <xf numFmtId="3" fontId="17" fillId="0" borderId="0" xfId="0" applyNumberFormat="1"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5" fillId="0" borderId="3" xfId="0" applyFont="1" applyBorder="1" applyAlignment="1">
      <alignment horizontal="left" vertical="center"/>
    </xf>
    <xf numFmtId="0" fontId="16" fillId="12" borderId="0" xfId="0" applyFont="1" applyFill="1" applyAlignment="1">
      <alignment horizontal="left" vertical="center"/>
    </xf>
    <xf numFmtId="0" fontId="16" fillId="12" borderId="3" xfId="0" applyFont="1" applyFill="1" applyBorder="1" applyAlignment="1">
      <alignment horizontal="left" vertical="center"/>
    </xf>
    <xf numFmtId="0" fontId="16" fillId="4" borderId="0" xfId="0" applyFont="1" applyFill="1" applyAlignment="1">
      <alignment horizontal="left" vertical="center"/>
    </xf>
    <xf numFmtId="0" fontId="16" fillId="12" borderId="9" xfId="0" applyFont="1" applyFill="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13" borderId="0" xfId="0" applyFont="1" applyFill="1" applyAlignment="1">
      <alignment horizontal="left" vertical="center"/>
    </xf>
    <xf numFmtId="3" fontId="16" fillId="13" borderId="0" xfId="0" applyNumberFormat="1" applyFont="1" applyFill="1" applyAlignment="1">
      <alignment horizontal="left" vertical="center"/>
    </xf>
    <xf numFmtId="3" fontId="16" fillId="13" borderId="3" xfId="0" applyNumberFormat="1" applyFont="1" applyFill="1" applyBorder="1" applyAlignment="1">
      <alignment horizontal="left" vertical="center"/>
    </xf>
    <xf numFmtId="3" fontId="16" fillId="4" borderId="0" xfId="0" applyNumberFormat="1" applyFont="1" applyFill="1" applyAlignment="1">
      <alignment horizontal="left" vertical="center"/>
    </xf>
    <xf numFmtId="3" fontId="16" fillId="13" borderId="9" xfId="0" applyNumberFormat="1" applyFont="1" applyFill="1" applyBorder="1" applyAlignment="1">
      <alignment horizontal="left" vertical="center"/>
    </xf>
    <xf numFmtId="177" fontId="17" fillId="0" borderId="0" xfId="0" applyNumberFormat="1" applyFont="1" applyAlignment="1">
      <alignment horizontal="left" vertical="center"/>
    </xf>
    <xf numFmtId="1"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3" fontId="17" fillId="4" borderId="0" xfId="0" applyNumberFormat="1" applyFont="1" applyFill="1" applyAlignment="1">
      <alignment horizontal="left" vertical="center"/>
    </xf>
    <xf numFmtId="177" fontId="17" fillId="0" borderId="3" xfId="0" applyNumberFormat="1" applyFont="1" applyBorder="1" applyAlignment="1">
      <alignment horizontal="left" vertical="center"/>
    </xf>
    <xf numFmtId="1" fontId="17" fillId="0" borderId="3" xfId="0" applyNumberFormat="1" applyFont="1" applyBorder="1" applyAlignment="1">
      <alignment horizontal="left" vertical="center"/>
    </xf>
    <xf numFmtId="1" fontId="17" fillId="0" borderId="9" xfId="0" applyNumberFormat="1" applyFont="1" applyBorder="1" applyAlignment="1">
      <alignment horizontal="left" vertical="center"/>
    </xf>
    <xf numFmtId="3" fontId="17" fillId="0" borderId="9" xfId="0" applyNumberFormat="1" applyFont="1" applyBorder="1" applyAlignment="1">
      <alignment horizontal="left" vertical="center"/>
    </xf>
    <xf numFmtId="0" fontId="17" fillId="0" borderId="10" xfId="0" applyFont="1" applyBorder="1" applyAlignment="1">
      <alignment horizontal="left" vertical="center"/>
    </xf>
    <xf numFmtId="3" fontId="17" fillId="0" borderId="10" xfId="0" applyNumberFormat="1" applyFont="1" applyBorder="1" applyAlignment="1">
      <alignment horizontal="left" vertical="center"/>
    </xf>
    <xf numFmtId="3" fontId="17" fillId="0" borderId="11" xfId="0" applyNumberFormat="1" applyFont="1" applyBorder="1" applyAlignment="1">
      <alignment horizontal="left" vertical="center"/>
    </xf>
    <xf numFmtId="3" fontId="17" fillId="0" borderId="14" xfId="0" applyNumberFormat="1" applyFont="1" applyBorder="1" applyAlignment="1">
      <alignment horizontal="left" vertical="center"/>
    </xf>
    <xf numFmtId="0" fontId="16" fillId="13" borderId="10" xfId="0" applyFont="1" applyFill="1" applyBorder="1" applyAlignment="1">
      <alignment horizontal="left" vertical="center"/>
    </xf>
    <xf numFmtId="3" fontId="16" fillId="13" borderId="10" xfId="0" applyNumberFormat="1" applyFont="1" applyFill="1" applyBorder="1" applyAlignment="1">
      <alignment horizontal="left" vertical="center"/>
    </xf>
    <xf numFmtId="3" fontId="16" fillId="13" borderId="11" xfId="0" applyNumberFormat="1" applyFont="1" applyFill="1" applyBorder="1" applyAlignment="1">
      <alignment horizontal="left" vertical="center"/>
    </xf>
    <xf numFmtId="3" fontId="16" fillId="13" borderId="14" xfId="0" applyNumberFormat="1" applyFont="1" applyFill="1" applyBorder="1" applyAlignment="1">
      <alignment horizontal="left" vertical="center"/>
    </xf>
    <xf numFmtId="0" fontId="17" fillId="0" borderId="3" xfId="0" applyFont="1" applyBorder="1" applyAlignment="1">
      <alignment horizontal="left" vertical="center"/>
    </xf>
    <xf numFmtId="0" fontId="17" fillId="4" borderId="0" xfId="0" applyFont="1" applyFill="1" applyAlignment="1">
      <alignment horizontal="left" vertical="center"/>
    </xf>
    <xf numFmtId="177" fontId="17" fillId="0" borderId="9" xfId="0" applyNumberFormat="1" applyFont="1" applyBorder="1" applyAlignment="1">
      <alignment horizontal="left" vertical="center"/>
    </xf>
    <xf numFmtId="173" fontId="17" fillId="0" borderId="0" xfId="0" applyNumberFormat="1" applyFont="1" applyAlignment="1">
      <alignment horizontal="left" vertical="center"/>
    </xf>
    <xf numFmtId="173" fontId="17" fillId="0" borderId="3" xfId="0" applyNumberFormat="1" applyFont="1" applyBorder="1" applyAlignment="1">
      <alignment horizontal="left" vertical="center"/>
    </xf>
    <xf numFmtId="173" fontId="17" fillId="0" borderId="9" xfId="0" applyNumberFormat="1" applyFont="1" applyBorder="1" applyAlignment="1">
      <alignment horizontal="left" vertical="center"/>
    </xf>
    <xf numFmtId="173" fontId="17" fillId="0" borderId="10" xfId="0" applyNumberFormat="1" applyFont="1" applyBorder="1" applyAlignment="1">
      <alignment horizontal="left" vertical="center"/>
    </xf>
    <xf numFmtId="173" fontId="17" fillId="0" borderId="11" xfId="0" applyNumberFormat="1" applyFont="1" applyBorder="1" applyAlignment="1">
      <alignment horizontal="left" vertical="center"/>
    </xf>
    <xf numFmtId="0" fontId="16" fillId="14" borderId="0" xfId="0" applyFont="1" applyFill="1" applyAlignment="1">
      <alignment horizontal="left" vertical="center"/>
    </xf>
    <xf numFmtId="0" fontId="16" fillId="14" borderId="3" xfId="0" applyFont="1" applyFill="1" applyBorder="1" applyAlignment="1">
      <alignment horizontal="left" vertical="center"/>
    </xf>
    <xf numFmtId="0" fontId="16" fillId="14" borderId="9" xfId="0" applyFont="1" applyFill="1" applyBorder="1" applyAlignment="1">
      <alignment horizontal="left" vertical="center"/>
    </xf>
    <xf numFmtId="173" fontId="17" fillId="14" borderId="0" xfId="0" applyNumberFormat="1" applyFont="1" applyFill="1" applyAlignment="1">
      <alignment horizontal="left" vertical="center"/>
    </xf>
    <xf numFmtId="173" fontId="17" fillId="0" borderId="14" xfId="0" applyNumberFormat="1" applyFont="1" applyBorder="1" applyAlignment="1">
      <alignment horizontal="left" vertical="center"/>
    </xf>
    <xf numFmtId="0" fontId="16" fillId="15" borderId="0" xfId="0" applyFont="1" applyFill="1" applyAlignment="1">
      <alignment horizontal="left" vertical="center"/>
    </xf>
    <xf numFmtId="0" fontId="16" fillId="15" borderId="3" xfId="0" applyFont="1" applyFill="1" applyBorder="1" applyAlignment="1">
      <alignment horizontal="left" vertical="center"/>
    </xf>
    <xf numFmtId="0" fontId="16" fillId="15" borderId="9" xfId="0" applyFont="1" applyFill="1" applyBorder="1" applyAlignment="1">
      <alignment horizontal="left" vertical="center"/>
    </xf>
    <xf numFmtId="165" fontId="17" fillId="0" borderId="0" xfId="0" applyNumberFormat="1" applyFont="1" applyAlignment="1">
      <alignment horizontal="left" vertical="center"/>
    </xf>
    <xf numFmtId="9" fontId="17" fillId="0" borderId="3" xfId="0" applyNumberFormat="1" applyFont="1" applyBorder="1" applyAlignment="1">
      <alignment horizontal="left" vertical="center"/>
    </xf>
    <xf numFmtId="9" fontId="17" fillId="4" borderId="0" xfId="0" applyNumberFormat="1" applyFont="1" applyFill="1" applyAlignment="1">
      <alignment horizontal="left" vertical="center"/>
    </xf>
    <xf numFmtId="165" fontId="17" fillId="0" borderId="3" xfId="0" applyNumberFormat="1" applyFont="1" applyBorder="1" applyAlignment="1">
      <alignment horizontal="left" vertical="center"/>
    </xf>
    <xf numFmtId="165" fontId="17" fillId="0" borderId="9" xfId="0" applyNumberFormat="1" applyFont="1" applyBorder="1" applyAlignment="1">
      <alignment horizontal="left" vertical="center"/>
    </xf>
    <xf numFmtId="1" fontId="17" fillId="0" borderId="10" xfId="0" applyNumberFormat="1" applyFont="1" applyBorder="1" applyAlignment="1">
      <alignment horizontal="left" vertical="center"/>
    </xf>
    <xf numFmtId="165" fontId="17" fillId="0" borderId="10" xfId="0" applyNumberFormat="1" applyFont="1" applyBorder="1" applyAlignment="1">
      <alignment horizontal="left" vertical="center"/>
    </xf>
    <xf numFmtId="9" fontId="17" fillId="0" borderId="11" xfId="0" applyNumberFormat="1" applyFont="1" applyBorder="1" applyAlignment="1">
      <alignment horizontal="left" vertical="center"/>
    </xf>
    <xf numFmtId="1" fontId="17" fillId="0" borderId="11" xfId="0" applyNumberFormat="1" applyFont="1" applyBorder="1" applyAlignment="1">
      <alignment horizontal="left" vertical="center"/>
    </xf>
    <xf numFmtId="165" fontId="17" fillId="0" borderId="11" xfId="0" applyNumberFormat="1" applyFont="1" applyBorder="1" applyAlignment="1">
      <alignment horizontal="left" vertical="center"/>
    </xf>
    <xf numFmtId="165" fontId="17" fillId="0" borderId="14" xfId="0" applyNumberFormat="1" applyFont="1" applyBorder="1" applyAlignment="1">
      <alignment horizontal="left" vertical="center"/>
    </xf>
    <xf numFmtId="0" fontId="53" fillId="0" borderId="10" xfId="0" applyFont="1" applyBorder="1" applyAlignment="1">
      <alignment horizontal="left" vertical="center"/>
    </xf>
    <xf numFmtId="3" fontId="53" fillId="0" borderId="10" xfId="0" applyNumberFormat="1" applyFont="1" applyBorder="1" applyAlignment="1">
      <alignment horizontal="left" vertical="center"/>
    </xf>
    <xf numFmtId="0" fontId="54" fillId="0" borderId="0" xfId="0" applyFont="1" applyAlignment="1">
      <alignment horizontal="left" vertical="center"/>
    </xf>
    <xf numFmtId="0" fontId="54" fillId="0" borderId="3" xfId="0" applyFont="1" applyBorder="1" applyAlignment="1">
      <alignment horizontal="left" vertical="center"/>
    </xf>
    <xf numFmtId="0" fontId="54" fillId="4" borderId="0" xfId="0" applyFont="1" applyFill="1" applyAlignment="1">
      <alignment horizontal="left" vertical="center"/>
    </xf>
    <xf numFmtId="3" fontId="54" fillId="0" borderId="0" xfId="0" applyNumberFormat="1" applyFont="1" applyAlignment="1">
      <alignment horizontal="left" vertical="center"/>
    </xf>
    <xf numFmtId="3" fontId="53" fillId="0" borderId="11" xfId="0" applyNumberFormat="1" applyFont="1" applyBorder="1" applyAlignment="1">
      <alignment horizontal="left" vertical="center"/>
    </xf>
    <xf numFmtId="0" fontId="52" fillId="0" borderId="0" xfId="0" applyFont="1" applyAlignment="1">
      <alignment horizontal="left" vertical="center"/>
    </xf>
    <xf numFmtId="3" fontId="52" fillId="0" borderId="0" xfId="0" applyNumberFormat="1" applyFont="1" applyAlignment="1">
      <alignment horizontal="left" vertical="center"/>
    </xf>
    <xf numFmtId="0" fontId="52" fillId="0" borderId="3" xfId="0" applyFont="1" applyBorder="1" applyAlignment="1">
      <alignment horizontal="left" vertical="center"/>
    </xf>
    <xf numFmtId="0" fontId="52" fillId="4" borderId="0" xfId="0" applyFont="1" applyFill="1" applyAlignment="1">
      <alignment horizontal="left" vertical="center"/>
    </xf>
    <xf numFmtId="3" fontId="52" fillId="0" borderId="3" xfId="0" applyNumberFormat="1"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1" fontId="16" fillId="13" borderId="0" xfId="0" applyNumberFormat="1" applyFont="1" applyFill="1" applyAlignment="1">
      <alignment horizontal="left" vertical="center"/>
    </xf>
    <xf numFmtId="1" fontId="16" fillId="13" borderId="3" xfId="0" applyNumberFormat="1" applyFont="1" applyFill="1" applyBorder="1" applyAlignment="1">
      <alignment horizontal="left" vertical="center"/>
    </xf>
    <xf numFmtId="172" fontId="17" fillId="4" borderId="0" xfId="0" applyNumberFormat="1" applyFont="1" applyFill="1" applyAlignment="1" applyProtection="1">
      <alignment horizontal="right"/>
      <protection locked="0"/>
    </xf>
    <xf numFmtId="0" fontId="37" fillId="0" borderId="0" xfId="0" applyFont="1"/>
    <xf numFmtId="0" fontId="55" fillId="0" borderId="0" xfId="0" applyFont="1"/>
    <xf numFmtId="172" fontId="25" fillId="4" borderId="0" xfId="0" applyNumberFormat="1" applyFont="1" applyFill="1" applyAlignment="1" applyProtection="1">
      <alignment horizontal="right"/>
      <protection locked="0"/>
    </xf>
    <xf numFmtId="0" fontId="37" fillId="0" borderId="3" xfId="0" applyFont="1" applyBorder="1"/>
    <xf numFmtId="0" fontId="24" fillId="0" borderId="10" xfId="0" applyFont="1" applyBorder="1" applyAlignment="1">
      <alignment horizontal="left" vertical="center"/>
    </xf>
    <xf numFmtId="0" fontId="24" fillId="0" borderId="10" xfId="0" applyFont="1" applyBorder="1" applyAlignment="1">
      <alignment horizontal="center"/>
    </xf>
    <xf numFmtId="0" fontId="34" fillId="0" borderId="10" xfId="0" applyFont="1" applyBorder="1" applyAlignment="1">
      <alignment horizontal="right" vertical="center"/>
    </xf>
    <xf numFmtId="0" fontId="34" fillId="0" borderId="11" xfId="0" applyFont="1" applyBorder="1" applyAlignment="1">
      <alignment horizontal="right" vertical="center"/>
    </xf>
    <xf numFmtId="0" fontId="46" fillId="16" borderId="0" xfId="0" applyFont="1" applyFill="1" applyAlignment="1">
      <alignment vertical="center"/>
    </xf>
    <xf numFmtId="0" fontId="46" fillId="4" borderId="0" xfId="0" applyFont="1" applyFill="1" applyAlignment="1">
      <alignment horizontal="right" vertical="center" wrapText="1"/>
    </xf>
    <xf numFmtId="0" fontId="16" fillId="4" borderId="0" xfId="0" applyFont="1" applyFill="1" applyAlignment="1">
      <alignment horizontal="right" vertical="center" wrapText="1"/>
    </xf>
    <xf numFmtId="0" fontId="49" fillId="0" borderId="7" xfId="0" applyFont="1" applyBorder="1"/>
    <xf numFmtId="0" fontId="49" fillId="16" borderId="0" xfId="0" applyFont="1" applyFill="1" applyAlignment="1">
      <alignment vertical="center"/>
    </xf>
    <xf numFmtId="172" fontId="17" fillId="0" borderId="0" xfId="0" applyNumberFormat="1" applyFont="1" applyAlignment="1" applyProtection="1">
      <alignment horizontal="right"/>
      <protection locked="0"/>
    </xf>
    <xf numFmtId="172" fontId="17" fillId="0" borderId="3" xfId="0" applyNumberFormat="1" applyFont="1" applyBorder="1" applyAlignment="1" applyProtection="1">
      <alignment horizontal="right"/>
      <protection locked="0"/>
    </xf>
    <xf numFmtId="3" fontId="17" fillId="0" borderId="0" xfId="0" applyNumberFormat="1" applyFont="1" applyAlignment="1">
      <alignment vertical="center"/>
    </xf>
    <xf numFmtId="3" fontId="17" fillId="0" borderId="3" xfId="0" applyNumberFormat="1" applyFont="1" applyBorder="1" applyAlignment="1">
      <alignmen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1" fontId="17" fillId="0" borderId="3" xfId="0" applyNumberFormat="1" applyFont="1" applyBorder="1" applyAlignment="1">
      <alignment horizontal="right" vertical="center" wrapText="1"/>
    </xf>
    <xf numFmtId="0" fontId="49" fillId="4" borderId="0" xfId="0" applyFont="1" applyFill="1" applyAlignment="1">
      <alignment vertical="center"/>
    </xf>
    <xf numFmtId="0" fontId="17" fillId="4" borderId="0" xfId="0" applyFont="1" applyFill="1" applyAlignment="1">
      <alignment vertical="center"/>
    </xf>
    <xf numFmtId="164" fontId="49" fillId="4" borderId="0" xfId="0" applyNumberFormat="1" applyFont="1" applyFill="1" applyAlignment="1">
      <alignment vertical="center"/>
    </xf>
    <xf numFmtId="164" fontId="49" fillId="0" borderId="0" xfId="0" applyNumberFormat="1" applyFont="1"/>
    <xf numFmtId="164" fontId="49" fillId="4" borderId="3" xfId="0" applyNumberFormat="1" applyFont="1" applyFill="1" applyBorder="1" applyAlignment="1">
      <alignment vertical="center"/>
    </xf>
    <xf numFmtId="164" fontId="49" fillId="0" borderId="0" xfId="0" applyNumberFormat="1" applyFont="1" applyAlignment="1">
      <alignment vertical="center"/>
    </xf>
    <xf numFmtId="166" fontId="49" fillId="0" borderId="3" xfId="0" applyNumberFormat="1" applyFont="1" applyBorder="1"/>
    <xf numFmtId="0" fontId="49" fillId="0" borderId="0" xfId="0" applyFont="1" applyAlignment="1">
      <alignment vertical="center"/>
    </xf>
    <xf numFmtId="0" fontId="17" fillId="0" borderId="0" xfId="0" applyFont="1" applyAlignment="1">
      <alignment vertical="center"/>
    </xf>
    <xf numFmtId="164" fontId="49" fillId="0" borderId="0" xfId="0" applyNumberFormat="1" applyFont="1" applyAlignment="1">
      <alignment horizontal="right" vertical="center"/>
    </xf>
    <xf numFmtId="164" fontId="49" fillId="0" borderId="3" xfId="0" applyNumberFormat="1" applyFont="1" applyBorder="1" applyAlignment="1">
      <alignment horizontal="right" vertical="center"/>
    </xf>
    <xf numFmtId="3" fontId="17" fillId="0" borderId="0" xfId="0" applyNumberFormat="1" applyFont="1" applyAlignment="1" applyProtection="1">
      <alignment horizontal="right"/>
      <protection locked="0"/>
    </xf>
    <xf numFmtId="3" fontId="17" fillId="0" borderId="3" xfId="0" applyNumberFormat="1" applyFont="1" applyBorder="1" applyAlignment="1" applyProtection="1">
      <alignment horizontal="right"/>
      <protection locked="0"/>
    </xf>
    <xf numFmtId="164" fontId="49" fillId="0" borderId="3" xfId="0" applyNumberFormat="1" applyFont="1" applyBorder="1"/>
    <xf numFmtId="0" fontId="49" fillId="4" borderId="0" xfId="0" applyFont="1" applyFill="1"/>
    <xf numFmtId="164" fontId="49" fillId="4" borderId="0" xfId="0" applyNumberFormat="1" applyFont="1" applyFill="1"/>
    <xf numFmtId="3" fontId="17" fillId="4" borderId="0" xfId="0" applyNumberFormat="1" applyFont="1" applyFill="1" applyAlignment="1">
      <alignment vertical="center" wrapText="1"/>
    </xf>
    <xf numFmtId="0" fontId="49" fillId="4" borderId="3" xfId="0" applyFont="1" applyFill="1" applyBorder="1"/>
    <xf numFmtId="164" fontId="49" fillId="4" borderId="3" xfId="0" applyNumberFormat="1" applyFont="1" applyFill="1" applyBorder="1"/>
    <xf numFmtId="3" fontId="49" fillId="4" borderId="0" xfId="0" applyNumberFormat="1" applyFont="1" applyFill="1"/>
    <xf numFmtId="3" fontId="49" fillId="4" borderId="3" xfId="0" applyNumberFormat="1" applyFont="1" applyFill="1" applyBorder="1"/>
    <xf numFmtId="3" fontId="49" fillId="4" borderId="0" xfId="0" applyNumberFormat="1" applyFont="1" applyFill="1" applyAlignment="1">
      <alignment horizontal="right" vertical="center"/>
    </xf>
    <xf numFmtId="3" fontId="17" fillId="4" borderId="0" xfId="0" applyNumberFormat="1" applyFont="1" applyFill="1" applyAlignment="1">
      <alignment horizontal="right" vertical="center"/>
    </xf>
    <xf numFmtId="3" fontId="17" fillId="4" borderId="3" xfId="0" applyNumberFormat="1" applyFont="1" applyFill="1" applyBorder="1" applyAlignment="1">
      <alignment vertical="center"/>
    </xf>
    <xf numFmtId="3" fontId="17" fillId="4" borderId="6" xfId="0" applyNumberFormat="1" applyFont="1" applyFill="1" applyBorder="1" applyAlignment="1">
      <alignment horizontal="right" vertical="center"/>
    </xf>
    <xf numFmtId="3" fontId="17" fillId="4" borderId="0" xfId="0" applyNumberFormat="1" applyFont="1" applyFill="1" applyAlignment="1" applyProtection="1">
      <alignment horizontal="right"/>
      <protection locked="0"/>
    </xf>
    <xf numFmtId="3" fontId="17" fillId="4" borderId="3" xfId="0" applyNumberFormat="1" applyFont="1" applyFill="1" applyBorder="1" applyAlignment="1" applyProtection="1">
      <alignment horizontal="right"/>
      <protection locked="0"/>
    </xf>
    <xf numFmtId="0" fontId="49" fillId="0" borderId="0" xfId="0" applyFont="1" applyAlignment="1">
      <alignment horizontal="right" vertical="center"/>
    </xf>
    <xf numFmtId="164" fontId="17" fillId="0" borderId="0" xfId="0" applyNumberFormat="1" applyFont="1" applyAlignment="1">
      <alignment horizontal="right" vertical="center" wrapText="1"/>
    </xf>
    <xf numFmtId="164" fontId="17" fillId="0" borderId="9" xfId="0" applyNumberFormat="1" applyFont="1" applyBorder="1" applyAlignment="1">
      <alignment horizontal="right" vertical="center" wrapText="1"/>
    </xf>
    <xf numFmtId="164" fontId="17" fillId="0" borderId="3" xfId="0" applyNumberFormat="1" applyFont="1" applyBorder="1" applyAlignment="1">
      <alignment horizontal="right" vertical="center" wrapText="1"/>
    </xf>
    <xf numFmtId="3" fontId="17" fillId="0" borderId="0" xfId="0" applyNumberFormat="1" applyFont="1" applyAlignment="1">
      <alignment vertical="center" wrapText="1"/>
    </xf>
    <xf numFmtId="0" fontId="49" fillId="0" borderId="0" xfId="0" applyFont="1" applyAlignment="1">
      <alignment horizontal="right"/>
    </xf>
    <xf numFmtId="0" fontId="17" fillId="0" borderId="0" xfId="0" applyFont="1" applyAlignment="1">
      <alignment horizontal="right"/>
    </xf>
    <xf numFmtId="10" fontId="17" fillId="4" borderId="0" xfId="0" applyNumberFormat="1" applyFont="1" applyFill="1" applyAlignment="1" applyProtection="1">
      <alignment horizontal="right"/>
      <protection locked="0"/>
    </xf>
    <xf numFmtId="164" fontId="49" fillId="0" borderId="0" xfId="0" applyNumberFormat="1" applyFont="1" applyAlignment="1">
      <alignment horizontal="right"/>
    </xf>
    <xf numFmtId="164" fontId="49" fillId="0" borderId="3" xfId="0" applyNumberFormat="1" applyFont="1" applyBorder="1" applyAlignment="1">
      <alignment horizontal="right"/>
    </xf>
    <xf numFmtId="0" fontId="49" fillId="0" borderId="3" xfId="0" applyFont="1" applyBorder="1" applyAlignment="1">
      <alignment horizontal="right"/>
    </xf>
    <xf numFmtId="3" fontId="17" fillId="4" borderId="0" xfId="0" applyNumberFormat="1" applyFont="1" applyFill="1" applyAlignment="1">
      <alignment vertical="center"/>
    </xf>
    <xf numFmtId="165" fontId="17" fillId="4" borderId="0" xfId="0" applyNumberFormat="1" applyFont="1" applyFill="1" applyAlignment="1">
      <alignment horizontal="right" vertical="center"/>
    </xf>
    <xf numFmtId="165" fontId="17" fillId="4" borderId="3" xfId="0" applyNumberFormat="1" applyFont="1" applyFill="1" applyBorder="1" applyAlignment="1">
      <alignment horizontal="right" vertical="center"/>
    </xf>
    <xf numFmtId="0" fontId="30" fillId="16" borderId="0" xfId="0" applyFont="1" applyFill="1" applyAlignment="1">
      <alignment vertical="center"/>
    </xf>
    <xf numFmtId="3" fontId="49" fillId="0" borderId="0" xfId="0" applyNumberFormat="1" applyFont="1" applyAlignment="1">
      <alignment vertical="center"/>
    </xf>
    <xf numFmtId="2" fontId="49" fillId="0" borderId="0" xfId="0" applyNumberFormat="1" applyFont="1"/>
    <xf numFmtId="0" fontId="17" fillId="0" borderId="0" xfId="0" applyFont="1" applyAlignment="1">
      <alignment horizontal="right" vertical="center"/>
    </xf>
    <xf numFmtId="4" fontId="49" fillId="0" borderId="0" xfId="0" applyNumberFormat="1" applyFont="1"/>
    <xf numFmtId="4" fontId="17" fillId="0" borderId="0" xfId="0" applyNumberFormat="1" applyFont="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166" fontId="17" fillId="0" borderId="0" xfId="0" applyNumberFormat="1" applyFont="1" applyAlignment="1" applyProtection="1">
      <alignment horizontal="right" vertical="center"/>
      <protection locked="0"/>
    </xf>
    <xf numFmtId="166" fontId="49" fillId="0" borderId="0" xfId="0" applyNumberFormat="1" applyFont="1"/>
    <xf numFmtId="166" fontId="17" fillId="0" borderId="3" xfId="0" applyNumberFormat="1" applyFont="1" applyBorder="1" applyAlignment="1" applyProtection="1">
      <alignment horizontal="right" vertical="center"/>
      <protection locked="0"/>
    </xf>
    <xf numFmtId="166" fontId="49" fillId="4" borderId="0" xfId="0" applyNumberFormat="1" applyFont="1" applyFill="1"/>
    <xf numFmtId="0" fontId="49" fillId="4" borderId="0" xfId="0" applyFont="1" applyFill="1" applyAlignment="1">
      <alignment horizontal="right" vertical="center"/>
    </xf>
    <xf numFmtId="0" fontId="17" fillId="4" borderId="0" xfId="0" applyFont="1" applyFill="1" applyAlignment="1">
      <alignment horizontal="right" vertical="center"/>
    </xf>
    <xf numFmtId="0" fontId="49" fillId="4" borderId="3" xfId="0" applyFont="1" applyFill="1" applyBorder="1" applyAlignment="1">
      <alignment horizontal="right"/>
    </xf>
    <xf numFmtId="0" fontId="49" fillId="4" borderId="0" xfId="0" applyFont="1" applyFill="1" applyAlignment="1">
      <alignment horizontal="right"/>
    </xf>
    <xf numFmtId="0" fontId="56" fillId="16" borderId="0" xfId="0" applyFont="1" applyFill="1" applyAlignment="1">
      <alignment vertical="center"/>
    </xf>
    <xf numFmtId="1" fontId="49" fillId="0" borderId="0" xfId="0" applyNumberFormat="1" applyFont="1"/>
    <xf numFmtId="1" fontId="49" fillId="0" borderId="3" xfId="0" applyNumberFormat="1" applyFont="1" applyBorder="1"/>
    <xf numFmtId="164" fontId="49" fillId="4" borderId="0" xfId="0" applyNumberFormat="1" applyFont="1" applyFill="1" applyAlignment="1">
      <alignment horizontal="right"/>
    </xf>
    <xf numFmtId="2" fontId="49" fillId="0" borderId="0" xfId="0" applyNumberFormat="1" applyFont="1" applyAlignment="1">
      <alignment horizontal="right"/>
    </xf>
    <xf numFmtId="2" fontId="49" fillId="4" borderId="0" xfId="0" applyNumberFormat="1" applyFont="1" applyFill="1" applyAlignment="1">
      <alignment horizontal="right"/>
    </xf>
    <xf numFmtId="4" fontId="17" fillId="0" borderId="0" xfId="0" applyNumberFormat="1" applyFont="1" applyAlignment="1" applyProtection="1">
      <alignment horizontal="right"/>
      <protection locked="0"/>
    </xf>
    <xf numFmtId="4" fontId="17" fillId="0" borderId="3" xfId="0" applyNumberFormat="1" applyFont="1" applyBorder="1" applyAlignment="1" applyProtection="1">
      <alignment horizontal="right"/>
      <protection locked="0"/>
    </xf>
    <xf numFmtId="164" fontId="17" fillId="4" borderId="0" xfId="0" applyNumberFormat="1" applyFont="1" applyFill="1" applyAlignment="1">
      <alignment horizontal="right" vertical="center" wrapText="1"/>
    </xf>
    <xf numFmtId="4" fontId="49" fillId="0" borderId="0" xfId="0" applyNumberFormat="1" applyFont="1" applyAlignment="1">
      <alignment horizontal="right"/>
    </xf>
    <xf numFmtId="4" fontId="49" fillId="0" borderId="3" xfId="0" applyNumberFormat="1" applyFont="1" applyBorder="1" applyAlignment="1">
      <alignment horizontal="right"/>
    </xf>
    <xf numFmtId="2" fontId="49" fillId="4" borderId="0" xfId="0" applyNumberFormat="1" applyFont="1" applyFill="1"/>
    <xf numFmtId="2" fontId="49" fillId="4" borderId="3" xfId="0" applyNumberFormat="1" applyFont="1" applyFill="1" applyBorder="1"/>
    <xf numFmtId="2" fontId="49" fillId="0" borderId="3" xfId="0" applyNumberFormat="1" applyFont="1" applyBorder="1"/>
    <xf numFmtId="2" fontId="49" fillId="4" borderId="3" xfId="0" applyNumberFormat="1" applyFont="1" applyFill="1" applyBorder="1" applyAlignment="1">
      <alignment horizontal="right"/>
    </xf>
    <xf numFmtId="9" fontId="17" fillId="4" borderId="0" xfId="0" applyNumberFormat="1" applyFont="1" applyFill="1" applyAlignment="1">
      <alignment horizontal="right" vertical="center"/>
    </xf>
    <xf numFmtId="9" fontId="49" fillId="4" borderId="0" xfId="0" applyNumberFormat="1" applyFont="1" applyFill="1"/>
    <xf numFmtId="9" fontId="49" fillId="4" borderId="0" xfId="0" applyNumberFormat="1" applyFont="1" applyFill="1" applyAlignment="1">
      <alignment horizontal="right"/>
    </xf>
    <xf numFmtId="9" fontId="49" fillId="4" borderId="3" xfId="0" applyNumberFormat="1" applyFont="1" applyFill="1" applyBorder="1"/>
    <xf numFmtId="9" fontId="49" fillId="0" borderId="3" xfId="0" applyNumberFormat="1" applyFont="1" applyBorder="1"/>
    <xf numFmtId="9" fontId="49" fillId="4" borderId="3" xfId="0" applyNumberFormat="1" applyFont="1" applyFill="1" applyBorder="1" applyAlignment="1">
      <alignment horizontal="right"/>
    </xf>
    <xf numFmtId="3" fontId="17" fillId="0" borderId="0" xfId="0" applyNumberFormat="1" applyFont="1" applyAlignment="1">
      <alignment horizontal="right" vertical="center"/>
    </xf>
    <xf numFmtId="169" fontId="17" fillId="0" borderId="0" xfId="0" applyNumberFormat="1" applyFont="1" applyAlignment="1">
      <alignment horizontal="right" wrapText="1"/>
    </xf>
    <xf numFmtId="178" fontId="17" fillId="0" borderId="0" xfId="0" applyNumberFormat="1" applyFont="1" applyAlignment="1">
      <alignment horizontal="right" wrapText="1"/>
    </xf>
    <xf numFmtId="0" fontId="30" fillId="0" borderId="18" xfId="0" applyFont="1" applyBorder="1" applyAlignment="1">
      <alignment vertical="center" wrapText="1"/>
    </xf>
    <xf numFmtId="164" fontId="49" fillId="0" borderId="18" xfId="0" applyNumberFormat="1" applyFont="1" applyBorder="1"/>
    <xf numFmtId="164" fontId="49" fillId="0" borderId="19" xfId="0" applyNumberFormat="1" applyFont="1" applyBorder="1"/>
    <xf numFmtId="0" fontId="25" fillId="4" borderId="0" xfId="0" applyFont="1" applyFill="1" applyAlignment="1">
      <alignment horizontal="left" vertical="center"/>
    </xf>
    <xf numFmtId="0" fontId="15" fillId="3" borderId="0" xfId="0" applyFont="1" applyFill="1" applyAlignment="1">
      <alignment horizontal="left"/>
    </xf>
    <xf numFmtId="0" fontId="17" fillId="0" borderId="0" xfId="0" applyFont="1" applyAlignment="1">
      <alignment horizontal="left" vertical="top" wrapText="1"/>
    </xf>
    <xf numFmtId="1" fontId="17" fillId="4" borderId="0" xfId="0" applyNumberFormat="1" applyFont="1" applyFill="1"/>
    <xf numFmtId="0" fontId="47" fillId="4" borderId="0" xfId="0" applyFont="1" applyFill="1"/>
    <xf numFmtId="0" fontId="17" fillId="4" borderId="0" xfId="0" applyFont="1" applyFill="1"/>
    <xf numFmtId="0" fontId="16" fillId="8" borderId="4" xfId="0" applyFont="1" applyFill="1" applyBorder="1" applyAlignment="1">
      <alignment wrapText="1"/>
    </xf>
    <xf numFmtId="1" fontId="16" fillId="8" borderId="4" xfId="0" applyNumberFormat="1" applyFont="1" applyFill="1" applyBorder="1" applyAlignment="1">
      <alignment horizontal="center" vertical="center" wrapText="1"/>
    </xf>
    <xf numFmtId="0" fontId="16" fillId="4" borderId="4" xfId="0" applyFont="1" applyFill="1" applyBorder="1" applyAlignment="1">
      <alignment wrapText="1"/>
    </xf>
    <xf numFmtId="1" fontId="16" fillId="4" borderId="4" xfId="0" applyNumberFormat="1" applyFont="1" applyFill="1" applyBorder="1" applyAlignment="1">
      <alignment horizontal="right" wrapText="1"/>
    </xf>
    <xf numFmtId="1" fontId="16" fillId="0" borderId="4" xfId="0" applyNumberFormat="1" applyFont="1" applyBorder="1" applyAlignment="1">
      <alignment horizontal="right" wrapText="1"/>
    </xf>
    <xf numFmtId="1" fontId="17" fillId="0" borderId="0" xfId="0" applyNumberFormat="1" applyFont="1"/>
    <xf numFmtId="1" fontId="17" fillId="0" borderId="0" xfId="0" applyNumberFormat="1" applyFont="1" applyAlignment="1">
      <alignment horizontal="right"/>
    </xf>
    <xf numFmtId="0" fontId="17" fillId="0" borderId="0" xfId="0" applyFont="1"/>
    <xf numFmtId="0" fontId="47" fillId="0" borderId="0" xfId="0" applyFont="1"/>
    <xf numFmtId="0" fontId="16" fillId="0" borderId="4" xfId="0" applyFont="1" applyBorder="1" applyAlignment="1">
      <alignment wrapText="1"/>
    </xf>
    <xf numFmtId="0" fontId="57" fillId="4" borderId="0" xfId="0" applyFont="1" applyFill="1"/>
    <xf numFmtId="0" fontId="31" fillId="4" borderId="0" xfId="0" applyFont="1" applyFill="1"/>
    <xf numFmtId="1" fontId="25" fillId="0" borderId="0" xfId="0" applyNumberFormat="1" applyFont="1" applyAlignment="1">
      <alignment horizontal="right"/>
    </xf>
    <xf numFmtId="0" fontId="24" fillId="4" borderId="4" xfId="0" applyFont="1" applyFill="1" applyBorder="1" applyAlignment="1">
      <alignment wrapText="1"/>
    </xf>
    <xf numFmtId="1" fontId="24" fillId="0" borderId="4" xfId="0" applyNumberFormat="1" applyFont="1" applyBorder="1" applyAlignment="1">
      <alignment horizontal="right" wrapText="1"/>
    </xf>
    <xf numFmtId="0" fontId="31" fillId="0" borderId="0" xfId="0" applyFont="1"/>
    <xf numFmtId="164" fontId="17" fillId="0" borderId="0" xfId="0" applyNumberFormat="1" applyFont="1"/>
    <xf numFmtId="1" fontId="47" fillId="0" borderId="0" xfId="0" applyNumberFormat="1" applyFont="1"/>
    <xf numFmtId="0" fontId="47" fillId="0" borderId="0" xfId="0" applyFont="1" applyAlignment="1">
      <alignment horizontal="right"/>
    </xf>
    <xf numFmtId="3" fontId="17" fillId="4" borderId="0" xfId="0" applyNumberFormat="1" applyFont="1" applyFill="1"/>
    <xf numFmtId="166" fontId="17" fillId="4" borderId="0" xfId="0" applyNumberFormat="1" applyFont="1" applyFill="1"/>
    <xf numFmtId="164" fontId="17" fillId="4" borderId="0" xfId="0" applyNumberFormat="1" applyFont="1" applyFill="1"/>
    <xf numFmtId="0" fontId="48" fillId="4" borderId="0" xfId="0" applyFont="1" applyFill="1" applyAlignment="1">
      <alignment horizontal="right" wrapText="1"/>
    </xf>
    <xf numFmtId="1" fontId="16" fillId="8" borderId="4" xfId="0" applyNumberFormat="1" applyFont="1" applyFill="1" applyBorder="1" applyAlignment="1">
      <alignment horizontal="right" wrapText="1"/>
    </xf>
    <xf numFmtId="169" fontId="49" fillId="0" borderId="0" xfId="0" applyNumberFormat="1" applyFont="1"/>
    <xf numFmtId="169" fontId="17" fillId="0" borderId="0" xfId="0" applyNumberFormat="1" applyFont="1"/>
    <xf numFmtId="164" fontId="47" fillId="0" borderId="0" xfId="0" applyNumberFormat="1" applyFont="1"/>
    <xf numFmtId="0" fontId="17" fillId="4" borderId="0" xfId="0" applyFont="1" applyFill="1" applyAlignment="1">
      <alignment vertical="top"/>
    </xf>
    <xf numFmtId="0" fontId="17" fillId="0" borderId="0" xfId="0" applyFont="1" applyAlignment="1">
      <alignment wrapText="1"/>
    </xf>
    <xf numFmtId="0" fontId="52" fillId="0" borderId="0" xfId="0" applyFont="1" applyAlignment="1">
      <alignment wrapText="1"/>
    </xf>
    <xf numFmtId="164" fontId="25" fillId="0" borderId="0" xfId="0" applyNumberFormat="1" applyFont="1"/>
    <xf numFmtId="0" fontId="37" fillId="4" borderId="0" xfId="0" applyFont="1" applyFill="1"/>
    <xf numFmtId="166" fontId="17" fillId="0" borderId="0" xfId="0" applyNumberFormat="1" applyFont="1"/>
    <xf numFmtId="0" fontId="52" fillId="4" borderId="0" xfId="0" applyFont="1" applyFill="1"/>
    <xf numFmtId="164" fontId="31" fillId="0" borderId="0" xfId="0" applyNumberFormat="1" applyFont="1"/>
    <xf numFmtId="164" fontId="31" fillId="0" borderId="0" xfId="0" applyNumberFormat="1" applyFont="1" applyAlignment="1">
      <alignment horizontal="right"/>
    </xf>
    <xf numFmtId="0" fontId="58" fillId="4" borderId="0" xfId="0" applyFont="1" applyFill="1"/>
    <xf numFmtId="0" fontId="17" fillId="4" borderId="0" xfId="0" applyFont="1" applyFill="1" applyAlignment="1">
      <alignment wrapText="1"/>
    </xf>
    <xf numFmtId="164" fontId="47" fillId="0" borderId="0" xfId="0" applyNumberFormat="1" applyFont="1" applyAlignment="1">
      <alignment horizontal="right"/>
    </xf>
    <xf numFmtId="1" fontId="49" fillId="0" borderId="0" xfId="0" applyNumberFormat="1" applyFont="1" applyAlignment="1">
      <alignment horizontal="right" vertical="center"/>
    </xf>
    <xf numFmtId="1" fontId="16" fillId="0" borderId="4" xfId="0" applyNumberFormat="1" applyFont="1" applyBorder="1" applyAlignment="1">
      <alignment horizontal="left"/>
    </xf>
    <xf numFmtId="1" fontId="52" fillId="0" borderId="0" xfId="0" applyNumberFormat="1" applyFont="1"/>
    <xf numFmtId="0" fontId="58" fillId="0" borderId="0" xfId="0" applyFont="1"/>
    <xf numFmtId="164" fontId="59" fillId="0" borderId="0" xfId="0" applyNumberFormat="1" applyFont="1" applyAlignment="1">
      <alignment horizontal="right" vertical="center"/>
    </xf>
    <xf numFmtId="164" fontId="52" fillId="0" borderId="0" xfId="0" applyNumberFormat="1" applyFont="1"/>
    <xf numFmtId="164" fontId="52" fillId="0" borderId="0" xfId="0" applyNumberFormat="1" applyFont="1" applyAlignment="1">
      <alignment horizontal="right"/>
    </xf>
    <xf numFmtId="0" fontId="58" fillId="0" borderId="0" xfId="0" applyFont="1" applyAlignment="1">
      <alignment horizontal="right"/>
    </xf>
    <xf numFmtId="1" fontId="52" fillId="0" borderId="0" xfId="0" applyNumberFormat="1" applyFont="1" applyAlignment="1">
      <alignment horizontal="right"/>
    </xf>
    <xf numFmtId="0" fontId="54" fillId="0" borderId="0" xfId="0" applyFont="1"/>
    <xf numFmtId="0" fontId="31" fillId="0" borderId="0" xfId="0" applyFont="1" applyAlignment="1">
      <alignment horizontal="right"/>
    </xf>
    <xf numFmtId="1" fontId="58" fillId="4" borderId="0" xfId="0" applyNumberFormat="1" applyFont="1" applyFill="1"/>
    <xf numFmtId="1" fontId="58" fillId="4" borderId="0" xfId="0" applyNumberFormat="1" applyFont="1" applyFill="1" applyAlignment="1">
      <alignment horizontal="right"/>
    </xf>
    <xf numFmtId="0" fontId="58" fillId="4" borderId="0" xfId="0" applyFont="1" applyFill="1" applyAlignment="1">
      <alignment horizontal="right"/>
    </xf>
    <xf numFmtId="1" fontId="47" fillId="4" borderId="0" xfId="0" applyNumberFormat="1" applyFont="1" applyFill="1"/>
    <xf numFmtId="1" fontId="52" fillId="4" borderId="0" xfId="0" applyNumberFormat="1" applyFont="1" applyFill="1"/>
    <xf numFmtId="1" fontId="31" fillId="0" borderId="0" xfId="0" applyNumberFormat="1" applyFont="1"/>
    <xf numFmtId="1" fontId="17" fillId="4" borderId="0" xfId="0" quotePrefix="1" applyNumberFormat="1" applyFont="1" applyFill="1" applyAlignment="1">
      <alignment horizontal="right"/>
    </xf>
    <xf numFmtId="1" fontId="17" fillId="0" borderId="0" xfId="0" quotePrefix="1" applyNumberFormat="1" applyFont="1" applyAlignment="1">
      <alignment horizontal="right"/>
    </xf>
    <xf numFmtId="0" fontId="57" fillId="0" borderId="0" xfId="0" applyFont="1"/>
    <xf numFmtId="1" fontId="17" fillId="4" borderId="0" xfId="0" applyNumberFormat="1" applyFont="1" applyFill="1" applyAlignment="1">
      <alignment horizontal="right" wrapText="1"/>
    </xf>
    <xf numFmtId="1" fontId="17" fillId="0" borderId="0" xfId="0" applyNumberFormat="1" applyFont="1" applyAlignment="1">
      <alignment horizontal="right" wrapText="1"/>
    </xf>
    <xf numFmtId="0" fontId="48" fillId="0" borderId="0" xfId="0" applyFont="1" applyAlignment="1">
      <alignment horizontal="right" wrapText="1"/>
    </xf>
    <xf numFmtId="0" fontId="48" fillId="8" borderId="4" xfId="0" applyFont="1" applyFill="1" applyBorder="1" applyAlignment="1">
      <alignment horizontal="right" wrapText="1"/>
    </xf>
    <xf numFmtId="49" fontId="17" fillId="4" borderId="0" xfId="0" applyNumberFormat="1" applyFont="1" applyFill="1" applyAlignment="1">
      <alignment horizontal="right" wrapText="1"/>
    </xf>
    <xf numFmtId="9" fontId="17" fillId="4" borderId="0" xfId="0" applyNumberFormat="1" applyFont="1" applyFill="1" applyAlignment="1">
      <alignment horizontal="right" wrapText="1"/>
    </xf>
    <xf numFmtId="3" fontId="17" fillId="4" borderId="0" xfId="0" applyNumberFormat="1" applyFont="1" applyFill="1" applyAlignment="1">
      <alignment horizontal="right" wrapText="1"/>
    </xf>
    <xf numFmtId="169" fontId="47" fillId="4" borderId="0" xfId="0" applyNumberFormat="1" applyFont="1" applyFill="1" applyAlignment="1">
      <alignment horizontal="right" wrapText="1"/>
    </xf>
    <xf numFmtId="0" fontId="16" fillId="4" borderId="0" xfId="0" applyFont="1" applyFill="1" applyAlignment="1">
      <alignment wrapText="1"/>
    </xf>
    <xf numFmtId="1" fontId="16" fillId="4" borderId="0" xfId="0" applyNumberFormat="1" applyFont="1" applyFill="1" applyAlignment="1">
      <alignment horizontal="right" wrapText="1"/>
    </xf>
    <xf numFmtId="0" fontId="47" fillId="4" borderId="0" xfId="0" applyFont="1" applyFill="1" applyAlignment="1">
      <alignment horizontal="right" wrapText="1"/>
    </xf>
    <xf numFmtId="14" fontId="47" fillId="4" borderId="0" xfId="0" quotePrefix="1" applyNumberFormat="1" applyFont="1" applyFill="1" applyAlignment="1">
      <alignment horizontal="right" wrapText="1"/>
    </xf>
    <xf numFmtId="1" fontId="17" fillId="4" borderId="0" xfId="0" applyNumberFormat="1" applyFont="1" applyFill="1" applyAlignment="1">
      <alignment horizontal="right"/>
    </xf>
    <xf numFmtId="0" fontId="3" fillId="3" borderId="0" xfId="0" applyFont="1" applyFill="1" applyAlignment="1">
      <alignment vertical="top"/>
    </xf>
    <xf numFmtId="0" fontId="3" fillId="3" borderId="0" xfId="0" applyFont="1" applyFill="1" applyAlignment="1">
      <alignment horizontal="left" vertical="top"/>
    </xf>
    <xf numFmtId="0" fontId="18" fillId="6" borderId="1" xfId="0" applyFont="1" applyFill="1" applyBorder="1" applyAlignment="1">
      <alignment vertical="top"/>
    </xf>
    <xf numFmtId="0" fontId="3" fillId="4" borderId="0" xfId="0" applyFont="1" applyFill="1" applyAlignment="1">
      <alignment horizontal="left" vertical="top"/>
    </xf>
    <xf numFmtId="0" fontId="60" fillId="4" borderId="10" xfId="0" applyFont="1" applyFill="1" applyBorder="1" applyAlignment="1">
      <alignment vertical="top" wrapText="1"/>
    </xf>
    <xf numFmtId="0" fontId="60" fillId="4" borderId="10" xfId="0" applyFont="1" applyFill="1" applyBorder="1" applyAlignment="1">
      <alignment horizontal="left" vertical="top" wrapText="1"/>
    </xf>
    <xf numFmtId="0" fontId="60" fillId="4" borderId="10" xfId="0" applyFont="1" applyFill="1" applyBorder="1" applyAlignment="1">
      <alignment horizontal="left" vertical="top"/>
    </xf>
    <xf numFmtId="0" fontId="34" fillId="4" borderId="10" xfId="0" applyFont="1" applyFill="1" applyBorder="1" applyAlignment="1">
      <alignment horizontal="left" vertical="top"/>
    </xf>
    <xf numFmtId="0" fontId="37" fillId="4" borderId="20" xfId="0" applyFont="1" applyFill="1" applyBorder="1" applyAlignment="1">
      <alignment vertical="top" wrapText="1"/>
    </xf>
    <xf numFmtId="0" fontId="61" fillId="4" borderId="20" xfId="0" applyFont="1" applyFill="1" applyBorder="1" applyAlignment="1">
      <alignment horizontal="left" vertical="top" wrapText="1"/>
    </xf>
    <xf numFmtId="0" fontId="60" fillId="4" borderId="20" xfId="0" applyFont="1" applyFill="1" applyBorder="1" applyAlignment="1">
      <alignment horizontal="left" vertical="top"/>
    </xf>
    <xf numFmtId="0" fontId="37" fillId="4" borderId="20" xfId="0" applyFont="1" applyFill="1" applyBorder="1" applyAlignment="1">
      <alignment horizontal="left" vertical="top"/>
    </xf>
    <xf numFmtId="14" fontId="37" fillId="4" borderId="20" xfId="0" applyNumberFormat="1" applyFont="1" applyFill="1" applyBorder="1" applyAlignment="1">
      <alignment horizontal="left" vertical="top"/>
    </xf>
    <xf numFmtId="0" fontId="30" fillId="4" borderId="20" xfId="0" applyFont="1" applyFill="1" applyBorder="1" applyAlignment="1">
      <alignment horizontal="left" vertical="top"/>
    </xf>
    <xf numFmtId="0" fontId="60" fillId="4" borderId="0" xfId="0" applyFont="1" applyFill="1" applyAlignment="1">
      <alignment vertical="top" wrapText="1"/>
    </xf>
    <xf numFmtId="0" fontId="61" fillId="4" borderId="0" xfId="0" applyFont="1" applyFill="1" applyAlignment="1">
      <alignment horizontal="left" vertical="top" wrapText="1"/>
    </xf>
    <xf numFmtId="0" fontId="60" fillId="4" borderId="0" xfId="0" applyFont="1" applyFill="1" applyAlignment="1">
      <alignment horizontal="left" vertical="top"/>
    </xf>
    <xf numFmtId="0" fontId="37" fillId="4" borderId="0" xfId="0" applyFont="1" applyFill="1" applyAlignment="1">
      <alignment horizontal="left" vertical="top"/>
    </xf>
    <xf numFmtId="14" fontId="37" fillId="4" borderId="0" xfId="0" applyNumberFormat="1" applyFont="1" applyFill="1" applyAlignment="1">
      <alignment horizontal="left" vertical="top"/>
    </xf>
    <xf numFmtId="0" fontId="30" fillId="4" borderId="0" xfId="0" applyFont="1" applyFill="1" applyAlignment="1">
      <alignment horizontal="left" vertical="top"/>
    </xf>
    <xf numFmtId="0" fontId="62" fillId="4" borderId="10" xfId="0" applyFont="1" applyFill="1" applyBorder="1" applyAlignment="1">
      <alignment vertical="top" wrapText="1"/>
    </xf>
    <xf numFmtId="0" fontId="62" fillId="4" borderId="10" xfId="0" applyFont="1" applyFill="1" applyBorder="1" applyAlignment="1">
      <alignment horizontal="left" vertical="top" wrapText="1"/>
    </xf>
    <xf numFmtId="0" fontId="62" fillId="4" borderId="10" xfId="0" applyFont="1" applyFill="1" applyBorder="1" applyAlignment="1">
      <alignment horizontal="left" vertical="top"/>
    </xf>
    <xf numFmtId="0" fontId="63" fillId="4" borderId="10" xfId="0" applyFont="1" applyFill="1" applyBorder="1" applyAlignment="1">
      <alignment horizontal="left" vertical="top"/>
    </xf>
    <xf numFmtId="14" fontId="63" fillId="4" borderId="10" xfId="0" applyNumberFormat="1" applyFont="1" applyFill="1" applyBorder="1" applyAlignment="1">
      <alignment horizontal="left" vertical="top"/>
    </xf>
    <xf numFmtId="0" fontId="63" fillId="4" borderId="0" xfId="0" applyFont="1" applyFill="1" applyAlignment="1">
      <alignment vertical="top" wrapText="1"/>
    </xf>
    <xf numFmtId="0" fontId="63" fillId="4" borderId="0" xfId="0" applyFont="1" applyFill="1" applyAlignment="1">
      <alignment horizontal="left" vertical="top" wrapText="1"/>
    </xf>
    <xf numFmtId="0" fontId="59" fillId="4" borderId="0" xfId="0" applyFont="1" applyFill="1" applyAlignment="1">
      <alignment horizontal="left" vertical="top" wrapText="1"/>
    </xf>
    <xf numFmtId="0" fontId="63" fillId="4" borderId="0" xfId="0" applyFont="1" applyFill="1" applyAlignment="1">
      <alignment horizontal="left" vertical="top"/>
    </xf>
    <xf numFmtId="14" fontId="63" fillId="4" borderId="0" xfId="0" applyNumberFormat="1" applyFont="1" applyFill="1" applyAlignment="1">
      <alignment horizontal="left" vertical="top"/>
    </xf>
    <xf numFmtId="0" fontId="37" fillId="4" borderId="21" xfId="0" applyFont="1" applyFill="1" applyBorder="1" applyAlignment="1">
      <alignment vertical="top" wrapText="1"/>
    </xf>
    <xf numFmtId="0" fontId="61" fillId="4" borderId="21" xfId="0" applyFont="1" applyFill="1" applyBorder="1" applyAlignment="1">
      <alignment horizontal="left" vertical="top" wrapText="1"/>
    </xf>
    <xf numFmtId="0" fontId="60" fillId="4" borderId="21" xfId="0" applyFont="1" applyFill="1" applyBorder="1" applyAlignment="1">
      <alignment horizontal="left" vertical="top"/>
    </xf>
    <xf numFmtId="0" fontId="37" fillId="4" borderId="21" xfId="0" applyFont="1" applyFill="1" applyBorder="1" applyAlignment="1">
      <alignment horizontal="left" vertical="top"/>
    </xf>
    <xf numFmtId="14" fontId="37" fillId="4" borderId="21" xfId="0" applyNumberFormat="1" applyFont="1" applyFill="1" applyBorder="1" applyAlignment="1">
      <alignment horizontal="left" vertical="top"/>
    </xf>
    <xf numFmtId="0" fontId="30" fillId="4" borderId="21" xfId="0" applyFont="1" applyFill="1" applyBorder="1" applyAlignment="1">
      <alignment horizontal="left" vertical="top"/>
    </xf>
    <xf numFmtId="0" fontId="37" fillId="4" borderId="10" xfId="0" applyFont="1" applyFill="1" applyBorder="1" applyAlignment="1">
      <alignment vertical="top" wrapText="1"/>
    </xf>
    <xf numFmtId="0" fontId="37" fillId="4" borderId="10" xfId="0" applyFont="1" applyFill="1" applyBorder="1" applyAlignment="1">
      <alignment horizontal="left" vertical="top" wrapText="1"/>
    </xf>
    <xf numFmtId="0" fontId="59" fillId="4" borderId="10" xfId="0" applyFont="1" applyFill="1" applyBorder="1" applyAlignment="1">
      <alignment horizontal="left" vertical="top" wrapText="1"/>
    </xf>
    <xf numFmtId="0" fontId="37" fillId="4" borderId="10" xfId="0" applyFont="1" applyFill="1" applyBorder="1" applyAlignment="1">
      <alignment horizontal="left" vertical="top"/>
    </xf>
    <xf numFmtId="14" fontId="37" fillId="4" borderId="10" xfId="0" applyNumberFormat="1" applyFont="1" applyFill="1" applyBorder="1" applyAlignment="1">
      <alignment horizontal="left" vertical="top"/>
    </xf>
    <xf numFmtId="0" fontId="30" fillId="4" borderId="10" xfId="0" applyFont="1" applyFill="1" applyBorder="1" applyAlignment="1">
      <alignment horizontal="left" vertical="top"/>
    </xf>
    <xf numFmtId="0" fontId="37" fillId="4" borderId="0" xfId="0" applyFont="1" applyFill="1" applyAlignment="1">
      <alignment vertical="top" wrapText="1"/>
    </xf>
    <xf numFmtId="0" fontId="37" fillId="4" borderId="0" xfId="0" applyFont="1" applyFill="1" applyAlignment="1">
      <alignment horizontal="left" vertical="top" wrapText="1"/>
    </xf>
    <xf numFmtId="0" fontId="30" fillId="4" borderId="0" xfId="0" applyFont="1" applyFill="1" applyAlignment="1">
      <alignment vertical="top" wrapText="1"/>
    </xf>
    <xf numFmtId="0" fontId="59" fillId="0" borderId="0" xfId="0" applyFont="1" applyAlignment="1">
      <alignment horizontal="left" vertical="top" wrapText="1"/>
    </xf>
    <xf numFmtId="0" fontId="61" fillId="4" borderId="10" xfId="0" applyFont="1" applyFill="1" applyBorder="1" applyAlignment="1">
      <alignment horizontal="left" vertical="top" wrapText="1"/>
    </xf>
    <xf numFmtId="0" fontId="60" fillId="4" borderId="20" xfId="0" applyFont="1" applyFill="1" applyBorder="1" applyAlignment="1">
      <alignment vertical="top" wrapText="1"/>
    </xf>
    <xf numFmtId="0" fontId="37" fillId="4" borderId="0" xfId="0" applyFont="1" applyFill="1" applyAlignment="1">
      <alignment vertical="top"/>
    </xf>
    <xf numFmtId="0" fontId="60" fillId="4" borderId="0" xfId="0" applyFont="1" applyFill="1" applyAlignment="1">
      <alignment horizontal="left" vertical="top" wrapText="1"/>
    </xf>
    <xf numFmtId="0" fontId="37" fillId="4" borderId="10" xfId="0" applyFont="1" applyFill="1" applyBorder="1" applyAlignment="1">
      <alignment vertical="top"/>
    </xf>
    <xf numFmtId="0" fontId="37" fillId="4" borderId="21" xfId="0" applyFont="1" applyFill="1" applyBorder="1" applyAlignment="1">
      <alignment vertical="top"/>
    </xf>
    <xf numFmtId="0" fontId="64" fillId="4" borderId="0" xfId="0" applyFont="1" applyFill="1" applyAlignment="1">
      <alignment horizontal="left" vertical="top"/>
    </xf>
    <xf numFmtId="0" fontId="65" fillId="4" borderId="10" xfId="0" applyFont="1" applyFill="1" applyBorder="1" applyAlignment="1">
      <alignment vertical="top"/>
    </xf>
    <xf numFmtId="0" fontId="66" fillId="4" borderId="10" xfId="0" applyFont="1" applyFill="1" applyBorder="1" applyAlignment="1">
      <alignment horizontal="left" vertical="top" wrapText="1"/>
    </xf>
    <xf numFmtId="0" fontId="57" fillId="4" borderId="0" xfId="0" applyFont="1" applyFill="1" applyAlignment="1">
      <alignment horizontal="left" vertical="top"/>
    </xf>
    <xf numFmtId="0" fontId="65" fillId="4" borderId="0" xfId="0" applyFont="1" applyFill="1" applyAlignment="1">
      <alignment vertical="top"/>
    </xf>
    <xf numFmtId="0" fontId="66" fillId="4" borderId="0" xfId="0" applyFont="1" applyFill="1" applyAlignment="1">
      <alignment horizontal="left" vertical="top" wrapText="1"/>
    </xf>
    <xf numFmtId="0" fontId="37" fillId="4" borderId="20" xfId="0" applyFont="1" applyFill="1" applyBorder="1" applyAlignment="1">
      <alignment vertical="top"/>
    </xf>
    <xf numFmtId="0" fontId="65" fillId="4" borderId="21" xfId="0" applyFont="1" applyFill="1" applyBorder="1" applyAlignment="1">
      <alignment vertical="top"/>
    </xf>
    <xf numFmtId="0" fontId="67" fillId="4" borderId="21" xfId="0" applyFont="1" applyFill="1" applyBorder="1" applyAlignment="1">
      <alignment horizontal="left" vertical="top"/>
    </xf>
    <xf numFmtId="0" fontId="59" fillId="4" borderId="21" xfId="0" applyFont="1" applyFill="1" applyBorder="1" applyAlignment="1">
      <alignment horizontal="left" vertical="top"/>
    </xf>
    <xf numFmtId="14" fontId="63" fillId="4" borderId="21" xfId="0" applyNumberFormat="1" applyFont="1" applyFill="1" applyBorder="1" applyAlignment="1">
      <alignment horizontal="left" vertical="top"/>
    </xf>
    <xf numFmtId="0" fontId="63" fillId="4" borderId="21" xfId="0" applyFont="1" applyFill="1" applyBorder="1" applyAlignment="1">
      <alignment horizontal="left" vertical="top"/>
    </xf>
    <xf numFmtId="0" fontId="57" fillId="4" borderId="0" xfId="0" applyFont="1" applyFill="1" applyAlignment="1">
      <alignment horizontal="left" wrapText="1"/>
    </xf>
    <xf numFmtId="0" fontId="57" fillId="4" borderId="0" xfId="0" applyFont="1" applyFill="1" applyAlignment="1">
      <alignment horizontal="left"/>
    </xf>
    <xf numFmtId="0" fontId="58" fillId="4" borderId="0" xfId="0" applyFont="1" applyFill="1" applyAlignment="1">
      <alignment horizontal="left"/>
    </xf>
    <xf numFmtId="0" fontId="68" fillId="4" borderId="0" xfId="0" applyFont="1" applyFill="1" applyAlignment="1">
      <alignment horizontal="left"/>
    </xf>
    <xf numFmtId="0" fontId="57" fillId="0" borderId="0" xfId="0" applyFont="1" applyAlignment="1">
      <alignment horizontal="left" wrapText="1"/>
    </xf>
    <xf numFmtId="0" fontId="57" fillId="0" borderId="0" xfId="0" applyFont="1" applyAlignment="1">
      <alignment horizontal="left"/>
    </xf>
    <xf numFmtId="0" fontId="58" fillId="0" borderId="0" xfId="0" applyFont="1" applyAlignment="1">
      <alignment horizontal="left"/>
    </xf>
    <xf numFmtId="0" fontId="68" fillId="0" borderId="0" xfId="0" applyFont="1" applyAlignment="1">
      <alignment horizontal="left"/>
    </xf>
    <xf numFmtId="0" fontId="69" fillId="3" borderId="0" xfId="0" applyFont="1" applyFill="1"/>
    <xf numFmtId="0" fontId="70" fillId="3" borderId="0" xfId="0" applyFont="1" applyFill="1"/>
    <xf numFmtId="0" fontId="40" fillId="4" borderId="0" xfId="0" applyFont="1" applyFill="1" applyAlignment="1">
      <alignment horizontal="right" vertical="center"/>
    </xf>
    <xf numFmtId="0" fontId="52" fillId="4" borderId="0" xfId="0" applyFont="1" applyFill="1" applyAlignment="1">
      <alignment horizontal="right" vertical="center"/>
    </xf>
    <xf numFmtId="0" fontId="24" fillId="4" borderId="12" xfId="0" applyFont="1" applyFill="1" applyBorder="1" applyAlignment="1">
      <alignment horizontal="left" vertical="center"/>
    </xf>
    <xf numFmtId="0" fontId="24" fillId="4" borderId="12" xfId="0" applyFont="1" applyFill="1" applyBorder="1" applyAlignment="1">
      <alignment horizontal="right" vertical="center"/>
    </xf>
    <xf numFmtId="0" fontId="53" fillId="4" borderId="12" xfId="0" applyFont="1" applyFill="1" applyBorder="1" applyAlignment="1">
      <alignment horizontal="right" vertical="center"/>
    </xf>
    <xf numFmtId="3" fontId="25" fillId="4" borderId="0" xfId="0" applyNumberFormat="1" applyFont="1" applyFill="1" applyAlignment="1" applyProtection="1">
      <alignment vertical="top" wrapText="1"/>
      <protection locked="0"/>
    </xf>
    <xf numFmtId="3" fontId="54" fillId="4" borderId="0" xfId="0" applyNumberFormat="1" applyFont="1" applyFill="1" applyAlignment="1" applyProtection="1">
      <alignment vertical="top" wrapText="1"/>
      <protection locked="0"/>
    </xf>
    <xf numFmtId="166" fontId="25" fillId="4" borderId="12" xfId="0" applyNumberFormat="1" applyFont="1" applyFill="1" applyBorder="1" applyAlignment="1" applyProtection="1">
      <alignment vertical="top" wrapText="1"/>
      <protection locked="0"/>
    </xf>
    <xf numFmtId="3" fontId="25" fillId="4" borderId="12" xfId="0" applyNumberFormat="1" applyFont="1" applyFill="1" applyBorder="1" applyAlignment="1" applyProtection="1">
      <alignment vertical="top" wrapText="1"/>
      <protection locked="0"/>
    </xf>
    <xf numFmtId="3" fontId="54" fillId="4" borderId="12" xfId="0" applyNumberFormat="1" applyFont="1" applyFill="1" applyBorder="1" applyAlignment="1" applyProtection="1">
      <alignment vertical="top" wrapText="1"/>
      <protection locked="0"/>
    </xf>
    <xf numFmtId="3" fontId="25" fillId="4" borderId="0" xfId="0" applyNumberFormat="1" applyFont="1" applyFill="1" applyAlignment="1" applyProtection="1">
      <alignment horizontal="right" vertical="top" wrapText="1"/>
      <protection locked="0"/>
    </xf>
    <xf numFmtId="166" fontId="54" fillId="4" borderId="0" xfId="0" applyNumberFormat="1" applyFont="1" applyFill="1" applyAlignment="1" applyProtection="1">
      <alignment vertical="top" wrapText="1"/>
      <protection locked="0"/>
    </xf>
    <xf numFmtId="166" fontId="25" fillId="4" borderId="0" xfId="0" applyNumberFormat="1" applyFont="1" applyFill="1" applyAlignment="1" applyProtection="1">
      <alignment vertical="top" wrapText="1"/>
      <protection locked="0"/>
    </xf>
    <xf numFmtId="0" fontId="24" fillId="13" borderId="0" xfId="0" applyFont="1" applyFill="1" applyAlignment="1">
      <alignment vertical="top" wrapText="1"/>
    </xf>
    <xf numFmtId="166" fontId="24" fillId="13" borderId="0" xfId="0" applyNumberFormat="1" applyFont="1" applyFill="1" applyAlignment="1" applyProtection="1">
      <alignment vertical="top" wrapText="1"/>
      <protection locked="0"/>
    </xf>
    <xf numFmtId="166" fontId="53" fillId="13" borderId="0" xfId="0" applyNumberFormat="1" applyFont="1" applyFill="1" applyAlignment="1" applyProtection="1">
      <alignment vertical="top" wrapText="1"/>
      <protection locked="0"/>
    </xf>
    <xf numFmtId="0" fontId="57" fillId="4" borderId="0" xfId="0" applyFont="1" applyFill="1" applyAlignment="1">
      <alignment vertical="top" wrapText="1"/>
    </xf>
    <xf numFmtId="0" fontId="17" fillId="4" borderId="0" xfId="0" applyFont="1" applyFill="1" applyAlignment="1">
      <alignment vertical="top" wrapText="1"/>
    </xf>
    <xf numFmtId="0" fontId="1" fillId="4" borderId="0" xfId="0" applyFont="1" applyFill="1"/>
    <xf numFmtId="0" fontId="71" fillId="4" borderId="0" xfId="0" applyFont="1" applyFill="1"/>
    <xf numFmtId="9" fontId="25" fillId="4" borderId="0" xfId="0" applyNumberFormat="1" applyFont="1" applyFill="1" applyAlignment="1" applyProtection="1">
      <alignment vertical="top" wrapText="1"/>
      <protection locked="0"/>
    </xf>
    <xf numFmtId="9" fontId="54" fillId="4" borderId="0" xfId="0" applyNumberFormat="1" applyFont="1" applyFill="1" applyAlignment="1" applyProtection="1">
      <alignment vertical="top" wrapText="1"/>
      <protection locked="0"/>
    </xf>
    <xf numFmtId="49" fontId="25" fillId="4" borderId="0" xfId="0" applyNumberFormat="1" applyFont="1" applyFill="1" applyAlignment="1">
      <alignment vertical="top" wrapText="1"/>
    </xf>
    <xf numFmtId="169" fontId="25" fillId="4" borderId="0" xfId="0" applyNumberFormat="1" applyFont="1" applyFill="1" applyAlignment="1" applyProtection="1">
      <alignment horizontal="right" vertical="top" wrapText="1"/>
      <protection locked="0"/>
    </xf>
    <xf numFmtId="169" fontId="54" fillId="4" borderId="0" xfId="0" applyNumberFormat="1" applyFont="1" applyFill="1" applyAlignment="1" applyProtection="1">
      <alignment horizontal="right" vertical="top" wrapText="1"/>
      <protection locked="0"/>
    </xf>
    <xf numFmtId="169" fontId="31" fillId="4" borderId="0" xfId="0" applyNumberFormat="1" applyFont="1" applyFill="1" applyAlignment="1" applyProtection="1">
      <alignment horizontal="right" vertical="top" wrapText="1"/>
      <protection locked="0"/>
    </xf>
    <xf numFmtId="9" fontId="25" fillId="4" borderId="0" xfId="0" applyNumberFormat="1" applyFont="1" applyFill="1" applyAlignment="1" applyProtection="1">
      <alignment horizontal="right" vertical="top" wrapText="1"/>
      <protection locked="0"/>
    </xf>
    <xf numFmtId="165" fontId="25" fillId="4" borderId="0" xfId="0" applyNumberFormat="1" applyFont="1" applyFill="1" applyAlignment="1" applyProtection="1">
      <alignment horizontal="right" vertical="top" wrapText="1"/>
      <protection locked="0"/>
    </xf>
    <xf numFmtId="165" fontId="54" fillId="4" borderId="0" xfId="0" applyNumberFormat="1" applyFont="1" applyFill="1" applyAlignment="1" applyProtection="1">
      <alignment horizontal="right" vertical="top" wrapText="1"/>
      <protection locked="0"/>
    </xf>
    <xf numFmtId="49" fontId="54" fillId="4" borderId="0" xfId="0" applyNumberFormat="1" applyFont="1" applyFill="1" applyAlignment="1" applyProtection="1">
      <alignment horizontal="right" vertical="top" wrapText="1"/>
      <protection locked="0"/>
    </xf>
    <xf numFmtId="9" fontId="54" fillId="4" borderId="0" xfId="0" applyNumberFormat="1" applyFont="1" applyFill="1" applyAlignment="1" applyProtection="1">
      <alignment horizontal="right" vertical="top" wrapText="1"/>
      <protection locked="0"/>
    </xf>
    <xf numFmtId="0" fontId="25" fillId="4" borderId="0" xfId="0" applyFont="1" applyFill="1" applyAlignment="1">
      <alignment horizontal="right" vertical="top" wrapText="1"/>
    </xf>
    <xf numFmtId="0" fontId="25" fillId="4" borderId="0" xfId="0" applyFont="1" applyFill="1" applyAlignment="1">
      <alignment horizontal="left" vertical="top" wrapText="1"/>
    </xf>
    <xf numFmtId="0" fontId="54" fillId="4" borderId="0" xfId="0" applyFont="1" applyFill="1" applyAlignment="1">
      <alignment horizontal="left" vertical="top" wrapText="1"/>
    </xf>
    <xf numFmtId="0" fontId="54" fillId="4" borderId="0" xfId="0" applyFont="1" applyFill="1" applyAlignment="1">
      <alignment horizontal="right" vertical="top" wrapText="1"/>
    </xf>
    <xf numFmtId="0" fontId="72" fillId="4" borderId="0" xfId="0" applyFont="1" applyFill="1"/>
    <xf numFmtId="0" fontId="15" fillId="3" borderId="0" xfId="0" applyFont="1" applyFill="1" applyAlignment="1">
      <alignment vertical="top"/>
    </xf>
    <xf numFmtId="0" fontId="15" fillId="3" borderId="0" xfId="0" applyFont="1" applyFill="1" applyAlignment="1">
      <alignment horizontal="left" vertical="top"/>
    </xf>
    <xf numFmtId="169" fontId="15" fillId="3" borderId="0" xfId="0" applyNumberFormat="1" applyFont="1" applyFill="1" applyAlignment="1">
      <alignment horizontal="left" vertical="top"/>
    </xf>
    <xf numFmtId="0" fontId="15" fillId="3" borderId="3" xfId="0" applyFont="1" applyFill="1" applyBorder="1" applyAlignment="1">
      <alignment horizontal="left"/>
    </xf>
    <xf numFmtId="0" fontId="15" fillId="0" borderId="0" xfId="0" applyFont="1"/>
    <xf numFmtId="0" fontId="15" fillId="7" borderId="0" xfId="0" applyFont="1" applyFill="1" applyAlignment="1">
      <alignment horizontal="left" vertical="top"/>
    </xf>
    <xf numFmtId="169" fontId="15" fillId="7" borderId="0" xfId="0" applyNumberFormat="1" applyFont="1" applyFill="1" applyAlignment="1">
      <alignment horizontal="left" vertical="top"/>
    </xf>
    <xf numFmtId="0" fontId="15" fillId="7" borderId="0" xfId="0" applyFont="1" applyFill="1" applyAlignment="1">
      <alignment horizontal="left"/>
    </xf>
    <xf numFmtId="0" fontId="15" fillId="7" borderId="3" xfId="0" applyFont="1" applyFill="1" applyBorder="1" applyAlignment="1">
      <alignment horizontal="left"/>
    </xf>
    <xf numFmtId="0" fontId="15" fillId="4" borderId="0" xfId="0" applyFont="1" applyFill="1"/>
    <xf numFmtId="0" fontId="16" fillId="4" borderId="10" xfId="0" applyFont="1" applyFill="1" applyBorder="1" applyAlignment="1">
      <alignment horizontal="left" vertical="top" wrapText="1"/>
    </xf>
    <xf numFmtId="169" fontId="16" fillId="4" borderId="10" xfId="0" applyNumberFormat="1" applyFont="1" applyFill="1" applyBorder="1" applyAlignment="1">
      <alignment horizontal="left" vertical="top" wrapText="1"/>
    </xf>
    <xf numFmtId="0" fontId="49" fillId="0" borderId="0" xfId="0" applyFont="1" applyAlignment="1">
      <alignment horizontal="left"/>
    </xf>
    <xf numFmtId="0" fontId="46" fillId="4" borderId="10" xfId="0" applyFont="1" applyFill="1" applyBorder="1" applyAlignment="1">
      <alignment horizontal="left" vertical="center"/>
    </xf>
    <xf numFmtId="0" fontId="46" fillId="4" borderId="10" xfId="0" applyFont="1" applyFill="1" applyBorder="1" applyAlignment="1">
      <alignment horizontal="right" vertical="center"/>
    </xf>
    <xf numFmtId="0" fontId="46" fillId="4" borderId="11" xfId="0" applyFont="1" applyFill="1" applyBorder="1" applyAlignment="1">
      <alignment horizontal="right" vertical="center"/>
    </xf>
    <xf numFmtId="0" fontId="16" fillId="0" borderId="10" xfId="0" applyFont="1" applyBorder="1"/>
    <xf numFmtId="0" fontId="16" fillId="13" borderId="10" xfId="0" applyFont="1" applyFill="1" applyBorder="1" applyAlignment="1">
      <alignment horizontal="right"/>
    </xf>
    <xf numFmtId="14" fontId="17" fillId="4" borderId="20" xfId="0" applyNumberFormat="1" applyFont="1" applyFill="1" applyBorder="1" applyAlignment="1">
      <alignment horizontal="left" vertical="top" wrapText="1"/>
    </xf>
    <xf numFmtId="0" fontId="73" fillId="4" borderId="20" xfId="0" applyFont="1" applyFill="1" applyBorder="1" applyAlignment="1">
      <alignment horizontal="left" vertical="top" wrapText="1"/>
    </xf>
    <xf numFmtId="0" fontId="17" fillId="4" borderId="20" xfId="0" applyFont="1" applyFill="1" applyBorder="1" applyAlignment="1">
      <alignment horizontal="left" vertical="top" wrapText="1"/>
    </xf>
    <xf numFmtId="169" fontId="17" fillId="4" borderId="20" xfId="0" applyNumberFormat="1" applyFont="1" applyFill="1" applyBorder="1" applyAlignment="1">
      <alignment horizontal="left" vertical="top" wrapText="1"/>
    </xf>
    <xf numFmtId="0" fontId="46" fillId="13" borderId="22" xfId="0" applyFont="1" applyFill="1" applyBorder="1"/>
    <xf numFmtId="0" fontId="49" fillId="13" borderId="22" xfId="0" applyFont="1" applyFill="1" applyBorder="1"/>
    <xf numFmtId="0" fontId="49" fillId="13" borderId="23" xfId="0" applyFont="1" applyFill="1" applyBorder="1"/>
    <xf numFmtId="3" fontId="17" fillId="13" borderId="0" xfId="0" applyNumberFormat="1" applyFont="1" applyFill="1"/>
    <xf numFmtId="14" fontId="17" fillId="4" borderId="0" xfId="0" applyNumberFormat="1" applyFont="1" applyFill="1" applyAlignment="1">
      <alignment horizontal="left" vertical="top" wrapText="1"/>
    </xf>
    <xf numFmtId="0" fontId="73" fillId="4" borderId="0" xfId="0" applyFont="1" applyFill="1" applyAlignment="1">
      <alignment horizontal="left" vertical="top" wrapText="1"/>
    </xf>
    <xf numFmtId="0" fontId="17" fillId="4" borderId="0" xfId="0" applyFont="1" applyFill="1" applyAlignment="1">
      <alignment horizontal="left" vertical="top" wrapText="1"/>
    </xf>
    <xf numFmtId="169" fontId="17" fillId="4" borderId="0" xfId="0" applyNumberFormat="1" applyFont="1" applyFill="1" applyAlignment="1">
      <alignment horizontal="left" vertical="top" wrapText="1"/>
    </xf>
    <xf numFmtId="0" fontId="49" fillId="4" borderId="0" xfId="0" applyFont="1" applyFill="1" applyAlignment="1">
      <alignment horizontal="left"/>
    </xf>
    <xf numFmtId="169" fontId="49" fillId="4" borderId="0" xfId="0" applyNumberFormat="1" applyFont="1" applyFill="1"/>
    <xf numFmtId="169" fontId="49" fillId="4" borderId="3" xfId="0" applyNumberFormat="1" applyFont="1" applyFill="1" applyBorder="1" applyAlignment="1">
      <alignment horizontal="right"/>
    </xf>
    <xf numFmtId="3" fontId="17" fillId="0" borderId="10" xfId="0" applyNumberFormat="1" applyFont="1" applyBorder="1"/>
    <xf numFmtId="3" fontId="17" fillId="13" borderId="10" xfId="0" applyNumberFormat="1" applyFont="1" applyFill="1" applyBorder="1"/>
    <xf numFmtId="169" fontId="17" fillId="4" borderId="0" xfId="0" applyNumberFormat="1" applyFont="1" applyFill="1" applyAlignment="1">
      <alignment horizontal="right" vertical="top" wrapText="1"/>
    </xf>
    <xf numFmtId="9" fontId="49" fillId="4" borderId="0" xfId="0" applyNumberFormat="1" applyFont="1" applyFill="1" applyAlignment="1">
      <alignment horizontal="left"/>
    </xf>
    <xf numFmtId="1" fontId="49" fillId="4" borderId="3" xfId="0" applyNumberFormat="1" applyFont="1" applyFill="1" applyBorder="1" applyAlignment="1">
      <alignment horizontal="right" vertical="center"/>
    </xf>
    <xf numFmtId="0" fontId="17" fillId="4" borderId="0" xfId="0" applyFont="1" applyFill="1" applyAlignment="1">
      <alignment horizontal="right" vertical="top" wrapText="1"/>
    </xf>
    <xf numFmtId="3" fontId="49" fillId="4" borderId="0" xfId="0" applyNumberFormat="1" applyFont="1" applyFill="1" applyAlignment="1">
      <alignment horizontal="left" vertical="top"/>
    </xf>
    <xf numFmtId="1" fontId="49" fillId="4" borderId="0" xfId="0" applyNumberFormat="1" applyFont="1" applyFill="1" applyAlignment="1">
      <alignment vertical="center"/>
    </xf>
    <xf numFmtId="14" fontId="17" fillId="4" borderId="10" xfId="0" applyNumberFormat="1" applyFont="1" applyFill="1" applyBorder="1" applyAlignment="1">
      <alignment horizontal="left" vertical="top" wrapText="1"/>
    </xf>
    <xf numFmtId="0" fontId="73" fillId="4" borderId="10" xfId="0" applyFont="1" applyFill="1" applyBorder="1" applyAlignment="1">
      <alignment horizontal="left" vertical="top" wrapText="1"/>
    </xf>
    <xf numFmtId="0" fontId="17" fillId="4" borderId="10" xfId="0" applyFont="1" applyFill="1" applyBorder="1" applyAlignment="1">
      <alignment horizontal="left" vertical="top" wrapText="1"/>
    </xf>
    <xf numFmtId="169" fontId="17" fillId="4" borderId="10" xfId="0" applyNumberFormat="1" applyFont="1" applyFill="1" applyBorder="1" applyAlignment="1">
      <alignment horizontal="left" vertical="top" wrapText="1"/>
    </xf>
    <xf numFmtId="3" fontId="49" fillId="4" borderId="10" xfId="0" applyNumberFormat="1" applyFont="1" applyFill="1" applyBorder="1" applyAlignment="1">
      <alignment horizontal="left" vertical="top"/>
    </xf>
    <xf numFmtId="165" fontId="49" fillId="4" borderId="0" xfId="0" applyNumberFormat="1" applyFont="1" applyFill="1"/>
    <xf numFmtId="165" fontId="49" fillId="4" borderId="3" xfId="0" applyNumberFormat="1" applyFont="1" applyFill="1" applyBorder="1"/>
    <xf numFmtId="165" fontId="49" fillId="4" borderId="3" xfId="0" applyNumberFormat="1" applyFont="1" applyFill="1" applyBorder="1" applyAlignment="1">
      <alignment horizontal="right"/>
    </xf>
    <xf numFmtId="0" fontId="49" fillId="4" borderId="0" xfId="0" applyFont="1" applyFill="1" applyAlignment="1">
      <alignment horizontal="left" vertical="top"/>
    </xf>
    <xf numFmtId="0" fontId="46" fillId="4" borderId="12" xfId="0" applyFont="1" applyFill="1" applyBorder="1"/>
    <xf numFmtId="0" fontId="49" fillId="4" borderId="12" xfId="0" applyFont="1" applyFill="1" applyBorder="1"/>
    <xf numFmtId="0" fontId="49" fillId="4" borderId="13" xfId="0" applyFont="1" applyFill="1" applyBorder="1"/>
    <xf numFmtId="3" fontId="49" fillId="4" borderId="0" xfId="0" applyNumberFormat="1" applyFont="1" applyFill="1" applyAlignment="1">
      <alignment vertical="center"/>
    </xf>
    <xf numFmtId="166" fontId="49" fillId="4" borderId="0" xfId="0" applyNumberFormat="1" applyFont="1" applyFill="1" applyAlignment="1">
      <alignment vertical="center"/>
    </xf>
    <xf numFmtId="3" fontId="49" fillId="4" borderId="3" xfId="0" applyNumberFormat="1" applyFont="1" applyFill="1" applyBorder="1" applyAlignment="1">
      <alignment vertical="center"/>
    </xf>
    <xf numFmtId="166" fontId="49" fillId="4" borderId="3" xfId="0" applyNumberFormat="1" applyFont="1" applyFill="1" applyBorder="1" applyAlignment="1">
      <alignment vertical="center"/>
    </xf>
    <xf numFmtId="0" fontId="49" fillId="4" borderId="10" xfId="0" applyFont="1" applyFill="1" applyBorder="1" applyAlignment="1">
      <alignment horizontal="left" vertical="top"/>
    </xf>
    <xf numFmtId="0" fontId="17" fillId="4" borderId="21" xfId="0" applyFont="1" applyFill="1" applyBorder="1" applyAlignment="1">
      <alignment horizontal="left" vertical="top" wrapText="1"/>
    </xf>
    <xf numFmtId="0" fontId="73" fillId="4" borderId="21" xfId="0" applyFont="1" applyFill="1" applyBorder="1" applyAlignment="1">
      <alignment horizontal="left" vertical="top" wrapText="1"/>
    </xf>
    <xf numFmtId="169" fontId="17" fillId="4" borderId="21" xfId="0" applyNumberFormat="1" applyFont="1" applyFill="1" applyBorder="1" applyAlignment="1">
      <alignment horizontal="left" vertical="top" wrapText="1"/>
    </xf>
    <xf numFmtId="0" fontId="49" fillId="4" borderId="21" xfId="0" applyFont="1" applyFill="1" applyBorder="1" applyAlignment="1">
      <alignment horizontal="left" vertical="top"/>
    </xf>
    <xf numFmtId="0" fontId="46" fillId="9" borderId="0" xfId="0" applyFont="1" applyFill="1" applyAlignment="1">
      <alignment vertical="center"/>
    </xf>
    <xf numFmtId="3" fontId="49" fillId="17" borderId="0" xfId="0" applyNumberFormat="1" applyFont="1" applyFill="1" applyAlignment="1">
      <alignment vertical="center"/>
    </xf>
    <xf numFmtId="3" fontId="49" fillId="9" borderId="0" xfId="0" applyNumberFormat="1" applyFont="1" applyFill="1" applyAlignment="1">
      <alignment vertical="center"/>
    </xf>
    <xf numFmtId="166" fontId="49" fillId="9" borderId="0" xfId="0" applyNumberFormat="1" applyFont="1" applyFill="1" applyAlignment="1">
      <alignment vertical="center"/>
    </xf>
    <xf numFmtId="3" fontId="49" fillId="9" borderId="3" xfId="0" applyNumberFormat="1" applyFont="1" applyFill="1" applyBorder="1" applyAlignment="1">
      <alignment vertical="center"/>
    </xf>
    <xf numFmtId="2" fontId="49" fillId="9" borderId="3" xfId="0" applyNumberFormat="1" applyFont="1" applyFill="1" applyBorder="1" applyAlignment="1">
      <alignment vertical="center"/>
    </xf>
    <xf numFmtId="166" fontId="49" fillId="9" borderId="3" xfId="0" applyNumberFormat="1" applyFont="1" applyFill="1" applyBorder="1" applyAlignment="1">
      <alignment vertical="center"/>
    </xf>
    <xf numFmtId="0" fontId="46" fillId="4" borderId="0" xfId="0" applyFont="1" applyFill="1" applyAlignment="1">
      <alignment vertical="center"/>
    </xf>
    <xf numFmtId="2" fontId="49" fillId="4" borderId="3" xfId="0" applyNumberFormat="1" applyFont="1" applyFill="1" applyBorder="1" applyAlignment="1">
      <alignment vertical="center"/>
    </xf>
    <xf numFmtId="9" fontId="49" fillId="4" borderId="0" xfId="0" applyNumberFormat="1" applyFont="1" applyFill="1" applyAlignment="1">
      <alignment horizontal="left" vertical="top"/>
    </xf>
    <xf numFmtId="0" fontId="46" fillId="13" borderId="12" xfId="0" applyFont="1" applyFill="1" applyBorder="1"/>
    <xf numFmtId="0" fontId="49" fillId="13" borderId="12" xfId="0" applyFont="1" applyFill="1" applyBorder="1"/>
    <xf numFmtId="0" fontId="49" fillId="13" borderId="13" xfId="0" applyFont="1" applyFill="1" applyBorder="1"/>
    <xf numFmtId="169" fontId="49" fillId="4" borderId="3" xfId="0" applyNumberFormat="1" applyFont="1" applyFill="1" applyBorder="1"/>
    <xf numFmtId="0" fontId="16" fillId="0" borderId="21" xfId="0" applyFont="1" applyBorder="1"/>
    <xf numFmtId="3" fontId="16" fillId="0" borderId="21" xfId="0" applyNumberFormat="1" applyFont="1" applyBorder="1"/>
    <xf numFmtId="3" fontId="17" fillId="10" borderId="0" xfId="0" applyNumberFormat="1" applyFont="1" applyFill="1"/>
    <xf numFmtId="0" fontId="16" fillId="0" borderId="0" xfId="0" applyFont="1"/>
    <xf numFmtId="0" fontId="16" fillId="0" borderId="0" xfId="0" applyFont="1" applyAlignment="1">
      <alignment horizontal="right"/>
    </xf>
    <xf numFmtId="1" fontId="49" fillId="4" borderId="0" xfId="0" applyNumberFormat="1" applyFont="1" applyFill="1"/>
    <xf numFmtId="1" fontId="49" fillId="4" borderId="3" xfId="0" applyNumberFormat="1" applyFont="1" applyFill="1" applyBorder="1"/>
    <xf numFmtId="9" fontId="49" fillId="0" borderId="0" xfId="0" applyNumberFormat="1" applyFont="1" applyAlignment="1">
      <alignment horizontal="right"/>
    </xf>
    <xf numFmtId="0" fontId="46" fillId="4" borderId="0" xfId="0" applyFont="1" applyFill="1"/>
    <xf numFmtId="0" fontId="46" fillId="4" borderId="3" xfId="0" applyFont="1" applyFill="1" applyBorder="1"/>
    <xf numFmtId="1" fontId="46" fillId="4" borderId="0" xfId="0" applyNumberFormat="1" applyFont="1" applyFill="1"/>
    <xf numFmtId="1" fontId="46" fillId="4" borderId="3" xfId="0" applyNumberFormat="1" applyFont="1" applyFill="1" applyBorder="1"/>
    <xf numFmtId="0" fontId="49" fillId="4" borderId="20" xfId="0" applyFont="1" applyFill="1" applyBorder="1" applyAlignment="1">
      <alignment horizontal="left" vertical="top"/>
    </xf>
    <xf numFmtId="9" fontId="49" fillId="0" borderId="0" xfId="0" applyNumberFormat="1" applyFont="1"/>
    <xf numFmtId="3" fontId="16" fillId="0" borderId="0" xfId="0" applyNumberFormat="1" applyFont="1"/>
    <xf numFmtId="9" fontId="49" fillId="4" borderId="21" xfId="0" applyNumberFormat="1" applyFont="1" applyFill="1" applyBorder="1" applyAlignment="1">
      <alignment horizontal="left" vertical="top"/>
    </xf>
    <xf numFmtId="9" fontId="16" fillId="0" borderId="0" xfId="0" applyNumberFormat="1" applyFont="1"/>
    <xf numFmtId="0" fontId="47" fillId="0" borderId="0" xfId="0" applyFont="1" applyAlignment="1">
      <alignment wrapText="1"/>
    </xf>
    <xf numFmtId="0" fontId="48" fillId="0" borderId="0" xfId="0" applyFont="1"/>
    <xf numFmtId="165" fontId="17" fillId="0" borderId="0" xfId="0" applyNumberFormat="1" applyFont="1"/>
    <xf numFmtId="165" fontId="16" fillId="0" borderId="0" xfId="0" applyNumberFormat="1" applyFont="1"/>
    <xf numFmtId="0" fontId="46" fillId="3" borderId="0" xfId="0" applyFont="1" applyFill="1"/>
    <xf numFmtId="0" fontId="49" fillId="3" borderId="0" xfId="0" applyFont="1" applyFill="1"/>
    <xf numFmtId="0" fontId="49" fillId="3" borderId="3" xfId="0" applyFont="1" applyFill="1" applyBorder="1"/>
    <xf numFmtId="0" fontId="64" fillId="2" borderId="0" xfId="0" applyFont="1" applyFill="1"/>
    <xf numFmtId="0" fontId="46" fillId="0" borderId="0" xfId="0" applyFont="1" applyAlignment="1">
      <alignment vertical="center"/>
    </xf>
    <xf numFmtId="0" fontId="46" fillId="0" borderId="0" xfId="0" applyFont="1" applyAlignment="1">
      <alignment horizontal="right" vertical="center"/>
    </xf>
    <xf numFmtId="0" fontId="46" fillId="0" borderId="3" xfId="0" applyFont="1" applyBorder="1" applyAlignment="1">
      <alignment horizontal="right" vertical="center"/>
    </xf>
    <xf numFmtId="0" fontId="49" fillId="0" borderId="4" xfId="0" applyFont="1" applyBorder="1"/>
    <xf numFmtId="0" fontId="46" fillId="0" borderId="4" xfId="0" applyFont="1" applyBorder="1" applyAlignment="1">
      <alignment horizontal="right" vertical="center"/>
    </xf>
    <xf numFmtId="0" fontId="46" fillId="0" borderId="5" xfId="0" applyFont="1" applyBorder="1" applyAlignment="1">
      <alignment horizontal="right" vertical="center"/>
    </xf>
    <xf numFmtId="3" fontId="49" fillId="0" borderId="3" xfId="0" applyNumberFormat="1" applyFont="1" applyBorder="1" applyAlignment="1">
      <alignment vertical="center"/>
    </xf>
    <xf numFmtId="0" fontId="72" fillId="0" borderId="0" xfId="0" applyFont="1" applyAlignment="1">
      <alignment vertical="center"/>
    </xf>
    <xf numFmtId="3" fontId="72" fillId="0" borderId="0" xfId="0" applyNumberFormat="1" applyFont="1" applyAlignment="1">
      <alignment horizontal="right" vertical="center"/>
    </xf>
    <xf numFmtId="3" fontId="72" fillId="0" borderId="3" xfId="0" applyNumberFormat="1" applyFont="1" applyBorder="1" applyAlignment="1">
      <alignment horizontal="right" vertical="center"/>
    </xf>
    <xf numFmtId="3" fontId="72" fillId="0" borderId="0" xfId="0" quotePrefix="1" applyNumberFormat="1" applyFont="1" applyAlignment="1">
      <alignment horizontal="right" vertical="center"/>
    </xf>
    <xf numFmtId="3" fontId="72" fillId="0" borderId="3" xfId="0" quotePrefix="1" applyNumberFormat="1" applyFont="1" applyBorder="1" applyAlignment="1">
      <alignment horizontal="right" vertical="center"/>
    </xf>
    <xf numFmtId="3" fontId="46" fillId="9" borderId="0" xfId="0" applyNumberFormat="1" applyFont="1" applyFill="1" applyAlignment="1">
      <alignment vertical="center"/>
    </xf>
    <xf numFmtId="3" fontId="46" fillId="9" borderId="3" xfId="0" applyNumberFormat="1" applyFont="1" applyFill="1" applyBorder="1" applyAlignment="1">
      <alignment vertical="center"/>
    </xf>
    <xf numFmtId="3" fontId="46" fillId="0" borderId="0" xfId="0" applyNumberFormat="1" applyFont="1" applyAlignment="1">
      <alignment vertical="center"/>
    </xf>
    <xf numFmtId="3" fontId="46" fillId="0" borderId="3" xfId="0" applyNumberFormat="1" applyFont="1" applyBorder="1" applyAlignment="1">
      <alignment vertical="center"/>
    </xf>
    <xf numFmtId="0" fontId="46" fillId="0" borderId="0" xfId="0" applyFont="1" applyAlignment="1">
      <alignment horizontal="left" vertical="center"/>
    </xf>
    <xf numFmtId="0" fontId="49" fillId="0" borderId="12" xfId="0" applyFont="1" applyBorder="1"/>
    <xf numFmtId="0" fontId="46" fillId="0" borderId="12" xfId="0" applyFont="1" applyBorder="1" applyAlignment="1">
      <alignment horizontal="right" vertical="center"/>
    </xf>
    <xf numFmtId="0" fontId="46" fillId="0" borderId="13" xfId="0" applyFont="1" applyBorder="1" applyAlignment="1">
      <alignment horizontal="right" vertical="center"/>
    </xf>
    <xf numFmtId="168" fontId="49" fillId="0" borderId="0" xfId="0" applyNumberFormat="1" applyFont="1"/>
    <xf numFmtId="9" fontId="72" fillId="0" borderId="0" xfId="0" applyNumberFormat="1" applyFont="1" applyAlignment="1">
      <alignment vertical="center"/>
    </xf>
    <xf numFmtId="9" fontId="72" fillId="4" borderId="0" xfId="0" applyNumberFormat="1" applyFont="1" applyFill="1" applyAlignment="1">
      <alignment vertical="center"/>
    </xf>
    <xf numFmtId="9" fontId="46" fillId="0" borderId="0" xfId="0" applyNumberFormat="1" applyFont="1" applyAlignment="1">
      <alignment vertical="center"/>
    </xf>
    <xf numFmtId="3" fontId="46" fillId="0" borderId="0" xfId="0" applyNumberFormat="1" applyFont="1" applyAlignment="1">
      <alignment horizontal="right" vertical="center"/>
    </xf>
    <xf numFmtId="165" fontId="46" fillId="0" borderId="0" xfId="0" applyNumberFormat="1" applyFont="1" applyAlignment="1">
      <alignment horizontal="right" vertical="center"/>
    </xf>
    <xf numFmtId="3" fontId="46" fillId="0" borderId="3" xfId="0" applyNumberFormat="1" applyFont="1" applyBorder="1" applyAlignment="1">
      <alignment horizontal="right" vertical="center"/>
    </xf>
    <xf numFmtId="165" fontId="49" fillId="0" borderId="0" xfId="0" applyNumberFormat="1" applyFont="1" applyAlignment="1">
      <alignment horizontal="right" vertical="center"/>
    </xf>
    <xf numFmtId="165" fontId="49" fillId="4" borderId="0" xfId="0" applyNumberFormat="1" applyFont="1" applyFill="1" applyAlignment="1">
      <alignment horizontal="right" vertical="center"/>
    </xf>
    <xf numFmtId="165" fontId="49" fillId="0" borderId="3" xfId="0" applyNumberFormat="1" applyFont="1" applyBorder="1" applyAlignment="1">
      <alignment horizontal="right" vertical="center"/>
    </xf>
    <xf numFmtId="165" fontId="49" fillId="0" borderId="0" xfId="0" quotePrefix="1" applyNumberFormat="1" applyFont="1" applyAlignment="1">
      <alignment horizontal="right" vertical="center"/>
    </xf>
    <xf numFmtId="165" fontId="49" fillId="0" borderId="3" xfId="0" quotePrefix="1" applyNumberFormat="1" applyFont="1" applyBorder="1" applyAlignment="1">
      <alignment horizontal="right" vertical="center"/>
    </xf>
    <xf numFmtId="165" fontId="46" fillId="9" borderId="0" xfId="0" applyNumberFormat="1" applyFont="1" applyFill="1" applyAlignment="1">
      <alignment vertical="center"/>
    </xf>
    <xf numFmtId="165" fontId="46" fillId="9" borderId="3" xfId="0" applyNumberFormat="1" applyFont="1" applyFill="1" applyBorder="1" applyAlignment="1">
      <alignment vertical="center"/>
    </xf>
    <xf numFmtId="165" fontId="46" fillId="0" borderId="0" xfId="0" applyNumberFormat="1" applyFont="1" applyAlignment="1">
      <alignment vertical="center"/>
    </xf>
    <xf numFmtId="165" fontId="46" fillId="0" borderId="3" xfId="0" applyNumberFormat="1" applyFont="1" applyBorder="1" applyAlignment="1">
      <alignment vertical="center"/>
    </xf>
    <xf numFmtId="0" fontId="49" fillId="0" borderId="3" xfId="0" applyFont="1" applyBorder="1" applyAlignment="1">
      <alignment horizontal="right" vertical="center"/>
    </xf>
    <xf numFmtId="0" fontId="49" fillId="0" borderId="0" xfId="0" quotePrefix="1" applyFont="1" applyAlignment="1">
      <alignment horizontal="right" vertical="center"/>
    </xf>
    <xf numFmtId="0" fontId="49" fillId="0" borderId="0" xfId="0" applyFont="1" applyAlignment="1">
      <alignment vertical="top" wrapText="1"/>
    </xf>
    <xf numFmtId="3" fontId="46" fillId="9" borderId="0" xfId="0" applyNumberFormat="1" applyFont="1" applyFill="1" applyAlignment="1">
      <alignment horizontal="right" vertical="center"/>
    </xf>
    <xf numFmtId="165" fontId="49" fillId="0" borderId="0" xfId="0" applyNumberFormat="1" applyFont="1" applyAlignment="1">
      <alignment vertical="center"/>
    </xf>
    <xf numFmtId="165" fontId="49" fillId="0" borderId="3" xfId="0" applyNumberFormat="1" applyFont="1" applyBorder="1" applyAlignment="1">
      <alignment vertical="center"/>
    </xf>
    <xf numFmtId="169" fontId="46" fillId="0" borderId="0" xfId="0" applyNumberFormat="1" applyFont="1" applyAlignment="1">
      <alignment vertical="center"/>
    </xf>
    <xf numFmtId="165" fontId="49" fillId="0" borderId="4" xfId="0" applyNumberFormat="1" applyFont="1" applyBorder="1" applyAlignment="1">
      <alignment horizontal="right" vertical="center"/>
    </xf>
    <xf numFmtId="165" fontId="49" fillId="0" borderId="5" xfId="0" applyNumberFormat="1" applyFont="1" applyBorder="1" applyAlignment="1">
      <alignment horizontal="right" vertical="center"/>
    </xf>
    <xf numFmtId="0" fontId="49" fillId="0" borderId="0" xfId="0" applyFont="1" applyAlignment="1">
      <alignment horizontal="right" vertical="center" wrapText="1"/>
    </xf>
    <xf numFmtId="0" fontId="49" fillId="0" borderId="0" xfId="0" applyFont="1" applyAlignment="1">
      <alignment vertical="center" wrapText="1"/>
    </xf>
    <xf numFmtId="0" fontId="49" fillId="0" borderId="3" xfId="0" applyFont="1" applyBorder="1" applyAlignment="1">
      <alignment vertical="center" wrapText="1"/>
    </xf>
    <xf numFmtId="1" fontId="49" fillId="0" borderId="0" xfId="0" applyNumberFormat="1" applyFont="1" applyAlignment="1">
      <alignment vertical="center" wrapText="1"/>
    </xf>
    <xf numFmtId="9" fontId="49" fillId="4" borderId="0" xfId="0" applyNumberFormat="1" applyFont="1" applyFill="1" applyAlignment="1">
      <alignment vertical="center"/>
    </xf>
    <xf numFmtId="9" fontId="49" fillId="0" borderId="0" xfId="0" applyNumberFormat="1" applyFont="1" applyAlignment="1">
      <alignment vertical="center"/>
    </xf>
    <xf numFmtId="9" fontId="49" fillId="0" borderId="3" xfId="0" applyNumberFormat="1" applyFont="1" applyBorder="1" applyAlignment="1">
      <alignment vertical="center"/>
    </xf>
    <xf numFmtId="10" fontId="49" fillId="0" borderId="0" xfId="0" applyNumberFormat="1" applyFont="1"/>
    <xf numFmtId="0" fontId="72" fillId="0" borderId="0" xfId="0" applyFont="1"/>
    <xf numFmtId="0" fontId="17" fillId="15" borderId="0" xfId="0" applyFont="1" applyFill="1" applyAlignment="1">
      <alignment horizontal="left"/>
    </xf>
    <xf numFmtId="0" fontId="16" fillId="15" borderId="0" xfId="0" applyFont="1" applyFill="1" applyAlignment="1">
      <alignment horizontal="right"/>
    </xf>
    <xf numFmtId="169" fontId="17" fillId="15" borderId="0" xfId="0" applyNumberFormat="1" applyFont="1" applyFill="1" applyAlignment="1">
      <alignment horizontal="right"/>
    </xf>
    <xf numFmtId="165" fontId="17" fillId="15" borderId="0" xfId="0" applyNumberFormat="1" applyFont="1" applyFill="1" applyAlignment="1">
      <alignment horizontal="right"/>
    </xf>
    <xf numFmtId="0" fontId="17" fillId="15" borderId="0" xfId="0" applyFont="1" applyFill="1" applyAlignment="1">
      <alignment horizontal="right"/>
    </xf>
    <xf numFmtId="9" fontId="47" fillId="0" borderId="0" xfId="0" applyNumberFormat="1" applyFont="1" applyAlignment="1">
      <alignment horizontal="right"/>
    </xf>
    <xf numFmtId="0" fontId="74" fillId="19" borderId="0" xfId="0" applyFont="1" applyFill="1"/>
    <xf numFmtId="0" fontId="16" fillId="19" borderId="0" xfId="0" applyFont="1" applyFill="1"/>
    <xf numFmtId="0" fontId="16" fillId="4" borderId="0" xfId="0" applyFont="1" applyFill="1"/>
    <xf numFmtId="0" fontId="17" fillId="4" borderId="0" xfId="0" applyFont="1" applyFill="1" applyAlignment="1">
      <alignment horizontal="right"/>
    </xf>
    <xf numFmtId="0" fontId="47" fillId="4" borderId="0" xfId="0" applyFont="1" applyFill="1" applyAlignment="1">
      <alignment horizontal="left"/>
    </xf>
    <xf numFmtId="0" fontId="47" fillId="4" borderId="0" xfId="0" applyFont="1" applyFill="1" applyAlignment="1">
      <alignment horizontal="right"/>
    </xf>
    <xf numFmtId="3" fontId="17" fillId="4" borderId="0" xfId="0" applyNumberFormat="1" applyFont="1" applyFill="1" applyAlignment="1">
      <alignment horizontal="right"/>
    </xf>
    <xf numFmtId="165" fontId="17" fillId="4" borderId="0" xfId="0" applyNumberFormat="1" applyFont="1" applyFill="1"/>
    <xf numFmtId="9" fontId="17" fillId="4" borderId="0" xfId="0" applyNumberFormat="1" applyFont="1" applyFill="1"/>
    <xf numFmtId="3" fontId="16" fillId="4" borderId="0" xfId="0" applyNumberFormat="1" applyFont="1" applyFill="1"/>
    <xf numFmtId="165" fontId="16" fillId="4" borderId="0" xfId="0" applyNumberFormat="1" applyFont="1" applyFill="1"/>
    <xf numFmtId="165" fontId="17" fillId="4" borderId="0" xfId="0" applyNumberFormat="1" applyFont="1" applyFill="1" applyAlignment="1">
      <alignment horizontal="right"/>
    </xf>
    <xf numFmtId="0" fontId="16" fillId="4" borderId="0" xfId="0" applyFont="1" applyFill="1" applyAlignment="1">
      <alignment vertical="center"/>
    </xf>
    <xf numFmtId="0" fontId="16" fillId="19" borderId="0" xfId="0" applyFont="1" applyFill="1" applyAlignment="1">
      <alignment vertical="center"/>
    </xf>
    <xf numFmtId="0" fontId="16" fillId="19" borderId="0" xfId="0" applyFont="1" applyFill="1" applyAlignment="1">
      <alignment horizontal="left" vertical="center"/>
    </xf>
    <xf numFmtId="0" fontId="16" fillId="15" borderId="0" xfId="0" applyFont="1" applyFill="1"/>
    <xf numFmtId="0" fontId="17" fillId="15" borderId="0" xfId="0" applyFont="1" applyFill="1"/>
    <xf numFmtId="0" fontId="17" fillId="19" borderId="0" xfId="0" applyFont="1" applyFill="1"/>
    <xf numFmtId="0" fontId="74" fillId="15" borderId="0" xfId="0" applyFont="1" applyFill="1" applyAlignment="1">
      <alignment horizontal="right"/>
    </xf>
    <xf numFmtId="0" fontId="4" fillId="5" borderId="0" xfId="0" applyFont="1" applyFill="1" applyAlignment="1">
      <alignment horizontal="left" vertical="center" wrapText="1"/>
    </xf>
    <xf numFmtId="0" fontId="19" fillId="4" borderId="0" xfId="0" applyFont="1" applyFill="1" applyAlignment="1">
      <alignment horizontal="left" vertical="top" wrapText="1"/>
    </xf>
    <xf numFmtId="0" fontId="20" fillId="4" borderId="0" xfId="0" applyFont="1" applyFill="1" applyAlignment="1">
      <alignment horizontal="left" vertical="top" wrapText="1"/>
    </xf>
    <xf numFmtId="0" fontId="24" fillId="4" borderId="0" xfId="0" applyFont="1" applyFill="1" applyAlignment="1">
      <alignment horizontal="center" vertical="center"/>
    </xf>
    <xf numFmtId="0" fontId="24" fillId="4" borderId="3" xfId="0" applyFont="1" applyFill="1" applyBorder="1" applyAlignment="1">
      <alignment horizontal="center" vertical="center"/>
    </xf>
    <xf numFmtId="0" fontId="24" fillId="0" borderId="0" xfId="0" applyFont="1" applyAlignment="1">
      <alignment horizontal="center"/>
    </xf>
    <xf numFmtId="0" fontId="24" fillId="0" borderId="0" xfId="0" applyFont="1" applyAlignment="1">
      <alignment horizontal="center" vertical="center"/>
    </xf>
    <xf numFmtId="0" fontId="24" fillId="4" borderId="0" xfId="0" applyFont="1" applyFill="1" applyAlignment="1">
      <alignment horizontal="center"/>
    </xf>
    <xf numFmtId="0" fontId="24" fillId="4" borderId="3" xfId="0" applyFont="1" applyFill="1" applyBorder="1" applyAlignment="1">
      <alignment horizontal="center"/>
    </xf>
    <xf numFmtId="0" fontId="24" fillId="0" borderId="3" xfId="0" applyFont="1" applyBorder="1" applyAlignment="1">
      <alignment horizontal="center"/>
    </xf>
    <xf numFmtId="0" fontId="24" fillId="0" borderId="3" xfId="0" applyFont="1" applyBorder="1" applyAlignment="1">
      <alignment horizontal="center" vertical="center"/>
    </xf>
    <xf numFmtId="0" fontId="61" fillId="4" borderId="21" xfId="0" applyFont="1" applyFill="1" applyBorder="1" applyAlignment="1">
      <alignment horizontal="left" vertical="top" wrapText="1"/>
    </xf>
    <xf numFmtId="0" fontId="61" fillId="4" borderId="0" xfId="0" applyFont="1" applyFill="1" applyAlignment="1">
      <alignment horizontal="left" vertical="top" wrapText="1"/>
    </xf>
    <xf numFmtId="0" fontId="55" fillId="18" borderId="0" xfId="0"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orders'!$D$4:$D$49</c15:sqref>
                  </c15:fullRef>
                </c:ext>
              </c:extLst>
              <c:f>('Large orders'!$D$4:$D$5,'Large orders'!$D$7,'Large orders'!$D$9,'Large orders'!$D$12,'Large orders'!$D$15:$D$17,'Large orders'!$D$20,'Large orders'!$D$22:$D$23,'Large orders'!$D$26:$D$27,'Large orders'!$D$30,'Large orders'!$D$35,'Large orders'!$D$39:$D$40,'Large orders'!$D$44,'Large orders'!$D$46:$D$49)</c:f>
              <c:strCache>
                <c:ptCount val="22"/>
                <c:pt idx="0">
                  <c:v>Q325</c:v>
                </c:pt>
                <c:pt idx="1">
                  <c:v>Q225</c:v>
                </c:pt>
                <c:pt idx="2">
                  <c:v>Q125</c:v>
                </c:pt>
                <c:pt idx="3">
                  <c:v>Q424</c:v>
                </c:pt>
                <c:pt idx="4">
                  <c:v>Q324</c:v>
                </c:pt>
                <c:pt idx="5">
                  <c:v>Q224</c:v>
                </c:pt>
                <c:pt idx="6">
                  <c:v>Q124</c:v>
                </c:pt>
                <c:pt idx="7">
                  <c:v>Q423</c:v>
                </c:pt>
                <c:pt idx="8">
                  <c:v>Q323</c:v>
                </c:pt>
                <c:pt idx="9">
                  <c:v>Q223</c:v>
                </c:pt>
                <c:pt idx="10">
                  <c:v>Q123</c:v>
                </c:pt>
                <c:pt idx="11">
                  <c:v>Q422</c:v>
                </c:pt>
                <c:pt idx="12">
                  <c:v>Q322</c:v>
                </c:pt>
                <c:pt idx="13">
                  <c:v>Q222</c:v>
                </c:pt>
                <c:pt idx="14">
                  <c:v>Q122</c:v>
                </c:pt>
                <c:pt idx="15">
                  <c:v>Q421</c:v>
                </c:pt>
                <c:pt idx="16">
                  <c:v>Q321</c:v>
                </c:pt>
                <c:pt idx="17">
                  <c:v>Q221</c:v>
                </c:pt>
                <c:pt idx="18">
                  <c:v>Q121</c:v>
                </c:pt>
                <c:pt idx="19">
                  <c:v>Q420</c:v>
                </c:pt>
                <c:pt idx="20">
                  <c:v>Q320</c:v>
                </c:pt>
                <c:pt idx="21">
                  <c:v>Q220</c:v>
                </c:pt>
              </c:strCache>
            </c:strRef>
          </c:cat>
          <c:val>
            <c:numRef>
              <c:extLst>
                <c:ext xmlns:c15="http://schemas.microsoft.com/office/drawing/2012/chart" uri="{02D57815-91ED-43cb-92C2-25804820EDAC}">
                  <c15:fullRef>
                    <c15:sqref>'Large orders'!$E$4:$E$49</c15:sqref>
                  </c15:fullRef>
                </c:ext>
              </c:extLst>
              <c:f>('Large orders'!$E$4:$E$5,'Large orders'!$E$7,'Large orders'!$E$9,'Large orders'!$E$12,'Large orders'!$E$15:$E$17,'Large orders'!$E$20,'Large orders'!$E$22:$E$23,'Large orders'!$E$26:$E$27,'Large orders'!$E$30,'Large orders'!$E$35,'Large orders'!$E$39:$E$40,'Large orders'!$E$44,'Large orders'!$E$46:$E$49)</c:f>
              <c:numCache>
                <c:formatCode>General</c:formatCode>
                <c:ptCount val="22"/>
                <c:pt idx="0">
                  <c:v>115</c:v>
                </c:pt>
                <c:pt idx="1">
                  <c:v>335</c:v>
                </c:pt>
                <c:pt idx="2">
                  <c:v>380</c:v>
                </c:pt>
                <c:pt idx="3">
                  <c:v>450</c:v>
                </c:pt>
                <c:pt idx="4">
                  <c:v>885</c:v>
                </c:pt>
                <c:pt idx="5">
                  <c:v>215</c:v>
                </c:pt>
                <c:pt idx="6">
                  <c:v>200</c:v>
                </c:pt>
                <c:pt idx="7">
                  <c:v>680</c:v>
                </c:pt>
                <c:pt idx="8">
                  <c:v>830</c:v>
                </c:pt>
                <c:pt idx="9">
                  <c:v>130</c:v>
                </c:pt>
                <c:pt idx="10">
                  <c:v>800</c:v>
                </c:pt>
                <c:pt idx="11">
                  <c:v>0</c:v>
                </c:pt>
                <c:pt idx="12">
                  <c:v>730</c:v>
                </c:pt>
                <c:pt idx="13">
                  <c:v>640</c:v>
                </c:pt>
                <c:pt idx="14">
                  <c:v>410</c:v>
                </c:pt>
                <c:pt idx="15">
                  <c:v>0</c:v>
                </c:pt>
                <c:pt idx="16">
                  <c:v>575</c:v>
                </c:pt>
                <c:pt idx="17">
                  <c:v>465</c:v>
                </c:pt>
                <c:pt idx="18">
                  <c:v>130</c:v>
                </c:pt>
                <c:pt idx="19">
                  <c:v>0</c:v>
                </c:pt>
                <c:pt idx="20">
                  <c:v>100</c:v>
                </c:pt>
                <c:pt idx="21">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orders'!$D$4:$D$49</c15:sqref>
                  </c15:fullRef>
                </c:ext>
              </c:extLst>
              <c:f>('Large orders'!$D$4:$D$5,'Large orders'!$D$7,'Large orders'!$D$9,'Large orders'!$D$12,'Large orders'!$D$15:$D$17,'Large orders'!$D$20,'Large orders'!$D$22:$D$23,'Large orders'!$D$26:$D$27,'Large orders'!$D$30,'Large orders'!$D$35,'Large orders'!$D$39:$D$40,'Large orders'!$D$44,'Large orders'!$D$46:$D$49)</c:f>
              <c:strCache>
                <c:ptCount val="22"/>
                <c:pt idx="0">
                  <c:v>Q325</c:v>
                </c:pt>
                <c:pt idx="1">
                  <c:v>Q225</c:v>
                </c:pt>
                <c:pt idx="2">
                  <c:v>Q125</c:v>
                </c:pt>
                <c:pt idx="3">
                  <c:v>Q424</c:v>
                </c:pt>
                <c:pt idx="4">
                  <c:v>Q324</c:v>
                </c:pt>
                <c:pt idx="5">
                  <c:v>Q224</c:v>
                </c:pt>
                <c:pt idx="6">
                  <c:v>Q124</c:v>
                </c:pt>
                <c:pt idx="7">
                  <c:v>Q423</c:v>
                </c:pt>
                <c:pt idx="8">
                  <c:v>Q323</c:v>
                </c:pt>
                <c:pt idx="9">
                  <c:v>Q223</c:v>
                </c:pt>
                <c:pt idx="10">
                  <c:v>Q123</c:v>
                </c:pt>
                <c:pt idx="11">
                  <c:v>Q422</c:v>
                </c:pt>
                <c:pt idx="12">
                  <c:v>Q322</c:v>
                </c:pt>
                <c:pt idx="13">
                  <c:v>Q222</c:v>
                </c:pt>
                <c:pt idx="14">
                  <c:v>Q122</c:v>
                </c:pt>
                <c:pt idx="15">
                  <c:v>Q421</c:v>
                </c:pt>
                <c:pt idx="16">
                  <c:v>Q321</c:v>
                </c:pt>
                <c:pt idx="17">
                  <c:v>Q221</c:v>
                </c:pt>
                <c:pt idx="18">
                  <c:v>Q121</c:v>
                </c:pt>
                <c:pt idx="19">
                  <c:v>Q420</c:v>
                </c:pt>
                <c:pt idx="20">
                  <c:v>Q320</c:v>
                </c:pt>
                <c:pt idx="21">
                  <c:v>Q220</c:v>
                </c:pt>
              </c:strCache>
            </c:strRef>
          </c:cat>
          <c:val>
            <c:numRef>
              <c:extLst>
                <c:ext xmlns:c15="http://schemas.microsoft.com/office/drawing/2012/chart" uri="{02D57815-91ED-43cb-92C2-25804820EDAC}">
                  <c15:fullRef>
                    <c15:sqref>'Large orders'!$C$4:$C$46</c15:sqref>
                  </c15:fullRef>
                </c:ext>
              </c:extLst>
              <c:f>('Large orders'!$C$4:$C$5,'Large orders'!$C$7,'Large orders'!$C$9,'Large orders'!$C$12,'Large orders'!$C$15:$C$17,'Large orders'!$C$20,'Large orders'!$C$22:$C$23,'Large orders'!$C$26:$C$27,'Large orders'!$C$30,'Large orders'!$C$35,'Large orders'!$C$39:$C$40,'Large orders'!$C$44,'Large orders'!$C$46)</c:f>
              <c:numCache>
                <c:formatCode>General</c:formatCode>
                <c:ptCount val="19"/>
                <c:pt idx="0">
                  <c:v>600</c:v>
                </c:pt>
                <c:pt idx="1">
                  <c:v>500</c:v>
                </c:pt>
                <c:pt idx="2">
                  <c:v>600</c:v>
                </c:pt>
                <c:pt idx="3">
                  <c:v>820</c:v>
                </c:pt>
                <c:pt idx="4">
                  <c:v>1400</c:v>
                </c:pt>
                <c:pt idx="5">
                  <c:v>950</c:v>
                </c:pt>
                <c:pt idx="6">
                  <c:v>400</c:v>
                </c:pt>
                <c:pt idx="7">
                  <c:v>1200</c:v>
                </c:pt>
                <c:pt idx="8">
                  <c:v>1000</c:v>
                </c:pt>
                <c:pt idx="9">
                  <c:v>550</c:v>
                </c:pt>
                <c:pt idx="10">
                  <c:v>900</c:v>
                </c:pt>
                <c:pt idx="11">
                  <c:v>400</c:v>
                </c:pt>
                <c:pt idx="12">
                  <c:v>1000</c:v>
                </c:pt>
                <c:pt idx="13">
                  <c:v>800</c:v>
                </c:pt>
                <c:pt idx="14">
                  <c:v>800</c:v>
                </c:pt>
                <c:pt idx="15">
                  <c:v>300</c:v>
                </c:pt>
                <c:pt idx="16">
                  <c:v>600</c:v>
                </c:pt>
                <c:pt idx="17">
                  <c:v>500</c:v>
                </c:pt>
                <c:pt idx="18">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50</xdr:row>
      <xdr:rowOff>69850</xdr:rowOff>
    </xdr:from>
    <xdr:to>
      <xdr:col>8</xdr:col>
      <xdr:colOff>565150</xdr:colOff>
      <xdr:row>70</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Q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G3" dT="2023-03-30T13:07:38.56" personId="{ACD2095B-F759-4F0E-9834-D018638BBBD7}" id="{F188C676-466B-4F67-B75F-7CB75B199170}">
    <text xml:space="preserve">Exploration moved from T&amp;A to E&amp;S (Equipment) in Q1 2023. Figures for 2022 have been restated. </text>
  </threadedComment>
  <threadedComment ref="AJ8" dT="2023-03-30T10:41:40.43" personId="{ACD2095B-F759-4F0E-9834-D018638BBBD7}" id="{7ECB876B-86FA-4464-8D6D-CA850D694DD3}">
    <text xml:space="preserve">Some equipment orders in North America were booked as operational lease, i.e has to be adjusted for. 
</text>
  </threadedComment>
  <threadedComment ref="AM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E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H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J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E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J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K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E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H15" dT="2024-03-18T12:34:55.23" personId="{ACD2095B-F759-4F0E-9834-D018638BBBD7}" id="{1D88CA78-6310-40F6-83D7-A0260020AE4F}">
    <text xml:space="preserve">Acquisitions contributed with 5%, whereof close to half relates to orders-on-hand of the acquired company JTMEC. </text>
  </threadedComment>
  <threadedComment ref="AJ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K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F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H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I62" dT="2023-01-30T12:47:54.42" personId="{ACD2095B-F759-4F0E-9834-D018638BBBD7}" id="{F2AA2B4B-4DF7-436E-8E44-750B07A5D490}">
    <text>Provisions
related to Russia of MSEK -138</text>
  </threadedComment>
  <threadedComment ref="AM62" dT="2023-10-20T09:40:51.44" personId="{ACD2095B-F759-4F0E-9834-D018638BBBD7}" id="{CC4BED75-DE88-42B6-8889-C661E9B893B5}">
    <text xml:space="preserve">Remeasurement related to a prior year acquisition of MSEK 7 </text>
  </threadedComment>
  <threadedComment ref="AN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P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Q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R62" dT="2025-07-17T11:25:00.03" personId="{ACD2095B-F759-4F0E-9834-D018638BBBD7}" id="{CD925D97-14B3-462E-B21B-30A8D68518B9}">
    <text>Earn out for the acquisition of RCT.</text>
  </threadedComment>
  <threadedComment ref="AT62" dT="2025-07-17T11:22:02.35" personId="{ACD2095B-F759-4F0E-9834-D018638BBBD7}" id="{DDAC054E-5E19-4F94-8E2D-9465F853EE28}">
    <text xml:space="preserve">Cost taken to increase efficiency onwards. </text>
  </threadedComment>
  <threadedComment ref="AU62" dT="2025-10-28T12:53:04.46" personId="{ACD2095B-F759-4F0E-9834-D018638BBBD7}" id="{4A5809C7-E551-4179-8DD9-E54144765942}">
    <text>Efficiency measures</text>
  </threadedComment>
  <threadedComment ref="AH63" dT="2023-01-30T12:49:33.95" personId="{ACD2095B-F759-4F0E-9834-D018638BBBD7}" id="{A829C189-B6B2-49C3-BAB7-B62D6DF15D72}">
    <text>Provisions of MSEK -73 related to Russia</text>
  </threadedComment>
  <threadedComment ref="AI63" dT="2023-01-30T12:49:14.01" personId="{ACD2095B-F759-4F0E-9834-D018638BBBD7}" id="{22E5553A-B126-41C2-A61F-82CB29EF54F2}">
    <text xml:space="preserve">Provisions related to Russia of
MSEK -12. </text>
  </threadedComment>
  <threadedComment ref="AN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O63" dT="2024-07-12T12:41:03.66" personId="{ACD2095B-F759-4F0E-9834-D018638BBBD7}" id="{94695940-4242-4E2A-85DC-BA1DC9AF0430}">
    <text xml:space="preserve">Transaction and integration costs for M&amp;A. (Stanley Infrastructure) </text>
  </threadedComment>
  <threadedComment ref="AP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T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U63" dT="2025-10-28T12:53:38.77" personId="{ACD2095B-F759-4F0E-9834-D018638BBBD7}" id="{5E99A81E-9382-4E8D-A2E9-07A43114C277}">
    <text xml:space="preserve">Reversed costs for previous restructuring measures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G3" dT="2023-03-30T13:07:38.56" personId="{ACD2095B-F759-4F0E-9834-D018638BBBD7}" id="{C15A2B7F-3613-4393-91CE-75CA527CD64E}">
    <text xml:space="preserve">Exploration moved from T&amp;A to E&amp;S (Equipment) in Q1 2023. Figures for 2022 have been restated. </text>
  </threadedComment>
  <threadedComment ref="AG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H165" dT="2023-03-30T13:34:29.85" personId="{ACD2095B-F759-4F0E-9834-D018638BBBD7}" id="{E28AA2E6-E573-4ECD-B700-B9212EB08E3D}">
    <text xml:space="preserve">Customer cancellations in Russia of MSEK 400
</text>
  </threadedComment>
  <threadedComment ref="AI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N24" dT="2024-01-23T16:48:26.65" personId="{ACD2095B-F759-4F0E-9834-D018638BBBD7}" id="{25ECC453-367A-4218-825F-F229F14A2459}">
    <text>This is mainly explained by a capital gain from a sale of a property in Japan of MSEK 436.</text>
  </threadedComment>
  <threadedComment ref="AI31" dT="2023-01-30T12:50:39.38" personId="{ACD2095B-F759-4F0E-9834-D018638BBBD7}" id="{57EED712-052A-4499-8C76-ECF5A2EBFC64}">
    <text>In the third quarter 2022, Epiroc acquired the full remaining non-controlling interest of Epiroc Mining India Ltd for MSEK -173.</text>
  </threadedComment>
  <threadedComment ref="AN31" dT="2024-01-23T16:29:58.79" personId="{ACD2095B-F759-4F0E-9834-D018638BBBD7}" id="{F2125FC0-DE04-452D-B4DD-62279712EF49}">
    <text xml:space="preserve">Increased ownership in Radlink. Prev. Ownership was 53%. </text>
  </threadedComment>
  <threadedComment ref="AT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G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G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D10" dT="2023-01-30T21:33:07.18" personId="{ACD2095B-F759-4F0E-9834-D018638BBBD7}" id="{3BEB8819-8E35-4389-83F4-8AD9F3BD8DE0}">
    <text>Not adjusted for Russia</text>
  </threadedComment>
  <threadedComment ref="AE10" dT="2023-01-30T21:34:45.36" personId="{ACD2095B-F759-4F0E-9834-D018638BBBD7}" id="{5D6F72A8-61D6-43A6-9054-C762E9690DA0}">
    <text>Not adjusted for Russia</text>
  </threadedComment>
  <threadedComment ref="AF10" dT="2023-01-30T21:33:07.18" personId="{ACD2095B-F759-4F0E-9834-D018638BBBD7}" id="{0E216018-8540-4487-B304-6175FC7214F8}">
    <text>Not adjusted for Russia</text>
  </threadedComment>
  <threadedComment ref="AG10" dT="2023-01-30T21:33:07.18" personId="{ACD2095B-F759-4F0E-9834-D018638BBBD7}" id="{643C53E5-1B7D-4B8F-BD90-00320AB994F6}">
    <text>Not adjusted for Russia</text>
  </threadedComment>
  <threadedComment ref="AD15" dT="2024-04-22T17:29:38.03" personId="{ACD2095B-F759-4F0E-9834-D018638BBBD7}" id="{EB0F739F-7830-44FB-8B03-49326ACFA9FA}">
    <text xml:space="preserve">See ex. Russia below. </text>
  </threadedComment>
  <threadedComment ref="AE15" dT="2024-04-22T17:29:44.11" personId="{ACD2095B-F759-4F0E-9834-D018638BBBD7}" id="{57CD25DF-2EB0-47CF-B892-0CE49B5837FC}">
    <text xml:space="preserve">See ex. Russia below. </text>
  </threadedComment>
  <threadedComment ref="AF15" dT="2024-04-22T17:29:49.41" personId="{ACD2095B-F759-4F0E-9834-D018638BBBD7}" id="{5A6B47B2-7B7D-445B-8B7A-A967EBAE5719}">
    <text xml:space="preserve">See ex. Russia below. </text>
  </threadedComment>
  <threadedComment ref="AG15" dT="2024-04-22T17:29:54.18" personId="{ACD2095B-F759-4F0E-9834-D018638BBBD7}" id="{C2082D05-75E1-441D-8B1F-981ADBCDC92B}">
    <text xml:space="preserve">See ex. Russia below. </text>
  </threadedComment>
  <threadedComment ref="AH15" dT="2024-04-22T17:30:09.36" personId="{ACD2095B-F759-4F0E-9834-D018638BBBD7}" id="{71C7E256-149B-405F-AABD-49474B7E9CA7}">
    <text xml:space="preserve">See ex. Russia below. </text>
  </threadedComment>
  <threadedComment ref="AI15" dT="2024-04-22T17:30:15.79" personId="{ACD2095B-F759-4F0E-9834-D018638BBBD7}" id="{5E712F9F-85EB-4374-B122-91B7E0A8ACF1}">
    <text xml:space="preserve">See ex. Russia below. </text>
  </threadedComment>
  <threadedComment ref="AG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G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D20" dT="2023-01-30T21:33:41.27" personId="{ACD2095B-F759-4F0E-9834-D018638BBBD7}" id="{4AF4A564-763D-47FB-BC25-C078B9E2439D}">
    <text>Not adjusted for Russia</text>
  </threadedComment>
  <threadedComment ref="AE20" dT="2023-01-30T21:33:41.27" personId="{ACD2095B-F759-4F0E-9834-D018638BBBD7}" id="{D31F566F-E5F7-4304-895F-A56C257F64B8}">
    <text>Not adjusted for Russia</text>
  </threadedComment>
  <threadedComment ref="AF20" dT="2023-01-30T21:33:41.27" personId="{ACD2095B-F759-4F0E-9834-D018638BBBD7}" id="{B9A146FC-B160-492C-A4AF-7A90C56FF065}">
    <text>Not adjusted for Russia</text>
  </threadedComment>
  <threadedComment ref="AG20" dT="2023-01-30T21:33:41.27" personId="{ACD2095B-F759-4F0E-9834-D018638BBBD7}" id="{B20C3914-1182-4A35-8FF6-EDED7EC64776}">
    <text>Not adjusted for Russia</text>
  </threadedComment>
  <threadedComment ref="AG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G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G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G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D46" dT="2023-01-30T21:33:41.27" personId="{ACD2095B-F759-4F0E-9834-D018638BBBD7}" id="{5DC6111C-3B10-46BA-8AA0-8578E05FE379}">
    <text>Not adjusted for Russia</text>
  </threadedComment>
  <threadedComment ref="AE46" dT="2023-01-30T21:33:41.27" personId="{ACD2095B-F759-4F0E-9834-D018638BBBD7}" id="{92122B31-B039-48E0-8513-EE8807FE4DE9}">
    <text>Not adjusted for Russia</text>
  </threadedComment>
  <threadedComment ref="AF46" dT="2023-01-30T21:33:41.27" personId="{ACD2095B-F759-4F0E-9834-D018638BBBD7}" id="{4803D71B-1F72-4FDC-A47B-1A8525939A7A}">
    <text>Not adjusted for Russia</text>
  </threadedComment>
  <threadedComment ref="AG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H123" dT="2025-03-11T13:45:24.27" personId="{ACD2095B-F759-4F0E-9834-D018638BBBD7}" id="{84E62534-97F0-4E9F-8F25-2FF009AF4F89}">
    <text>2023-06</text>
  </threadedComment>
  <threadedComment ref="H124" dT="2025-03-11T13:45:37.79" personId="{ACD2095B-F759-4F0E-9834-D018638BBBD7}" id="{01C3BB86-9E17-451C-9C55-191412B8D9FD}">
    <text>2023-03</text>
  </threadedComment>
  <threadedComment ref="H125" dT="2025-03-11T13:45:51.19" personId="{ACD2095B-F759-4F0E-9834-D018638BBBD7}" id="{957F0EBC-B60A-423D-A8B5-C78BA643942C}">
    <text>2023-06 (G)  2024-03 (E&amp;S)</text>
  </threadedComment>
  <threadedComment ref="H126" dT="2025-03-11T13:46:00.50" personId="{ACD2095B-F759-4F0E-9834-D018638BBBD7}" id="{DF7BE275-5FD2-475A-967B-3D7D6E2C1D0A}">
    <text>2023-12</text>
  </threadedComment>
  <threadedComment ref="H127" dT="2025-03-11T13:46:10.31" personId="{ACD2095B-F759-4F0E-9834-D018638BBBD7}" id="{B09E12F3-C577-455C-B5E6-7EAFC4E726CB}">
    <text>2024-02</text>
  </threadedComment>
  <threadedComment ref="I127" dT="2025-03-19T12:03:39.98" personId="{ACD2095B-F759-4F0E-9834-D018638BBBD7}" id="{4EFA571F-6DDA-42F3-A06B-60D1F48BC178}">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0" dT="2023-07-13T15:01:14.12" personId="{ACD2095B-F759-4F0E-9834-D018638BBBD7}" id="{60AE6F34-A108-4574-8543-87445B347050}">
    <text xml:space="preserve">The Schramm assets are not considered to be M&amp;A. Everything is reported organically. </text>
  </threadedComment>
  <threadedComment ref="H16"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drawing" Target="../drawings/drawing3.xml"/><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printerSettings" Target="../printerSettings/printerSettings14.bin"/><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comments" Target="../comments7.x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vmlDrawing" Target="../drawings/vmlDrawing7.vml"/><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printerSettings" Target="../printerSettings/printerSettings16.bin"/><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microsoft.com/office/2017/10/relationships/threadedComment" Target="../threadedComments/threadedComment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heetViews>
  <sheetFormatPr defaultColWidth="10" defaultRowHeight="13.35" customHeight="1" x14ac:dyDescent="0.2"/>
  <cols>
    <col min="1" max="1" width="4" customWidth="1"/>
    <col min="2" max="2" width="6.140625" customWidth="1"/>
    <col min="3" max="3" width="2.85546875" customWidth="1"/>
    <col min="4" max="4" width="15.85546875" customWidth="1"/>
    <col min="6" max="6" width="3.140625" customWidth="1"/>
    <col min="7" max="7" width="16.85546875" customWidth="1"/>
    <col min="8" max="8" width="75" customWidth="1"/>
    <col min="9" max="9" width="2.85546875" customWidth="1"/>
  </cols>
  <sheetData>
    <row r="1" spans="1:11" ht="15.75" x14ac:dyDescent="0.25">
      <c r="A1" s="1"/>
      <c r="B1" s="1"/>
      <c r="C1" s="2"/>
      <c r="D1" s="2"/>
      <c r="E1" s="2"/>
      <c r="F1" s="2"/>
      <c r="G1" s="2"/>
      <c r="H1" s="2"/>
      <c r="I1" s="2"/>
      <c r="J1" s="3"/>
      <c r="K1" s="3"/>
    </row>
    <row r="2" spans="1:11" ht="14.25" x14ac:dyDescent="0.2">
      <c r="A2" s="3"/>
      <c r="B2" s="3"/>
      <c r="C2" s="3"/>
      <c r="D2" s="3"/>
      <c r="E2" s="3"/>
      <c r="F2" s="3"/>
      <c r="G2" s="3"/>
      <c r="H2" s="3"/>
      <c r="I2" s="3"/>
      <c r="J2" s="3"/>
      <c r="K2" s="3"/>
    </row>
    <row r="3" spans="1:11" ht="14.25" x14ac:dyDescent="0.2">
      <c r="A3" s="3"/>
      <c r="B3" s="3"/>
      <c r="C3" s="3"/>
      <c r="D3" s="3"/>
      <c r="E3" s="3"/>
      <c r="F3" s="3"/>
      <c r="G3" s="3"/>
      <c r="H3" s="3"/>
      <c r="I3" s="3"/>
      <c r="J3" s="3"/>
      <c r="K3" s="3"/>
    </row>
    <row r="4" spans="1:11" ht="15" customHeight="1" x14ac:dyDescent="0.2">
      <c r="A4" s="3"/>
      <c r="B4" s="3"/>
      <c r="C4" s="4"/>
      <c r="D4" s="4"/>
      <c r="E4" s="4"/>
      <c r="F4" s="4"/>
      <c r="G4" s="4"/>
      <c r="H4" s="4"/>
      <c r="I4" s="3"/>
      <c r="J4" s="3"/>
      <c r="K4" s="3"/>
    </row>
    <row r="5" spans="1:11" ht="15" customHeight="1" x14ac:dyDescent="0.25">
      <c r="A5" s="3"/>
      <c r="B5" s="3"/>
      <c r="C5" s="4"/>
      <c r="D5" s="5" t="s">
        <v>0</v>
      </c>
      <c r="E5" s="4"/>
      <c r="F5" s="4"/>
      <c r="G5" s="6" t="s">
        <v>1</v>
      </c>
      <c r="H5" s="7" t="s">
        <v>2</v>
      </c>
      <c r="I5" s="8"/>
      <c r="J5" s="3"/>
      <c r="K5" s="3"/>
    </row>
    <row r="6" spans="1:11" ht="15" customHeight="1" x14ac:dyDescent="0.2">
      <c r="A6" s="3"/>
      <c r="B6" s="3"/>
      <c r="C6" s="4"/>
      <c r="D6" s="4"/>
      <c r="E6" s="4"/>
      <c r="F6" s="7"/>
      <c r="G6" s="9" t="s">
        <v>3</v>
      </c>
      <c r="H6" s="7" t="s">
        <v>4</v>
      </c>
      <c r="I6" s="8"/>
      <c r="J6" s="3"/>
      <c r="K6" s="3"/>
    </row>
    <row r="7" spans="1:11" ht="15" customHeight="1" x14ac:dyDescent="0.2">
      <c r="A7" s="3"/>
      <c r="B7" s="3"/>
      <c r="C7" s="4"/>
      <c r="D7" s="1028" t="s">
        <v>5</v>
      </c>
      <c r="E7" s="1028"/>
      <c r="F7" s="7"/>
      <c r="G7" s="9" t="s">
        <v>6</v>
      </c>
      <c r="H7" s="7" t="str">
        <f t="shared" ref="H7:H16" si="0">H6</f>
        <v>Q3 2025 - October 29, 2025</v>
      </c>
      <c r="I7" s="8"/>
      <c r="J7" s="3"/>
      <c r="K7" s="3"/>
    </row>
    <row r="8" spans="1:11" ht="15" customHeight="1" x14ac:dyDescent="0.2">
      <c r="A8" s="3"/>
      <c r="B8" s="3"/>
      <c r="C8" s="4"/>
      <c r="D8" s="1028"/>
      <c r="E8" s="1028"/>
      <c r="F8" s="7"/>
      <c r="G8" s="9" t="s">
        <v>7</v>
      </c>
      <c r="H8" s="7" t="str">
        <f t="shared" si="0"/>
        <v>Q3 2025 - October 29, 2025</v>
      </c>
      <c r="I8" s="8"/>
      <c r="J8" s="3"/>
      <c r="K8" s="3"/>
    </row>
    <row r="9" spans="1:11" ht="15" customHeight="1" x14ac:dyDescent="0.2">
      <c r="A9" s="3"/>
      <c r="B9" s="3"/>
      <c r="C9" s="4"/>
      <c r="D9" s="1028"/>
      <c r="E9" s="1028"/>
      <c r="F9" s="7"/>
      <c r="G9" s="9" t="s">
        <v>8</v>
      </c>
      <c r="H9" s="7" t="str">
        <f t="shared" si="0"/>
        <v>Q3 2025 - October 29, 2025</v>
      </c>
      <c r="I9" s="8"/>
      <c r="J9" s="3"/>
      <c r="K9" s="3"/>
    </row>
    <row r="10" spans="1:11" ht="15" customHeight="1" x14ac:dyDescent="0.2">
      <c r="A10" s="3"/>
      <c r="B10" s="3"/>
      <c r="C10" s="4"/>
      <c r="D10" s="1028"/>
      <c r="E10" s="1028"/>
      <c r="F10" s="7"/>
      <c r="G10" s="9" t="s">
        <v>9</v>
      </c>
      <c r="H10" s="7" t="str">
        <f t="shared" si="0"/>
        <v>Q3 2025 - October 29, 2025</v>
      </c>
      <c r="I10" s="8"/>
      <c r="J10" s="3"/>
      <c r="K10" s="3"/>
    </row>
    <row r="11" spans="1:11" ht="15" customHeight="1" x14ac:dyDescent="0.2">
      <c r="A11" s="3"/>
      <c r="B11" s="3"/>
      <c r="C11" s="4"/>
      <c r="D11" s="1028"/>
      <c r="E11" s="1028"/>
      <c r="F11" s="7"/>
      <c r="G11" s="9" t="s">
        <v>10</v>
      </c>
      <c r="H11" s="7" t="str">
        <f t="shared" si="0"/>
        <v>Q3 2025 - October 29, 2025</v>
      </c>
      <c r="I11" s="8"/>
      <c r="J11" s="3"/>
      <c r="K11" s="3"/>
    </row>
    <row r="12" spans="1:11" ht="15" customHeight="1" x14ac:dyDescent="0.2">
      <c r="A12" s="3"/>
      <c r="B12" s="3"/>
      <c r="C12" s="4"/>
      <c r="D12" s="1028"/>
      <c r="E12" s="1028"/>
      <c r="F12" s="7"/>
      <c r="G12" s="9" t="s">
        <v>11</v>
      </c>
      <c r="H12" s="7" t="str">
        <f t="shared" si="0"/>
        <v>Q3 2025 - October 29, 2025</v>
      </c>
      <c r="I12" s="8"/>
      <c r="J12" s="3"/>
      <c r="K12" s="3"/>
    </row>
    <row r="13" spans="1:11" ht="15" customHeight="1" x14ac:dyDescent="0.2">
      <c r="A13" s="3"/>
      <c r="B13" s="3"/>
      <c r="C13" s="4"/>
      <c r="D13" s="1028"/>
      <c r="E13" s="1028"/>
      <c r="F13" s="7"/>
      <c r="G13" s="9" t="s">
        <v>12</v>
      </c>
      <c r="H13" s="7" t="str">
        <f t="shared" si="0"/>
        <v>Q3 2025 - October 29, 2025</v>
      </c>
      <c r="I13" s="8"/>
      <c r="J13" s="3"/>
      <c r="K13" s="3"/>
    </row>
    <row r="14" spans="1:11" ht="15" customHeight="1" x14ac:dyDescent="0.2">
      <c r="A14" s="3"/>
      <c r="B14" s="3"/>
      <c r="C14" s="4"/>
      <c r="D14" s="1028"/>
      <c r="E14" s="1028"/>
      <c r="F14" s="7"/>
      <c r="G14" s="9" t="s">
        <v>13</v>
      </c>
      <c r="H14" s="7" t="str">
        <f t="shared" si="0"/>
        <v>Q3 2025 - October 29, 2025</v>
      </c>
      <c r="I14" s="8"/>
      <c r="J14" s="3"/>
      <c r="K14" s="3"/>
    </row>
    <row r="15" spans="1:11" ht="15" customHeight="1" x14ac:dyDescent="0.2">
      <c r="A15" s="3"/>
      <c r="B15" s="3"/>
      <c r="C15" s="4"/>
      <c r="D15" s="7" t="s">
        <v>14</v>
      </c>
      <c r="E15" s="10"/>
      <c r="F15" s="7"/>
      <c r="G15" s="9" t="s">
        <v>15</v>
      </c>
      <c r="H15" s="7" t="str">
        <f t="shared" si="0"/>
        <v>Q3 2025 - October 29, 2025</v>
      </c>
      <c r="I15" s="8"/>
      <c r="J15" s="3"/>
      <c r="K15" s="3"/>
    </row>
    <row r="16" spans="1:11" ht="15" customHeight="1" x14ac:dyDescent="0.2">
      <c r="A16" s="3"/>
      <c r="B16" s="3"/>
      <c r="C16" s="4"/>
      <c r="D16" s="7" t="s">
        <v>16</v>
      </c>
      <c r="E16" s="10"/>
      <c r="F16" s="7"/>
      <c r="G16" s="9" t="s">
        <v>17</v>
      </c>
      <c r="H16" s="7" t="str">
        <f t="shared" si="0"/>
        <v>Q3 2025 - October 29, 2025</v>
      </c>
      <c r="I16" s="8"/>
      <c r="J16" s="3"/>
      <c r="K16" s="3"/>
    </row>
    <row r="17" spans="1:11" ht="15" customHeight="1" x14ac:dyDescent="0.2">
      <c r="A17" s="3"/>
      <c r="B17" s="3"/>
      <c r="C17" s="4"/>
      <c r="D17" s="7" t="s">
        <v>18</v>
      </c>
      <c r="E17" s="10"/>
      <c r="F17" s="7"/>
      <c r="G17" s="9" t="s">
        <v>19</v>
      </c>
      <c r="H17" s="11" t="s">
        <v>20</v>
      </c>
      <c r="I17" s="8"/>
      <c r="J17" s="3"/>
      <c r="K17" s="3"/>
    </row>
    <row r="18" spans="1:11" ht="15" customHeight="1" x14ac:dyDescent="0.2">
      <c r="A18" s="3"/>
      <c r="B18" s="3"/>
      <c r="C18" s="4"/>
      <c r="D18" s="7"/>
      <c r="E18" s="10"/>
      <c r="F18" s="7"/>
      <c r="G18" s="9" t="s">
        <v>21</v>
      </c>
      <c r="H18" s="11" t="s">
        <v>20</v>
      </c>
      <c r="I18" s="8"/>
      <c r="J18" s="3"/>
      <c r="K18" s="3"/>
    </row>
    <row r="19" spans="1:11" ht="15" customHeight="1" x14ac:dyDescent="0.2">
      <c r="A19" s="3"/>
      <c r="B19" s="3"/>
      <c r="C19" s="4"/>
      <c r="D19" s="7" t="s">
        <v>22</v>
      </c>
      <c r="E19" s="10"/>
      <c r="F19" s="7"/>
      <c r="G19" s="9" t="s">
        <v>23</v>
      </c>
      <c r="H19" s="7" t="s">
        <v>24</v>
      </c>
      <c r="I19" s="8"/>
      <c r="J19" s="3"/>
      <c r="K19" s="3"/>
    </row>
    <row r="20" spans="1:11" ht="15" customHeight="1" x14ac:dyDescent="0.2">
      <c r="A20" s="3"/>
      <c r="B20" s="3"/>
      <c r="C20" s="4"/>
      <c r="D20" s="12" t="s">
        <v>25</v>
      </c>
      <c r="E20" s="10"/>
      <c r="F20" s="4"/>
      <c r="G20" s="9" t="s">
        <v>26</v>
      </c>
      <c r="H20" s="7" t="str">
        <f>H19</f>
        <v>Through 2025-10-29</v>
      </c>
      <c r="I20" s="8"/>
      <c r="J20" s="3"/>
      <c r="K20" s="3"/>
    </row>
    <row r="21" spans="1:11" ht="15" customHeight="1" x14ac:dyDescent="0.2">
      <c r="A21" s="3"/>
      <c r="B21" s="3"/>
      <c r="C21" s="4"/>
      <c r="D21" s="7"/>
      <c r="E21" s="10"/>
      <c r="F21" s="4"/>
      <c r="G21" s="13" t="s">
        <v>27</v>
      </c>
      <c r="H21" s="14" t="s">
        <v>28</v>
      </c>
      <c r="I21" s="8"/>
      <c r="J21" s="3"/>
      <c r="K21" s="3"/>
    </row>
    <row r="22" spans="1:11" ht="15" customHeight="1" x14ac:dyDescent="0.2">
      <c r="A22" s="3"/>
      <c r="B22" s="3"/>
      <c r="C22" s="4"/>
      <c r="D22" s="7"/>
      <c r="E22" s="10"/>
      <c r="F22" s="4"/>
      <c r="G22" s="13" t="s">
        <v>29</v>
      </c>
      <c r="H22" s="14" t="s">
        <v>30</v>
      </c>
      <c r="I22" s="8"/>
      <c r="J22" s="3"/>
      <c r="K22" s="3"/>
    </row>
    <row r="23" spans="1:11" ht="15" customHeight="1" x14ac:dyDescent="0.2">
      <c r="A23" s="3"/>
      <c r="B23" s="3"/>
      <c r="C23" s="4"/>
      <c r="D23" s="4"/>
      <c r="E23" s="15"/>
      <c r="F23" s="15"/>
      <c r="G23" s="15"/>
      <c r="H23" s="11"/>
      <c r="I23" s="8"/>
      <c r="J23" s="3"/>
      <c r="K23" s="3"/>
    </row>
    <row r="24" spans="1:11" ht="15" customHeight="1" x14ac:dyDescent="0.2">
      <c r="A24" s="3"/>
      <c r="B24" s="3"/>
      <c r="C24" s="3"/>
      <c r="D24" s="3"/>
      <c r="E24" s="3"/>
      <c r="F24" s="3"/>
      <c r="G24" s="3"/>
      <c r="H24" s="3"/>
      <c r="I24" s="3"/>
      <c r="J24" s="3"/>
      <c r="K24" s="3"/>
    </row>
    <row r="25" spans="1:11" ht="15" customHeight="1" x14ac:dyDescent="0.2">
      <c r="A25" s="3"/>
      <c r="B25" s="3"/>
      <c r="C25" s="3"/>
      <c r="D25" s="3"/>
      <c r="E25" s="3"/>
      <c r="F25" s="3"/>
      <c r="G25" s="3"/>
      <c r="H25" s="3"/>
      <c r="I25" s="3"/>
      <c r="J25" s="3"/>
      <c r="K25" s="3"/>
    </row>
    <row r="26" spans="1:11" ht="15" customHeight="1" x14ac:dyDescent="0.2">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D33"/>
  <sheetViews>
    <sheetView showGridLines="0" workbookViewId="0"/>
  </sheetViews>
  <sheetFormatPr defaultColWidth="10" defaultRowHeight="13.35" customHeight="1" x14ac:dyDescent="0.2"/>
  <cols>
    <col min="1" max="1" width="22.85546875" customWidth="1"/>
    <col min="2" max="2" width="6.85546875" bestFit="1" customWidth="1"/>
    <col min="3" max="3" width="7.85546875" bestFit="1" customWidth="1"/>
    <col min="4" max="4" width="5.140625" bestFit="1" customWidth="1"/>
    <col min="5" max="5" width="7.85546875" bestFit="1" customWidth="1"/>
    <col min="6" max="6" width="5.140625" bestFit="1" customWidth="1"/>
    <col min="7" max="7" width="7.85546875" bestFit="1" customWidth="1"/>
    <col min="8" max="8" width="5.140625" bestFit="1" customWidth="1"/>
    <col min="9" max="9" width="7.85546875" bestFit="1" customWidth="1"/>
    <col min="10" max="10" width="5.140625" bestFit="1" customWidth="1"/>
    <col min="11" max="11" width="7.85546875" bestFit="1" customWidth="1"/>
    <col min="12" max="12" width="5.140625" bestFit="1" customWidth="1"/>
    <col min="13" max="13" width="7.85546875" bestFit="1" customWidth="1"/>
    <col min="14" max="14" width="5.85546875" bestFit="1" customWidth="1"/>
    <col min="15" max="15" width="7.85546875" bestFit="1" customWidth="1"/>
    <col min="16" max="16" width="5.85546875" bestFit="1" customWidth="1"/>
    <col min="17" max="17" width="7.85546875" bestFit="1" customWidth="1"/>
    <col min="18" max="18" width="5.85546875" bestFit="1" customWidth="1"/>
    <col min="19" max="19" width="7.85546875" bestFit="1" customWidth="1"/>
    <col min="20" max="20" width="4" customWidth="1"/>
    <col min="21" max="21" width="8.85546875" bestFit="1" customWidth="1"/>
    <col min="22" max="22" width="7.85546875" bestFit="1" customWidth="1"/>
    <col min="23" max="23" width="5.140625" bestFit="1" customWidth="1"/>
    <col min="24" max="24" width="7.85546875" bestFit="1" customWidth="1"/>
    <col min="25" max="25" width="5.140625" bestFit="1" customWidth="1"/>
    <col min="26" max="26" width="7.85546875" bestFit="1" customWidth="1"/>
    <col min="27" max="27" width="5.140625" bestFit="1" customWidth="1"/>
    <col min="28" max="28" width="7.85546875" bestFit="1" customWidth="1"/>
    <col min="29" max="29" width="8.85546875" bestFit="1" customWidth="1"/>
    <col min="30" max="30" width="7.85546875" bestFit="1" customWidth="1"/>
    <col min="31" max="31" width="5.140625" bestFit="1" customWidth="1"/>
    <col min="32" max="32" width="7.85546875" bestFit="1" customWidth="1"/>
    <col min="33" max="33" width="5.140625" bestFit="1" customWidth="1"/>
    <col min="34" max="34" width="7.85546875" bestFit="1" customWidth="1"/>
    <col min="35" max="35" width="5.140625" bestFit="1" customWidth="1"/>
    <col min="36" max="36" width="7.85546875" bestFit="1" customWidth="1"/>
    <col min="37" max="37" width="5.140625" bestFit="1" customWidth="1"/>
    <col min="38" max="38" width="7.85546875" bestFit="1" customWidth="1"/>
    <col min="39" max="39" width="5.140625" bestFit="1" customWidth="1"/>
    <col min="40" max="40" width="7.85546875" bestFit="1" customWidth="1"/>
    <col min="41" max="41" width="5.140625" bestFit="1" customWidth="1"/>
    <col min="42" max="42" width="7.85546875" bestFit="1" customWidth="1"/>
    <col min="43" max="43" width="5.140625" bestFit="1" customWidth="1"/>
    <col min="44" max="44" width="7.85546875" bestFit="1" customWidth="1"/>
    <col min="45" max="45" width="5.140625" bestFit="1" customWidth="1"/>
    <col min="46" max="46" width="7.85546875" bestFit="1" customWidth="1"/>
    <col min="47" max="47" width="5.140625" bestFit="1" customWidth="1"/>
    <col min="48" max="48" width="7.85546875" bestFit="1" customWidth="1"/>
    <col min="49" max="49" width="5.140625" bestFit="1" customWidth="1"/>
    <col min="50" max="50" width="7.85546875" bestFit="1" customWidth="1"/>
    <col min="51" max="51" width="5.140625" bestFit="1" customWidth="1"/>
    <col min="52" max="52" width="7.85546875" bestFit="1" customWidth="1"/>
    <col min="53" max="53" width="5.140625" bestFit="1" customWidth="1"/>
    <col min="54" max="54" width="7.85546875" bestFit="1" customWidth="1"/>
    <col min="55" max="55" width="5.140625" bestFit="1" customWidth="1"/>
    <col min="56" max="56" width="7.85546875" bestFit="1" customWidth="1"/>
    <col min="57" max="57" width="5.140625" bestFit="1" customWidth="1"/>
    <col min="58" max="58" width="7.85546875" bestFit="1" customWidth="1"/>
    <col min="59" max="59" width="5.140625" bestFit="1" customWidth="1"/>
    <col min="60" max="60" width="7.85546875" bestFit="1" customWidth="1"/>
    <col min="61" max="61" width="5.140625" bestFit="1" customWidth="1"/>
    <col min="62" max="62" width="7.85546875" bestFit="1" customWidth="1"/>
    <col min="63" max="63" width="5.140625" bestFit="1" customWidth="1"/>
    <col min="64" max="64" width="7.85546875" bestFit="1" customWidth="1"/>
    <col min="65" max="65" width="5.140625" bestFit="1" customWidth="1"/>
    <col min="66" max="66" width="7.85546875" bestFit="1" customWidth="1"/>
    <col min="67" max="67" width="5.140625" bestFit="1" customWidth="1"/>
    <col min="68" max="68" width="7.85546875" bestFit="1" customWidth="1"/>
    <col min="69" max="69" width="5.140625" bestFit="1" customWidth="1"/>
    <col min="70" max="70" width="7.85546875" bestFit="1" customWidth="1"/>
    <col min="71" max="71" width="5.140625" bestFit="1" customWidth="1"/>
    <col min="72" max="72" width="7.85546875" bestFit="1" customWidth="1"/>
    <col min="73" max="73" width="5.140625" bestFit="1" customWidth="1"/>
    <col min="74" max="74" width="7.85546875" bestFit="1" customWidth="1"/>
    <col min="75" max="75" width="5.140625" bestFit="1" customWidth="1"/>
    <col min="76" max="76" width="7.85546875" bestFit="1" customWidth="1"/>
    <col min="77" max="77" width="5.140625" bestFit="1" customWidth="1"/>
    <col min="78" max="78" width="7.85546875" bestFit="1" customWidth="1"/>
    <col min="79" max="79" width="5.140625" bestFit="1" customWidth="1"/>
    <col min="80" max="80" width="7.85546875" bestFit="1" customWidth="1"/>
    <col min="81" max="81" width="5.140625" customWidth="1"/>
    <col min="82" max="82" width="7.85546875" customWidth="1"/>
  </cols>
  <sheetData>
    <row r="1" spans="1:82" ht="16.5" thickBot="1" x14ac:dyDescent="0.3">
      <c r="A1" s="1" t="s">
        <v>510</v>
      </c>
      <c r="B1" s="88" t="s">
        <v>127</v>
      </c>
      <c r="C1" s="89"/>
      <c r="D1" s="89"/>
      <c r="E1" s="89"/>
      <c r="F1" s="89"/>
      <c r="G1" s="89"/>
      <c r="H1" s="89"/>
      <c r="I1" s="89"/>
      <c r="J1" s="89"/>
      <c r="K1" s="89"/>
      <c r="L1" s="89"/>
      <c r="M1" s="89"/>
      <c r="N1" s="89"/>
      <c r="O1" s="89"/>
      <c r="P1" s="89"/>
      <c r="Q1" s="89"/>
      <c r="R1" s="89"/>
      <c r="S1" s="89"/>
      <c r="T1" s="272"/>
      <c r="U1" s="88" t="s">
        <v>128</v>
      </c>
      <c r="V1" s="89"/>
      <c r="W1" s="89"/>
      <c r="X1" s="89"/>
      <c r="Y1" s="89"/>
      <c r="Z1" s="89"/>
      <c r="AA1" s="89"/>
      <c r="AB1" s="91"/>
      <c r="AC1" s="88"/>
      <c r="AD1" s="89"/>
      <c r="AE1" s="89"/>
      <c r="AF1" s="89"/>
      <c r="AG1" s="89"/>
      <c r="AH1" s="89"/>
      <c r="AI1" s="89"/>
      <c r="AJ1" s="91"/>
      <c r="AK1" s="88"/>
      <c r="AL1" s="89"/>
      <c r="AM1" s="89"/>
      <c r="AN1" s="89"/>
      <c r="AO1" s="89"/>
      <c r="AP1" s="89"/>
      <c r="AQ1" s="89"/>
      <c r="AR1" s="91"/>
      <c r="AS1" s="88"/>
      <c r="AT1" s="89"/>
      <c r="AU1" s="89"/>
      <c r="AV1" s="89"/>
      <c r="AW1" s="89"/>
      <c r="AX1" s="89"/>
      <c r="AY1" s="89"/>
      <c r="AZ1" s="91"/>
      <c r="BA1" s="88"/>
      <c r="BB1" s="89"/>
      <c r="BC1" s="89"/>
      <c r="BD1" s="89"/>
      <c r="BE1" s="89"/>
      <c r="BF1" s="89"/>
      <c r="BG1" s="89"/>
      <c r="BH1" s="91"/>
      <c r="BI1" s="88"/>
      <c r="BJ1" s="89"/>
      <c r="BK1" s="89"/>
      <c r="BL1" s="89"/>
      <c r="BM1" s="89"/>
      <c r="BN1" s="89"/>
      <c r="BO1" s="89"/>
      <c r="BP1" s="91"/>
      <c r="BQ1" s="88"/>
      <c r="BR1" s="89"/>
      <c r="BS1" s="89"/>
      <c r="BT1" s="89"/>
      <c r="BU1" s="89"/>
      <c r="BV1" s="89"/>
      <c r="BW1" s="89"/>
      <c r="BX1" s="91"/>
      <c r="BY1" s="88"/>
      <c r="BZ1" s="89"/>
      <c r="CA1" s="89"/>
      <c r="CB1" s="89"/>
      <c r="CC1" s="89"/>
      <c r="CD1" s="89"/>
    </row>
    <row r="2" spans="1:82" ht="14.25" thickTop="1" thickBot="1" x14ac:dyDescent="0.25">
      <c r="A2" s="19" t="s">
        <v>32</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4"/>
      <c r="AC2" s="272"/>
      <c r="AD2" s="272"/>
      <c r="AE2" s="272"/>
      <c r="AF2" s="272"/>
      <c r="AG2" s="272"/>
      <c r="AH2" s="272"/>
      <c r="AI2" s="272"/>
      <c r="AJ2" s="274"/>
      <c r="AK2" s="272"/>
      <c r="AL2" s="272"/>
      <c r="AM2" s="272"/>
      <c r="AN2" s="272"/>
      <c r="AO2" s="272"/>
      <c r="AP2" s="272"/>
      <c r="AQ2" s="272"/>
      <c r="AR2" s="274"/>
      <c r="AS2" s="272"/>
      <c r="AT2" s="272"/>
      <c r="AU2" s="272"/>
      <c r="AV2" s="272"/>
      <c r="AW2" s="272"/>
      <c r="AX2" s="272"/>
      <c r="AY2" s="272"/>
      <c r="AZ2" s="274"/>
      <c r="BA2" s="272"/>
      <c r="BB2" s="272"/>
      <c r="BC2" s="272"/>
      <c r="BD2" s="272"/>
      <c r="BE2" s="272"/>
      <c r="BF2" s="272"/>
      <c r="BG2" s="272"/>
      <c r="BH2" s="274"/>
      <c r="BI2" s="272"/>
      <c r="BJ2" s="272"/>
      <c r="BK2" s="272"/>
      <c r="BL2" s="272"/>
      <c r="BM2" s="272"/>
      <c r="BN2" s="272"/>
      <c r="BO2" s="272"/>
      <c r="BP2" s="274"/>
      <c r="BQ2" s="272"/>
      <c r="BR2" s="272"/>
      <c r="BS2" s="272"/>
      <c r="BT2" s="272"/>
      <c r="BU2" s="272"/>
      <c r="BV2" s="272"/>
      <c r="BW2" s="272"/>
      <c r="BX2" s="274"/>
      <c r="BY2" s="272"/>
      <c r="BZ2" s="272"/>
      <c r="CA2" s="272"/>
      <c r="CB2" s="272"/>
      <c r="CC2" s="272"/>
      <c r="CD2" s="272"/>
    </row>
    <row r="3" spans="1:82" ht="13.5" thickTop="1" x14ac:dyDescent="0.2">
      <c r="A3" s="446" t="s">
        <v>192</v>
      </c>
      <c r="B3" s="1034" t="s">
        <v>511</v>
      </c>
      <c r="C3" s="1034"/>
      <c r="D3" s="1034" t="s">
        <v>512</v>
      </c>
      <c r="E3" s="1034"/>
      <c r="F3" s="1034" t="s">
        <v>513</v>
      </c>
      <c r="G3" s="1034"/>
      <c r="H3" s="1034" t="s">
        <v>514</v>
      </c>
      <c r="I3" s="1034"/>
      <c r="J3" s="1034" t="s">
        <v>515</v>
      </c>
      <c r="K3" s="1034"/>
      <c r="L3" s="1034" t="s">
        <v>516</v>
      </c>
      <c r="M3" s="1034"/>
      <c r="N3" s="1034" t="s">
        <v>517</v>
      </c>
      <c r="O3" s="1034"/>
      <c r="P3" s="1034" t="s">
        <v>518</v>
      </c>
      <c r="Q3" s="1034"/>
      <c r="R3" s="1034" t="s">
        <v>519</v>
      </c>
      <c r="S3" s="1034"/>
      <c r="T3" s="450"/>
      <c r="U3" s="1034" t="s">
        <v>520</v>
      </c>
      <c r="V3" s="1034"/>
      <c r="W3" s="1034" t="s">
        <v>521</v>
      </c>
      <c r="X3" s="1034"/>
      <c r="Y3" s="1034" t="s">
        <v>522</v>
      </c>
      <c r="Z3" s="1034"/>
      <c r="AA3" s="1034" t="s">
        <v>523</v>
      </c>
      <c r="AB3" s="1038"/>
      <c r="AC3" s="1034" t="s">
        <v>524</v>
      </c>
      <c r="AD3" s="1034"/>
      <c r="AE3" s="1034" t="s">
        <v>525</v>
      </c>
      <c r="AF3" s="1034"/>
      <c r="AG3" s="1034" t="s">
        <v>526</v>
      </c>
      <c r="AH3" s="1034"/>
      <c r="AI3" s="1034" t="s">
        <v>527</v>
      </c>
      <c r="AJ3" s="1038"/>
      <c r="AK3" s="1034" t="s">
        <v>528</v>
      </c>
      <c r="AL3" s="1034"/>
      <c r="AM3" s="1034" t="s">
        <v>529</v>
      </c>
      <c r="AN3" s="1034"/>
      <c r="AO3" s="1031" t="s">
        <v>530</v>
      </c>
      <c r="AP3" s="1031"/>
      <c r="AQ3" s="1031" t="s">
        <v>531</v>
      </c>
      <c r="AR3" s="1032"/>
      <c r="AS3" s="1034" t="s">
        <v>532</v>
      </c>
      <c r="AT3" s="1034"/>
      <c r="AU3" s="1034" t="s">
        <v>533</v>
      </c>
      <c r="AV3" s="1034"/>
      <c r="AW3" s="1034" t="s">
        <v>534</v>
      </c>
      <c r="AX3" s="1034"/>
      <c r="AY3" s="1031" t="s">
        <v>535</v>
      </c>
      <c r="AZ3" s="1032"/>
      <c r="BA3" s="1033" t="s">
        <v>536</v>
      </c>
      <c r="BB3" s="1033"/>
      <c r="BC3" s="1034" t="s">
        <v>537</v>
      </c>
      <c r="BD3" s="1034"/>
      <c r="BE3" s="1034" t="s">
        <v>538</v>
      </c>
      <c r="BF3" s="1034"/>
      <c r="BG3" s="1031" t="s">
        <v>539</v>
      </c>
      <c r="BH3" s="1032"/>
      <c r="BI3" s="1033" t="s">
        <v>540</v>
      </c>
      <c r="BJ3" s="1033"/>
      <c r="BK3" s="1034" t="s">
        <v>541</v>
      </c>
      <c r="BL3" s="1034"/>
      <c r="BM3" s="1034" t="s">
        <v>542</v>
      </c>
      <c r="BN3" s="1034"/>
      <c r="BO3" s="1031" t="s">
        <v>543</v>
      </c>
      <c r="BP3" s="1032"/>
      <c r="BQ3" s="1033" t="s">
        <v>544</v>
      </c>
      <c r="BR3" s="1033"/>
      <c r="BS3" s="1034" t="s">
        <v>545</v>
      </c>
      <c r="BT3" s="1034"/>
      <c r="BU3" s="1034" t="s">
        <v>546</v>
      </c>
      <c r="BV3" s="1034"/>
      <c r="BW3" s="1031" t="s">
        <v>547</v>
      </c>
      <c r="BX3" s="1032"/>
      <c r="BY3" s="1033" t="s">
        <v>548</v>
      </c>
      <c r="BZ3" s="1033"/>
      <c r="CA3" s="1034" t="s">
        <v>549</v>
      </c>
      <c r="CB3" s="1034"/>
      <c r="CC3" s="1034" t="s">
        <v>550</v>
      </c>
      <c r="CD3" s="1034"/>
    </row>
    <row r="4" spans="1:82" ht="12.75" x14ac:dyDescent="0.2">
      <c r="A4" s="451" t="s">
        <v>301</v>
      </c>
      <c r="B4" s="452" t="s">
        <v>264</v>
      </c>
      <c r="C4" s="452" t="s">
        <v>551</v>
      </c>
      <c r="D4" s="452" t="s">
        <v>264</v>
      </c>
      <c r="E4" s="452" t="s">
        <v>551</v>
      </c>
      <c r="F4" s="452" t="s">
        <v>264</v>
      </c>
      <c r="G4" s="452" t="s">
        <v>551</v>
      </c>
      <c r="H4" s="452" t="s">
        <v>264</v>
      </c>
      <c r="I4" s="452" t="s">
        <v>551</v>
      </c>
      <c r="J4" s="452" t="s">
        <v>264</v>
      </c>
      <c r="K4" s="452" t="s">
        <v>551</v>
      </c>
      <c r="L4" s="452" t="s">
        <v>264</v>
      </c>
      <c r="M4" s="452" t="s">
        <v>551</v>
      </c>
      <c r="N4" s="452" t="s">
        <v>264</v>
      </c>
      <c r="O4" s="452" t="s">
        <v>551</v>
      </c>
      <c r="P4" s="452" t="s">
        <v>264</v>
      </c>
      <c r="Q4" s="452" t="s">
        <v>551</v>
      </c>
      <c r="R4" s="452" t="s">
        <v>264</v>
      </c>
      <c r="S4" s="452" t="s">
        <v>551</v>
      </c>
      <c r="T4" s="272"/>
      <c r="U4" s="452" t="s">
        <v>264</v>
      </c>
      <c r="V4" s="452" t="s">
        <v>551</v>
      </c>
      <c r="W4" s="452" t="s">
        <v>264</v>
      </c>
      <c r="X4" s="452" t="s">
        <v>551</v>
      </c>
      <c r="Y4" s="452" t="s">
        <v>264</v>
      </c>
      <c r="Z4" s="452" t="s">
        <v>551</v>
      </c>
      <c r="AA4" s="452" t="s">
        <v>264</v>
      </c>
      <c r="AB4" s="453" t="s">
        <v>551</v>
      </c>
      <c r="AC4" s="452" t="s">
        <v>264</v>
      </c>
      <c r="AD4" s="452" t="s">
        <v>551</v>
      </c>
      <c r="AE4" s="452" t="s">
        <v>264</v>
      </c>
      <c r="AF4" s="452" t="s">
        <v>551</v>
      </c>
      <c r="AG4" s="452" t="s">
        <v>264</v>
      </c>
      <c r="AH4" s="452" t="s">
        <v>551</v>
      </c>
      <c r="AI4" s="452" t="s">
        <v>264</v>
      </c>
      <c r="AJ4" s="453" t="s">
        <v>551</v>
      </c>
      <c r="AK4" s="452" t="s">
        <v>264</v>
      </c>
      <c r="AL4" s="452" t="s">
        <v>551</v>
      </c>
      <c r="AM4" s="452" t="s">
        <v>264</v>
      </c>
      <c r="AN4" s="452" t="s">
        <v>551</v>
      </c>
      <c r="AO4" s="452" t="s">
        <v>264</v>
      </c>
      <c r="AP4" s="452" t="s">
        <v>551</v>
      </c>
      <c r="AQ4" s="452" t="s">
        <v>264</v>
      </c>
      <c r="AR4" s="453" t="s">
        <v>551</v>
      </c>
      <c r="AS4" s="452" t="s">
        <v>264</v>
      </c>
      <c r="AT4" s="452" t="s">
        <v>551</v>
      </c>
      <c r="AU4" s="452" t="s">
        <v>264</v>
      </c>
      <c r="AV4" s="452" t="s">
        <v>551</v>
      </c>
      <c r="AW4" s="452" t="s">
        <v>264</v>
      </c>
      <c r="AX4" s="452" t="s">
        <v>551</v>
      </c>
      <c r="AY4" s="452" t="s">
        <v>264</v>
      </c>
      <c r="AZ4" s="453" t="s">
        <v>551</v>
      </c>
      <c r="BA4" s="452" t="s">
        <v>264</v>
      </c>
      <c r="BB4" s="452" t="s">
        <v>551</v>
      </c>
      <c r="BC4" s="452" t="s">
        <v>264</v>
      </c>
      <c r="BD4" s="452" t="s">
        <v>551</v>
      </c>
      <c r="BE4" s="452" t="s">
        <v>264</v>
      </c>
      <c r="BF4" s="452" t="s">
        <v>551</v>
      </c>
      <c r="BG4" s="452" t="s">
        <v>264</v>
      </c>
      <c r="BH4" s="453" t="s">
        <v>551</v>
      </c>
      <c r="BI4" s="452" t="s">
        <v>264</v>
      </c>
      <c r="BJ4" s="452" t="s">
        <v>551</v>
      </c>
      <c r="BK4" s="452" t="s">
        <v>264</v>
      </c>
      <c r="BL4" s="452" t="s">
        <v>551</v>
      </c>
      <c r="BM4" s="452" t="s">
        <v>264</v>
      </c>
      <c r="BN4" s="452" t="s">
        <v>551</v>
      </c>
      <c r="BO4" s="452" t="s">
        <v>264</v>
      </c>
      <c r="BP4" s="453" t="s">
        <v>551</v>
      </c>
      <c r="BQ4" s="452" t="s">
        <v>264</v>
      </c>
      <c r="BR4" s="452" t="s">
        <v>551</v>
      </c>
      <c r="BS4" s="452" t="s">
        <v>264</v>
      </c>
      <c r="BT4" s="452" t="s">
        <v>551</v>
      </c>
      <c r="BU4" s="452" t="s">
        <v>264</v>
      </c>
      <c r="BV4" s="452" t="s">
        <v>551</v>
      </c>
      <c r="BW4" s="452" t="s">
        <v>264</v>
      </c>
      <c r="BX4" s="453" t="s">
        <v>551</v>
      </c>
      <c r="BY4" s="452" t="s">
        <v>264</v>
      </c>
      <c r="BZ4" s="452" t="s">
        <v>551</v>
      </c>
      <c r="CA4" s="452" t="s">
        <v>264</v>
      </c>
      <c r="CB4" s="452" t="s">
        <v>551</v>
      </c>
      <c r="CC4" s="452" t="s">
        <v>264</v>
      </c>
      <c r="CD4" s="452" t="s">
        <v>551</v>
      </c>
    </row>
    <row r="5" spans="1:82" ht="12.75" x14ac:dyDescent="0.2">
      <c r="A5" s="400" t="s">
        <v>481</v>
      </c>
      <c r="B5" s="454">
        <v>5175</v>
      </c>
      <c r="C5" s="455">
        <v>18.100000000000001</v>
      </c>
      <c r="D5" s="454">
        <v>4548</v>
      </c>
      <c r="E5" s="455">
        <v>16.782080000000001</v>
      </c>
      <c r="F5" s="454">
        <v>5930</v>
      </c>
      <c r="G5" s="455">
        <v>18.899999999999999</v>
      </c>
      <c r="H5" s="454">
        <v>7385</v>
      </c>
      <c r="I5" s="455">
        <v>19.3</v>
      </c>
      <c r="J5" s="454">
        <v>8136</v>
      </c>
      <c r="K5" s="455">
        <v>19.900000000000002</v>
      </c>
      <c r="L5" s="454">
        <v>7382</v>
      </c>
      <c r="M5" s="455">
        <v>20.399999999999999</v>
      </c>
      <c r="N5" s="454">
        <v>8995</v>
      </c>
      <c r="O5" s="455">
        <v>22.7</v>
      </c>
      <c r="P5" s="454">
        <v>11147</v>
      </c>
      <c r="Q5" s="455">
        <v>22.400000000000002</v>
      </c>
      <c r="R5" s="454">
        <v>13183</v>
      </c>
      <c r="S5" s="455">
        <v>21.8</v>
      </c>
      <c r="T5" s="272"/>
      <c r="U5" s="454">
        <v>1414</v>
      </c>
      <c r="V5" s="455">
        <v>19.100000000000001</v>
      </c>
      <c r="W5" s="454">
        <v>1468</v>
      </c>
      <c r="X5" s="455">
        <v>18.600000000000001</v>
      </c>
      <c r="Y5" s="454">
        <v>1520</v>
      </c>
      <c r="Z5" s="455">
        <v>20</v>
      </c>
      <c r="AA5" s="454">
        <v>1528</v>
      </c>
      <c r="AB5" s="456">
        <v>18.099999999999998</v>
      </c>
      <c r="AC5" s="454">
        <v>1515</v>
      </c>
      <c r="AD5" s="455">
        <v>18.399999999999999</v>
      </c>
      <c r="AE5" s="454">
        <v>1810</v>
      </c>
      <c r="AF5" s="455">
        <v>18.399999999999999</v>
      </c>
      <c r="AG5" s="454">
        <v>1898</v>
      </c>
      <c r="AH5" s="455">
        <v>19.7</v>
      </c>
      <c r="AI5" s="454">
        <v>2162</v>
      </c>
      <c r="AJ5" s="456">
        <v>20.5</v>
      </c>
      <c r="AK5" s="454">
        <v>1930</v>
      </c>
      <c r="AL5" s="455">
        <v>19.7</v>
      </c>
      <c r="AM5" s="454">
        <v>2263</v>
      </c>
      <c r="AN5" s="455">
        <v>21.3</v>
      </c>
      <c r="AO5" s="454">
        <v>1927</v>
      </c>
      <c r="AP5" s="455">
        <v>19</v>
      </c>
      <c r="AQ5" s="454">
        <v>2016</v>
      </c>
      <c r="AR5" s="456">
        <v>19.600000000000001</v>
      </c>
      <c r="AS5" s="454">
        <v>1932</v>
      </c>
      <c r="AT5" s="455">
        <v>21.2</v>
      </c>
      <c r="AU5" s="454">
        <v>1418</v>
      </c>
      <c r="AV5" s="455">
        <v>16.8</v>
      </c>
      <c r="AW5" s="454">
        <v>1820</v>
      </c>
      <c r="AX5" s="455">
        <v>20.9</v>
      </c>
      <c r="AY5" s="454">
        <v>2212</v>
      </c>
      <c r="AZ5" s="456">
        <v>22.6</v>
      </c>
      <c r="BA5" s="454">
        <v>1867</v>
      </c>
      <c r="BB5" s="455">
        <v>21.3</v>
      </c>
      <c r="BC5" s="454">
        <v>2182</v>
      </c>
      <c r="BD5" s="455">
        <v>22.400000000000002</v>
      </c>
      <c r="BE5" s="454">
        <v>2352</v>
      </c>
      <c r="BF5" s="455">
        <v>23.599999999999998</v>
      </c>
      <c r="BG5" s="454">
        <v>2594</v>
      </c>
      <c r="BH5" s="456">
        <v>23.200000000000003</v>
      </c>
      <c r="BI5" s="454">
        <v>2631</v>
      </c>
      <c r="BJ5" s="455">
        <v>23.7</v>
      </c>
      <c r="BK5" s="454">
        <v>2381</v>
      </c>
      <c r="BL5" s="455">
        <v>20.100000000000001</v>
      </c>
      <c r="BM5" s="454">
        <v>2900</v>
      </c>
      <c r="BN5" s="455">
        <v>22.7</v>
      </c>
      <c r="BO5" s="454">
        <v>3235</v>
      </c>
      <c r="BP5" s="456">
        <v>23.200000000000003</v>
      </c>
      <c r="BQ5" s="454">
        <v>3161</v>
      </c>
      <c r="BR5" s="455">
        <v>22.8</v>
      </c>
      <c r="BS5" s="454">
        <v>3413</v>
      </c>
      <c r="BT5" s="455">
        <v>21.5</v>
      </c>
      <c r="BU5" s="454">
        <v>3260</v>
      </c>
      <c r="BV5" s="455">
        <v>21.7</v>
      </c>
      <c r="BW5" s="454">
        <v>3349</v>
      </c>
      <c r="BX5" s="456">
        <v>21.5</v>
      </c>
      <c r="BY5" s="454">
        <v>2760</v>
      </c>
      <c r="BZ5" s="455">
        <v>19.5</v>
      </c>
      <c r="CA5" s="454">
        <v>2921</v>
      </c>
      <c r="CB5" s="455">
        <v>17.7</v>
      </c>
      <c r="CC5" s="454">
        <v>3277</v>
      </c>
      <c r="CD5" s="455">
        <v>20.9</v>
      </c>
    </row>
    <row r="6" spans="1:82" ht="12.75" x14ac:dyDescent="0.2">
      <c r="A6" s="403" t="s">
        <v>482</v>
      </c>
      <c r="B6" s="457"/>
      <c r="C6" s="457">
        <v>-0.8</v>
      </c>
      <c r="D6" s="454"/>
      <c r="E6" s="457">
        <v>1.6</v>
      </c>
      <c r="F6" s="454">
        <v>1500</v>
      </c>
      <c r="G6" s="457">
        <v>1.0999999999999999</v>
      </c>
      <c r="H6" s="454">
        <v>164</v>
      </c>
      <c r="I6" s="457">
        <v>0.3</v>
      </c>
      <c r="J6" s="454">
        <v>-651</v>
      </c>
      <c r="K6" s="457">
        <v>-0.8</v>
      </c>
      <c r="L6" s="454">
        <v>1899</v>
      </c>
      <c r="M6" s="457">
        <v>2.6</v>
      </c>
      <c r="N6" s="454">
        <v>1932</v>
      </c>
      <c r="O6" s="457">
        <v>2</v>
      </c>
      <c r="P6" s="454">
        <v>394</v>
      </c>
      <c r="Q6" s="457">
        <v>-1</v>
      </c>
      <c r="R6" s="454">
        <v>-988</v>
      </c>
      <c r="S6" s="457">
        <v>-1.9</v>
      </c>
      <c r="T6" s="272"/>
      <c r="U6" s="454">
        <v>245</v>
      </c>
      <c r="V6" s="457">
        <v>0.8</v>
      </c>
      <c r="W6" s="454">
        <v>539</v>
      </c>
      <c r="X6" s="457">
        <v>2.2000000000000002</v>
      </c>
      <c r="Y6" s="454">
        <v>309</v>
      </c>
      <c r="Z6" s="457">
        <v>0.2</v>
      </c>
      <c r="AA6" s="454">
        <v>407</v>
      </c>
      <c r="AB6" s="458">
        <v>1</v>
      </c>
      <c r="AC6" s="454">
        <v>188</v>
      </c>
      <c r="AD6" s="457">
        <v>-0.2</v>
      </c>
      <c r="AE6" s="454">
        <v>144</v>
      </c>
      <c r="AF6" s="457">
        <v>0.8</v>
      </c>
      <c r="AG6" s="454">
        <v>3</v>
      </c>
      <c r="AH6" s="457">
        <v>0.70000000000000007</v>
      </c>
      <c r="AI6" s="454">
        <v>-172</v>
      </c>
      <c r="AJ6" s="458">
        <v>-0.3</v>
      </c>
      <c r="AK6" s="454">
        <v>-222</v>
      </c>
      <c r="AL6" s="457">
        <v>-0.9</v>
      </c>
      <c r="AM6" s="454">
        <v>-635</v>
      </c>
      <c r="AN6" s="457">
        <v>-3.5000000000000004</v>
      </c>
      <c r="AO6" s="454">
        <v>-230</v>
      </c>
      <c r="AP6" s="457">
        <v>-2.2999999999999998</v>
      </c>
      <c r="AQ6" s="454">
        <v>436</v>
      </c>
      <c r="AR6" s="458">
        <v>3.1</v>
      </c>
      <c r="AS6" s="454">
        <v>307</v>
      </c>
      <c r="AT6" s="457">
        <v>2.1999999999999997</v>
      </c>
      <c r="AU6" s="454">
        <v>766</v>
      </c>
      <c r="AV6" s="457">
        <v>4.3999999999999995</v>
      </c>
      <c r="AW6" s="454">
        <v>620</v>
      </c>
      <c r="AX6" s="457">
        <v>4.1000000000000005</v>
      </c>
      <c r="AY6" s="454">
        <v>206</v>
      </c>
      <c r="AZ6" s="458">
        <v>0.1</v>
      </c>
      <c r="BA6" s="454">
        <v>443</v>
      </c>
      <c r="BB6" s="457">
        <v>1.6</v>
      </c>
      <c r="BC6" s="454">
        <v>445</v>
      </c>
      <c r="BD6" s="457">
        <v>2.4</v>
      </c>
      <c r="BE6" s="454">
        <v>501</v>
      </c>
      <c r="BF6" s="457">
        <v>1.6</v>
      </c>
      <c r="BG6" s="454">
        <v>545</v>
      </c>
      <c r="BH6" s="458">
        <v>2.5</v>
      </c>
      <c r="BI6" s="454">
        <v>321</v>
      </c>
      <c r="BJ6" s="457">
        <v>0.8</v>
      </c>
      <c r="BK6" s="454">
        <v>695</v>
      </c>
      <c r="BL6" s="457">
        <v>2.4</v>
      </c>
      <c r="BM6" s="454">
        <v>-173</v>
      </c>
      <c r="BN6" s="457">
        <v>-2.5</v>
      </c>
      <c r="BO6" s="454">
        <v>-449</v>
      </c>
      <c r="BP6" s="458">
        <v>-4.3999999999999995</v>
      </c>
      <c r="BQ6" s="454">
        <v>-362</v>
      </c>
      <c r="BR6" s="457">
        <v>-3.3000000000000003</v>
      </c>
      <c r="BS6" s="454">
        <v>-631</v>
      </c>
      <c r="BT6" s="457">
        <v>-3.5999999999999996</v>
      </c>
      <c r="BU6" s="454">
        <v>-130</v>
      </c>
      <c r="BV6" s="457">
        <v>-1.3</v>
      </c>
      <c r="BW6" s="454">
        <v>138</v>
      </c>
      <c r="BX6" s="458">
        <v>0</v>
      </c>
      <c r="BY6" s="454">
        <v>-97</v>
      </c>
      <c r="BZ6" s="457">
        <v>-1.3</v>
      </c>
      <c r="CA6" s="454">
        <v>-4</v>
      </c>
      <c r="CB6" s="457">
        <v>-0.1</v>
      </c>
      <c r="CC6" s="454">
        <v>42</v>
      </c>
      <c r="CD6" s="457">
        <v>-0.8</v>
      </c>
    </row>
    <row r="7" spans="1:82" ht="12.75" x14ac:dyDescent="0.2">
      <c r="A7" s="403" t="s">
        <v>483</v>
      </c>
      <c r="B7" s="457"/>
      <c r="C7" s="457">
        <v>-0.47240000000000126</v>
      </c>
      <c r="D7" s="454"/>
      <c r="E7" s="457">
        <v>0.62356000000000211</v>
      </c>
      <c r="F7" s="454">
        <v>132</v>
      </c>
      <c r="G7" s="457">
        <v>0.2</v>
      </c>
      <c r="H7" s="454">
        <v>657</v>
      </c>
      <c r="I7" s="457">
        <v>0.89999999999999991</v>
      </c>
      <c r="J7" s="454">
        <v>-352</v>
      </c>
      <c r="K7" s="457">
        <v>0.5</v>
      </c>
      <c r="L7" s="454">
        <v>-381</v>
      </c>
      <c r="M7" s="457">
        <v>-0.2</v>
      </c>
      <c r="N7" s="454">
        <v>744</v>
      </c>
      <c r="O7" s="457">
        <v>-0.6</v>
      </c>
      <c r="P7" s="454">
        <v>532</v>
      </c>
      <c r="Q7" s="457">
        <v>0.3</v>
      </c>
      <c r="R7" s="454">
        <v>446</v>
      </c>
      <c r="S7" s="457">
        <v>1.0999999999999999</v>
      </c>
      <c r="T7" s="272"/>
      <c r="U7" s="454">
        <v>-109</v>
      </c>
      <c r="V7" s="457">
        <v>-0.70000000000000007</v>
      </c>
      <c r="W7" s="454">
        <v>-70</v>
      </c>
      <c r="X7" s="457">
        <v>-0.8</v>
      </c>
      <c r="Y7" s="454">
        <v>168</v>
      </c>
      <c r="Z7" s="457">
        <v>1</v>
      </c>
      <c r="AA7" s="454">
        <v>143</v>
      </c>
      <c r="AB7" s="458">
        <v>1</v>
      </c>
      <c r="AC7" s="454">
        <v>222</v>
      </c>
      <c r="AD7" s="457">
        <v>1.6</v>
      </c>
      <c r="AE7" s="454">
        <v>170</v>
      </c>
      <c r="AF7" s="457">
        <v>1.2</v>
      </c>
      <c r="AG7" s="454">
        <v>89</v>
      </c>
      <c r="AH7" s="457">
        <v>-0.1</v>
      </c>
      <c r="AI7" s="454">
        <v>175</v>
      </c>
      <c r="AJ7" s="458">
        <v>1.2</v>
      </c>
      <c r="AK7" s="454">
        <v>133</v>
      </c>
      <c r="AL7" s="457">
        <v>1.3</v>
      </c>
      <c r="AM7" s="454">
        <v>-90</v>
      </c>
      <c r="AN7" s="457">
        <v>0</v>
      </c>
      <c r="AO7" s="454">
        <v>-79</v>
      </c>
      <c r="AP7" s="457">
        <v>1.7000000000000002</v>
      </c>
      <c r="AQ7" s="454">
        <v>-318</v>
      </c>
      <c r="AR7" s="458">
        <v>-0.89999999999999991</v>
      </c>
      <c r="AS7" s="454">
        <v>-192</v>
      </c>
      <c r="AT7" s="457">
        <v>0.01</v>
      </c>
      <c r="AU7" s="454">
        <v>-139</v>
      </c>
      <c r="AV7" s="457">
        <v>-0.1</v>
      </c>
      <c r="AW7" s="454">
        <v>-133</v>
      </c>
      <c r="AX7" s="457">
        <v>-1.3</v>
      </c>
      <c r="AY7" s="454">
        <v>83</v>
      </c>
      <c r="AZ7" s="458">
        <v>0.3</v>
      </c>
      <c r="BA7" s="454">
        <v>142</v>
      </c>
      <c r="BB7" s="457">
        <v>-0.2</v>
      </c>
      <c r="BC7" s="454">
        <v>169</v>
      </c>
      <c r="BD7" s="457">
        <v>-0.5</v>
      </c>
      <c r="BE7" s="454">
        <v>216</v>
      </c>
      <c r="BF7" s="457">
        <v>-0.8</v>
      </c>
      <c r="BG7" s="454">
        <v>217</v>
      </c>
      <c r="BH7" s="458">
        <v>-0.8</v>
      </c>
      <c r="BI7" s="454">
        <v>205</v>
      </c>
      <c r="BJ7" s="457">
        <v>0.2</v>
      </c>
      <c r="BK7" s="454">
        <v>-243</v>
      </c>
      <c r="BL7" s="457">
        <v>-2.7</v>
      </c>
      <c r="BM7" s="454">
        <v>254</v>
      </c>
      <c r="BN7" s="457">
        <v>1.5</v>
      </c>
      <c r="BO7" s="454">
        <v>314</v>
      </c>
      <c r="BP7" s="458">
        <v>2.1999999999999997</v>
      </c>
      <c r="BQ7" s="454">
        <v>49</v>
      </c>
      <c r="BR7" s="457">
        <v>1</v>
      </c>
      <c r="BS7" s="454">
        <v>393</v>
      </c>
      <c r="BT7" s="457">
        <v>2.8000000000000003</v>
      </c>
      <c r="BU7" s="454">
        <v>-53</v>
      </c>
      <c r="BV7" s="457">
        <v>0.5</v>
      </c>
      <c r="BW7" s="454">
        <v>57</v>
      </c>
      <c r="BX7" s="458">
        <v>0.2</v>
      </c>
      <c r="BY7" s="454">
        <v>268</v>
      </c>
      <c r="BZ7" s="457">
        <v>1.9</v>
      </c>
      <c r="CA7" s="454">
        <v>-246</v>
      </c>
      <c r="CB7" s="457">
        <v>0.3</v>
      </c>
      <c r="CC7" s="454">
        <v>-230</v>
      </c>
      <c r="CD7" s="457">
        <v>0.2</v>
      </c>
    </row>
    <row r="8" spans="1:82" ht="12.75" x14ac:dyDescent="0.2">
      <c r="A8" s="403" t="s">
        <v>484</v>
      </c>
      <c r="B8" s="457"/>
      <c r="C8" s="457">
        <v>0</v>
      </c>
      <c r="D8" s="454"/>
      <c r="E8" s="457">
        <v>-0.1</v>
      </c>
      <c r="F8" s="454">
        <v>-177</v>
      </c>
      <c r="G8" s="457">
        <v>-0.89999999999999991</v>
      </c>
      <c r="H8" s="454">
        <v>-70</v>
      </c>
      <c r="I8" s="457">
        <v>-0.6</v>
      </c>
      <c r="J8" s="454">
        <v>249</v>
      </c>
      <c r="K8" s="457">
        <v>0.8</v>
      </c>
      <c r="L8" s="454">
        <v>95</v>
      </c>
      <c r="M8" s="457">
        <v>-0.1</v>
      </c>
      <c r="N8" s="454">
        <v>-524</v>
      </c>
      <c r="O8" s="457">
        <v>-1.7000000000000002</v>
      </c>
      <c r="P8" s="454">
        <v>1110</v>
      </c>
      <c r="Q8" s="457">
        <v>0.11</v>
      </c>
      <c r="R8" s="454">
        <v>-256</v>
      </c>
      <c r="S8" s="457">
        <v>-1.49</v>
      </c>
      <c r="T8" s="272"/>
      <c r="U8" s="454">
        <v>-35</v>
      </c>
      <c r="V8" s="457">
        <v>-0.8</v>
      </c>
      <c r="W8" s="454">
        <v>-127</v>
      </c>
      <c r="X8" s="457">
        <v>-1.6</v>
      </c>
      <c r="Y8" s="454">
        <v>-99</v>
      </c>
      <c r="Z8" s="457">
        <v>-1.5</v>
      </c>
      <c r="AA8" s="454">
        <v>84</v>
      </c>
      <c r="AB8" s="458">
        <v>0.4</v>
      </c>
      <c r="AC8" s="454">
        <v>5</v>
      </c>
      <c r="AD8" s="457">
        <v>-0.1</v>
      </c>
      <c r="AE8" s="454">
        <v>139</v>
      </c>
      <c r="AF8" s="457">
        <v>0.89999999999999991</v>
      </c>
      <c r="AG8" s="454">
        <v>-63</v>
      </c>
      <c r="AH8" s="457">
        <v>-1.3</v>
      </c>
      <c r="AI8" s="454">
        <v>-149</v>
      </c>
      <c r="AJ8" s="458">
        <v>-1.7999999999999998</v>
      </c>
      <c r="AK8" s="454">
        <v>91</v>
      </c>
      <c r="AL8" s="457">
        <v>1.1000000000000001</v>
      </c>
      <c r="AM8" s="454">
        <v>-120</v>
      </c>
      <c r="AN8" s="457">
        <v>-1</v>
      </c>
      <c r="AO8" s="404">
        <v>202</v>
      </c>
      <c r="AP8" s="457">
        <v>2.5</v>
      </c>
      <c r="AQ8" s="404">
        <v>78</v>
      </c>
      <c r="AR8" s="458">
        <v>0.8</v>
      </c>
      <c r="AS8" s="454">
        <v>-180</v>
      </c>
      <c r="AT8" s="457">
        <v>-2.1</v>
      </c>
      <c r="AU8" s="454">
        <v>137</v>
      </c>
      <c r="AV8" s="457">
        <v>1.3</v>
      </c>
      <c r="AW8" s="454">
        <v>45</v>
      </c>
      <c r="AX8" s="457">
        <v>-0.1</v>
      </c>
      <c r="AY8" s="404">
        <v>93</v>
      </c>
      <c r="AZ8" s="458">
        <v>0.2</v>
      </c>
      <c r="BA8" s="454">
        <v>179</v>
      </c>
      <c r="BB8" s="457">
        <v>1</v>
      </c>
      <c r="BC8" s="454">
        <v>-415</v>
      </c>
      <c r="BD8" s="457">
        <v>-4.2</v>
      </c>
      <c r="BE8" s="454">
        <v>-169</v>
      </c>
      <c r="BF8" s="457">
        <v>-1.7000000000000002</v>
      </c>
      <c r="BG8" s="404">
        <v>-121</v>
      </c>
      <c r="BH8" s="458">
        <v>-1.7000000000000002</v>
      </c>
      <c r="BI8" s="454">
        <v>4</v>
      </c>
      <c r="BJ8" s="457">
        <v>-1.9</v>
      </c>
      <c r="BK8" s="454">
        <v>580</v>
      </c>
      <c r="BL8" s="457">
        <v>1.7</v>
      </c>
      <c r="BM8" s="454">
        <v>279</v>
      </c>
      <c r="BN8" s="457">
        <v>0</v>
      </c>
      <c r="BO8" s="404">
        <v>249</v>
      </c>
      <c r="BP8" s="458">
        <v>0.5</v>
      </c>
      <c r="BQ8" s="454">
        <v>-88</v>
      </c>
      <c r="BR8" s="457">
        <v>-1</v>
      </c>
      <c r="BS8" s="454">
        <v>-254</v>
      </c>
      <c r="BT8" s="457">
        <v>-3</v>
      </c>
      <c r="BU8" s="454">
        <v>200</v>
      </c>
      <c r="BV8" s="457">
        <v>0</v>
      </c>
      <c r="BW8" s="404">
        <v>-115</v>
      </c>
      <c r="BX8" s="458">
        <v>-1.7999999999999998</v>
      </c>
      <c r="BY8" s="454">
        <v>157</v>
      </c>
      <c r="BZ8" s="457">
        <v>-0.2</v>
      </c>
      <c r="CA8" s="454">
        <v>160</v>
      </c>
      <c r="CB8" s="457">
        <v>0.8</v>
      </c>
      <c r="CC8" s="454">
        <v>-287</v>
      </c>
      <c r="CD8" s="457">
        <v>-1.9</v>
      </c>
    </row>
    <row r="9" spans="1:82" ht="12.75" x14ac:dyDescent="0.2">
      <c r="A9" s="407" t="s">
        <v>552</v>
      </c>
      <c r="B9" s="459"/>
      <c r="C9" s="459">
        <v>-1.2724000000000013</v>
      </c>
      <c r="D9" s="460"/>
      <c r="E9" s="459">
        <v>2.1235600000000021</v>
      </c>
      <c r="F9" s="460">
        <v>1455</v>
      </c>
      <c r="G9" s="459">
        <v>0.4</v>
      </c>
      <c r="H9" s="460">
        <v>751</v>
      </c>
      <c r="I9" s="459">
        <v>0.6</v>
      </c>
      <c r="J9" s="460">
        <v>-754</v>
      </c>
      <c r="K9" s="459">
        <v>0.5</v>
      </c>
      <c r="L9" s="460">
        <v>1613</v>
      </c>
      <c r="M9" s="459">
        <v>2.2999999999999998</v>
      </c>
      <c r="N9" s="460">
        <v>2152</v>
      </c>
      <c r="O9" s="459">
        <v>-0.3</v>
      </c>
      <c r="P9" s="460">
        <v>2036</v>
      </c>
      <c r="Q9" s="459">
        <v>-0.6</v>
      </c>
      <c r="R9" s="460">
        <v>-798</v>
      </c>
      <c r="S9" s="459">
        <v>-2.2999999999999998</v>
      </c>
      <c r="T9" s="272"/>
      <c r="U9" s="460">
        <v>101</v>
      </c>
      <c r="V9" s="459">
        <v>-0.70000000000000007</v>
      </c>
      <c r="W9" s="460">
        <v>342</v>
      </c>
      <c r="X9" s="459">
        <v>-0.2</v>
      </c>
      <c r="Y9" s="460">
        <v>378</v>
      </c>
      <c r="Z9" s="459">
        <v>-0.3</v>
      </c>
      <c r="AA9" s="460">
        <v>634</v>
      </c>
      <c r="AB9" s="461">
        <v>2.4</v>
      </c>
      <c r="AC9" s="460">
        <v>415</v>
      </c>
      <c r="AD9" s="459">
        <v>1.3</v>
      </c>
      <c r="AE9" s="460">
        <v>453</v>
      </c>
      <c r="AF9" s="459">
        <v>2.9000000000000004</v>
      </c>
      <c r="AG9" s="460">
        <v>29</v>
      </c>
      <c r="AH9" s="459">
        <v>-0.70000000000000007</v>
      </c>
      <c r="AI9" s="460">
        <v>-146</v>
      </c>
      <c r="AJ9" s="461">
        <v>-0.89999999999999991</v>
      </c>
      <c r="AK9" s="460">
        <v>2</v>
      </c>
      <c r="AL9" s="459">
        <v>1.5</v>
      </c>
      <c r="AM9" s="460">
        <v>-845</v>
      </c>
      <c r="AN9" s="459">
        <v>-4.5</v>
      </c>
      <c r="AO9" s="460">
        <v>-107</v>
      </c>
      <c r="AP9" s="459">
        <v>1.9</v>
      </c>
      <c r="AQ9" s="460">
        <v>196</v>
      </c>
      <c r="AR9" s="461">
        <v>3</v>
      </c>
      <c r="AS9" s="460">
        <v>-65</v>
      </c>
      <c r="AT9" s="459">
        <v>0.1</v>
      </c>
      <c r="AU9" s="460">
        <v>764</v>
      </c>
      <c r="AV9" s="459">
        <v>5.6000000000000005</v>
      </c>
      <c r="AW9" s="460">
        <v>532</v>
      </c>
      <c r="AX9" s="459">
        <v>2.7</v>
      </c>
      <c r="AY9" s="460">
        <v>382</v>
      </c>
      <c r="AZ9" s="461">
        <v>0.6</v>
      </c>
      <c r="BA9" s="460">
        <v>764</v>
      </c>
      <c r="BB9" s="459">
        <v>2.4</v>
      </c>
      <c r="BC9" s="460">
        <v>199</v>
      </c>
      <c r="BD9" s="459">
        <v>-2.2999999999999998</v>
      </c>
      <c r="BE9" s="460">
        <v>548</v>
      </c>
      <c r="BF9" s="459">
        <v>-0.89999999999999991</v>
      </c>
      <c r="BG9" s="460">
        <v>641</v>
      </c>
      <c r="BH9" s="461">
        <v>0</v>
      </c>
      <c r="BI9" s="460">
        <v>530</v>
      </c>
      <c r="BJ9" s="459">
        <v>-0.89999999999999991</v>
      </c>
      <c r="BK9" s="460">
        <v>1032</v>
      </c>
      <c r="BL9" s="459">
        <v>1.4</v>
      </c>
      <c r="BM9" s="460">
        <v>360</v>
      </c>
      <c r="BN9" s="459">
        <v>-1</v>
      </c>
      <c r="BO9" s="460">
        <v>114</v>
      </c>
      <c r="BP9" s="461">
        <v>-1.7000000000000002</v>
      </c>
      <c r="BQ9" s="460">
        <v>-401</v>
      </c>
      <c r="BR9" s="459">
        <v>-3.3000000000000003</v>
      </c>
      <c r="BS9" s="460">
        <v>-492</v>
      </c>
      <c r="BT9" s="459">
        <v>-3.8</v>
      </c>
      <c r="BU9" s="460">
        <v>17</v>
      </c>
      <c r="BV9" s="459">
        <v>-0.8</v>
      </c>
      <c r="BW9" s="460">
        <v>80</v>
      </c>
      <c r="BX9" s="461">
        <v>-1.6</v>
      </c>
      <c r="BY9" s="460">
        <v>328</v>
      </c>
      <c r="BZ9" s="459">
        <v>0.4</v>
      </c>
      <c r="CA9" s="460">
        <v>-90</v>
      </c>
      <c r="CB9" s="459">
        <v>1</v>
      </c>
      <c r="CC9" s="460">
        <v>-475</v>
      </c>
      <c r="CD9" s="459">
        <v>-2.5</v>
      </c>
    </row>
    <row r="10" spans="1:82" ht="12.75" x14ac:dyDescent="0.2">
      <c r="A10" s="403" t="s">
        <v>486</v>
      </c>
      <c r="B10" s="454">
        <v>4548</v>
      </c>
      <c r="C10" s="455">
        <v>16.8</v>
      </c>
      <c r="D10" s="454">
        <v>5929.5651049849994</v>
      </c>
      <c r="E10" s="455">
        <v>18.905640000000002</v>
      </c>
      <c r="F10" s="454">
        <v>7385</v>
      </c>
      <c r="G10" s="455">
        <v>19.3</v>
      </c>
      <c r="H10" s="454">
        <v>8136</v>
      </c>
      <c r="I10" s="455">
        <v>19.900000000000002</v>
      </c>
      <c r="J10" s="454">
        <v>7382</v>
      </c>
      <c r="K10" s="455">
        <v>20.399999999999999</v>
      </c>
      <c r="L10" s="454">
        <v>8995</v>
      </c>
      <c r="M10" s="455">
        <v>22.7</v>
      </c>
      <c r="N10" s="454">
        <v>11147</v>
      </c>
      <c r="O10" s="455">
        <v>22.400000000000002</v>
      </c>
      <c r="P10" s="454">
        <v>13183</v>
      </c>
      <c r="Q10" s="455">
        <v>21.8</v>
      </c>
      <c r="R10" s="454">
        <v>12385</v>
      </c>
      <c r="S10" s="455">
        <v>19.5</v>
      </c>
      <c r="T10" s="272"/>
      <c r="U10" s="454">
        <v>1515</v>
      </c>
      <c r="V10" s="455">
        <v>18.399999999999999</v>
      </c>
      <c r="W10" s="454">
        <v>1810</v>
      </c>
      <c r="X10" s="455">
        <v>18.399999999999999</v>
      </c>
      <c r="Y10" s="454">
        <v>1898</v>
      </c>
      <c r="Z10" s="455">
        <v>19.7</v>
      </c>
      <c r="AA10" s="454">
        <v>2162</v>
      </c>
      <c r="AB10" s="456">
        <v>20.5</v>
      </c>
      <c r="AC10" s="454">
        <v>1930</v>
      </c>
      <c r="AD10" s="455">
        <v>19.7</v>
      </c>
      <c r="AE10" s="454">
        <v>2263</v>
      </c>
      <c r="AF10" s="455">
        <v>21.3</v>
      </c>
      <c r="AG10" s="454">
        <v>1927</v>
      </c>
      <c r="AH10" s="455">
        <v>19</v>
      </c>
      <c r="AI10" s="454">
        <v>2016</v>
      </c>
      <c r="AJ10" s="456">
        <v>19.600000000000001</v>
      </c>
      <c r="AK10" s="454">
        <v>1932</v>
      </c>
      <c r="AL10" s="455">
        <v>21.2</v>
      </c>
      <c r="AM10" s="454">
        <v>1418</v>
      </c>
      <c r="AN10" s="455">
        <v>16.8</v>
      </c>
      <c r="AO10" s="454">
        <v>1820</v>
      </c>
      <c r="AP10" s="455">
        <v>20.9</v>
      </c>
      <c r="AQ10" s="454">
        <v>2212</v>
      </c>
      <c r="AR10" s="456">
        <v>22.6</v>
      </c>
      <c r="AS10" s="454">
        <v>1867</v>
      </c>
      <c r="AT10" s="455">
        <v>21.3</v>
      </c>
      <c r="AU10" s="454">
        <v>2182</v>
      </c>
      <c r="AV10" s="455">
        <v>22.400000000000002</v>
      </c>
      <c r="AW10" s="454">
        <v>2352</v>
      </c>
      <c r="AX10" s="455">
        <v>23.599999999999998</v>
      </c>
      <c r="AY10" s="454">
        <v>2594</v>
      </c>
      <c r="AZ10" s="456">
        <v>23.200000000000003</v>
      </c>
      <c r="BA10" s="454">
        <v>2631</v>
      </c>
      <c r="BB10" s="455">
        <v>23.7</v>
      </c>
      <c r="BC10" s="454">
        <v>2381</v>
      </c>
      <c r="BD10" s="455">
        <v>20.100000000000001</v>
      </c>
      <c r="BE10" s="454">
        <v>2900</v>
      </c>
      <c r="BF10" s="455">
        <v>22.7</v>
      </c>
      <c r="BG10" s="454">
        <v>3235</v>
      </c>
      <c r="BH10" s="456">
        <v>23.200000000000003</v>
      </c>
      <c r="BI10" s="454">
        <v>3161</v>
      </c>
      <c r="BJ10" s="455">
        <v>22.8</v>
      </c>
      <c r="BK10" s="454">
        <v>3413</v>
      </c>
      <c r="BL10" s="455">
        <v>21.5</v>
      </c>
      <c r="BM10" s="454">
        <v>3260</v>
      </c>
      <c r="BN10" s="455">
        <v>21.7</v>
      </c>
      <c r="BO10" s="454">
        <v>3349</v>
      </c>
      <c r="BP10" s="456">
        <v>21.5</v>
      </c>
      <c r="BQ10" s="454">
        <v>2760</v>
      </c>
      <c r="BR10" s="455">
        <v>19.5</v>
      </c>
      <c r="BS10" s="454">
        <v>2921</v>
      </c>
      <c r="BT10" s="455">
        <v>17.7</v>
      </c>
      <c r="BU10" s="454">
        <v>3277</v>
      </c>
      <c r="BV10" s="455">
        <v>20.9</v>
      </c>
      <c r="BW10" s="454">
        <v>3429</v>
      </c>
      <c r="BX10" s="456">
        <v>19.900000000000002</v>
      </c>
      <c r="BY10" s="454">
        <v>3088</v>
      </c>
      <c r="BZ10" s="455">
        <v>19.900000000000002</v>
      </c>
      <c r="CA10" s="454">
        <v>2831</v>
      </c>
      <c r="CB10" s="455">
        <v>18.7</v>
      </c>
      <c r="CC10" s="454">
        <v>2802</v>
      </c>
      <c r="CD10" s="455">
        <v>18.399999999999999</v>
      </c>
    </row>
    <row r="11" spans="1:82" ht="12.75" x14ac:dyDescent="0.2">
      <c r="A11" s="403"/>
      <c r="B11" s="454"/>
      <c r="C11" s="392"/>
      <c r="D11" s="454"/>
      <c r="E11" s="392"/>
      <c r="F11" s="454"/>
      <c r="G11" s="392"/>
      <c r="H11" s="454"/>
      <c r="I11" s="392"/>
      <c r="J11" s="454"/>
      <c r="K11" s="392"/>
      <c r="L11" s="454"/>
      <c r="M11" s="392"/>
      <c r="N11" s="454"/>
      <c r="O11" s="392"/>
      <c r="P11" s="454"/>
      <c r="Q11" s="392"/>
      <c r="R11" s="454"/>
      <c r="S11" s="392"/>
      <c r="T11" s="272"/>
      <c r="U11" s="454"/>
      <c r="V11" s="392"/>
      <c r="W11" s="454"/>
      <c r="X11" s="392"/>
      <c r="Y11" s="454"/>
      <c r="Z11" s="392"/>
      <c r="AA11" s="454"/>
      <c r="AB11" s="393"/>
      <c r="AC11" s="454"/>
      <c r="AD11" s="392"/>
      <c r="AE11" s="454"/>
      <c r="AF11" s="392"/>
      <c r="AG11" s="454"/>
      <c r="AH11" s="392"/>
      <c r="AI11" s="454"/>
      <c r="AJ11" s="393"/>
      <c r="AK11" s="454"/>
      <c r="AL11" s="392"/>
      <c r="AM11" s="454"/>
      <c r="AN11" s="392"/>
      <c r="AO11" s="454"/>
      <c r="AP11" s="392"/>
      <c r="AQ11" s="454"/>
      <c r="AR11" s="393"/>
      <c r="AS11" s="454"/>
      <c r="AT11" s="392"/>
      <c r="AU11" s="454"/>
      <c r="AV11" s="392"/>
      <c r="AW11" s="454"/>
      <c r="AX11" s="392"/>
      <c r="AY11" s="454"/>
      <c r="AZ11" s="393"/>
      <c r="BA11" s="454"/>
      <c r="BB11" s="392"/>
      <c r="BC11" s="454"/>
      <c r="BD11" s="392"/>
      <c r="BE11" s="454"/>
      <c r="BF11" s="392"/>
      <c r="BG11" s="454"/>
      <c r="BH11" s="393"/>
      <c r="BI11" s="454"/>
      <c r="BJ11" s="392"/>
      <c r="BK11" s="454"/>
      <c r="BL11" s="392"/>
      <c r="BM11" s="454"/>
      <c r="BN11" s="392"/>
      <c r="BO11" s="454"/>
      <c r="BP11" s="393"/>
      <c r="BQ11" s="454"/>
      <c r="BR11" s="392"/>
      <c r="BS11" s="454"/>
      <c r="BT11" s="392"/>
      <c r="BU11" s="454"/>
      <c r="BV11" s="392"/>
      <c r="BW11" s="454"/>
      <c r="BX11" s="393"/>
      <c r="BY11" s="454"/>
      <c r="BZ11" s="392"/>
      <c r="CA11" s="454"/>
      <c r="CB11" s="392"/>
      <c r="CC11" s="454"/>
      <c r="CD11" s="392"/>
    </row>
    <row r="12" spans="1:82" ht="12.75" x14ac:dyDescent="0.2">
      <c r="A12" s="403"/>
      <c r="B12" s="404"/>
      <c r="C12" s="404"/>
      <c r="D12" s="404"/>
      <c r="E12" s="404"/>
      <c r="F12" s="404"/>
      <c r="G12" s="404"/>
      <c r="H12" s="404"/>
      <c r="I12" s="404"/>
      <c r="J12" s="404"/>
      <c r="K12" s="404"/>
      <c r="L12" s="404"/>
      <c r="M12" s="404"/>
      <c r="N12" s="404"/>
      <c r="O12" s="404"/>
      <c r="P12" s="404"/>
      <c r="Q12" s="404"/>
      <c r="R12" s="404"/>
      <c r="S12" s="404"/>
      <c r="T12" s="272"/>
      <c r="U12" s="404"/>
      <c r="V12" s="404"/>
      <c r="W12" s="404"/>
      <c r="X12" s="404"/>
      <c r="Y12" s="404"/>
      <c r="Z12" s="404"/>
      <c r="AA12" s="404"/>
      <c r="AB12" s="405"/>
      <c r="AC12" s="404"/>
      <c r="AD12" s="404"/>
      <c r="AE12" s="404"/>
      <c r="AF12" s="404"/>
      <c r="AG12" s="404"/>
      <c r="AH12" s="404"/>
      <c r="AI12" s="404"/>
      <c r="AJ12" s="405"/>
      <c r="AK12" s="404"/>
      <c r="AL12" s="404"/>
      <c r="AM12" s="404"/>
      <c r="AN12" s="404"/>
      <c r="AO12" s="404"/>
      <c r="AP12" s="404"/>
      <c r="AQ12" s="404"/>
      <c r="AR12" s="405"/>
      <c r="AS12" s="404"/>
      <c r="AT12" s="404"/>
      <c r="AU12" s="404"/>
      <c r="AV12" s="404"/>
      <c r="AW12" s="404"/>
      <c r="AX12" s="404"/>
      <c r="AY12" s="404"/>
      <c r="AZ12" s="405"/>
      <c r="BA12" s="404"/>
      <c r="BB12" s="404"/>
      <c r="BC12" s="404"/>
      <c r="BD12" s="404"/>
      <c r="BE12" s="404"/>
      <c r="BF12" s="404"/>
      <c r="BG12" s="404"/>
      <c r="BH12" s="405"/>
      <c r="BI12" s="404"/>
      <c r="BJ12" s="404"/>
      <c r="BK12" s="404"/>
      <c r="BL12" s="404"/>
      <c r="BM12" s="404"/>
      <c r="BN12" s="404"/>
      <c r="BO12" s="404"/>
      <c r="BP12" s="405"/>
      <c r="BQ12" s="404"/>
      <c r="BR12" s="404"/>
      <c r="BS12" s="404"/>
      <c r="BT12" s="404"/>
      <c r="BU12" s="404"/>
      <c r="BV12" s="404"/>
      <c r="BW12" s="404"/>
      <c r="BX12" s="405"/>
      <c r="BY12" s="404"/>
      <c r="BZ12" s="404"/>
      <c r="CA12" s="404"/>
      <c r="CB12" s="404"/>
      <c r="CC12" s="404"/>
      <c r="CD12" s="404"/>
    </row>
    <row r="13" spans="1:82" ht="12.75" x14ac:dyDescent="0.2">
      <c r="A13" s="462" t="s">
        <v>553</v>
      </c>
      <c r="B13" s="1034" t="s">
        <v>511</v>
      </c>
      <c r="C13" s="1034"/>
      <c r="D13" s="1034" t="s">
        <v>512</v>
      </c>
      <c r="E13" s="1034"/>
      <c r="F13" s="1034" t="s">
        <v>513</v>
      </c>
      <c r="G13" s="1034"/>
      <c r="H13" s="1034" t="s">
        <v>514</v>
      </c>
      <c r="I13" s="1034"/>
      <c r="J13" s="1034" t="s">
        <v>515</v>
      </c>
      <c r="K13" s="1034"/>
      <c r="L13" s="1034" t="s">
        <v>516</v>
      </c>
      <c r="M13" s="1034"/>
      <c r="N13" s="1034" t="s">
        <v>517</v>
      </c>
      <c r="O13" s="1034"/>
      <c r="P13" s="1034" t="s">
        <v>518</v>
      </c>
      <c r="Q13" s="1034"/>
      <c r="R13" s="1034" t="s">
        <v>519</v>
      </c>
      <c r="S13" s="1034"/>
      <c r="T13" s="450"/>
      <c r="U13" s="1034" t="s">
        <v>520</v>
      </c>
      <c r="V13" s="1034"/>
      <c r="W13" s="1034" t="s">
        <v>521</v>
      </c>
      <c r="X13" s="1034"/>
      <c r="Y13" s="1034" t="s">
        <v>522</v>
      </c>
      <c r="Z13" s="1034"/>
      <c r="AA13" s="1034" t="s">
        <v>523</v>
      </c>
      <c r="AB13" s="1038"/>
      <c r="AC13" s="1034" t="s">
        <v>524</v>
      </c>
      <c r="AD13" s="1034"/>
      <c r="AE13" s="1034" t="s">
        <v>525</v>
      </c>
      <c r="AF13" s="1034"/>
      <c r="AG13" s="1034" t="s">
        <v>526</v>
      </c>
      <c r="AH13" s="1034"/>
      <c r="AI13" s="1034" t="s">
        <v>527</v>
      </c>
      <c r="AJ13" s="1038"/>
      <c r="AK13" s="1034" t="s">
        <v>528</v>
      </c>
      <c r="AL13" s="1034"/>
      <c r="AM13" s="1034" t="s">
        <v>529</v>
      </c>
      <c r="AN13" s="1034"/>
      <c r="AO13" s="1031" t="s">
        <v>530</v>
      </c>
      <c r="AP13" s="1031"/>
      <c r="AQ13" s="1031" t="s">
        <v>531</v>
      </c>
      <c r="AR13" s="1032"/>
      <c r="AS13" s="1034" t="s">
        <v>532</v>
      </c>
      <c r="AT13" s="1034"/>
      <c r="AU13" s="1034" t="s">
        <v>533</v>
      </c>
      <c r="AV13" s="1034"/>
      <c r="AW13" s="1034" t="str">
        <f>+AW3</f>
        <v>2021 Q3</v>
      </c>
      <c r="AX13" s="1034"/>
      <c r="AY13" s="1031" t="s">
        <v>535</v>
      </c>
      <c r="AZ13" s="1032"/>
      <c r="BA13" s="1033" t="s">
        <v>536</v>
      </c>
      <c r="BB13" s="1033"/>
      <c r="BC13" s="1034" t="s">
        <v>537</v>
      </c>
      <c r="BD13" s="1034"/>
      <c r="BE13" s="1034" t="s">
        <v>538</v>
      </c>
      <c r="BF13" s="1034"/>
      <c r="BG13" s="1031" t="s">
        <v>539</v>
      </c>
      <c r="BH13" s="1032"/>
      <c r="BI13" s="1033" t="s">
        <v>540</v>
      </c>
      <c r="BJ13" s="1033"/>
      <c r="BK13" s="1034" t="s">
        <v>541</v>
      </c>
      <c r="BL13" s="1034"/>
      <c r="BM13" s="1034" t="s">
        <v>542</v>
      </c>
      <c r="BN13" s="1034"/>
      <c r="BO13" s="1031" t="s">
        <v>543</v>
      </c>
      <c r="BP13" s="1032"/>
      <c r="BQ13" s="1033" t="s">
        <v>544</v>
      </c>
      <c r="BR13" s="1033"/>
      <c r="BS13" s="1034" t="s">
        <v>545</v>
      </c>
      <c r="BT13" s="1034"/>
      <c r="BU13" s="1034" t="s">
        <v>546</v>
      </c>
      <c r="BV13" s="1034"/>
      <c r="BW13" s="1031" t="s">
        <v>547</v>
      </c>
      <c r="BX13" s="1032"/>
      <c r="BY13" s="1033" t="s">
        <v>548</v>
      </c>
      <c r="BZ13" s="1033"/>
      <c r="CA13" s="1034" t="s">
        <v>549</v>
      </c>
      <c r="CB13" s="1034"/>
      <c r="CC13" s="1034" t="s">
        <v>550</v>
      </c>
      <c r="CD13" s="1034"/>
    </row>
    <row r="14" spans="1:82" ht="12.75" x14ac:dyDescent="0.2">
      <c r="A14" s="463"/>
      <c r="B14" s="464" t="s">
        <v>264</v>
      </c>
      <c r="C14" s="464" t="s">
        <v>551</v>
      </c>
      <c r="D14" s="464" t="s">
        <v>264</v>
      </c>
      <c r="E14" s="464" t="s">
        <v>551</v>
      </c>
      <c r="F14" s="464" t="s">
        <v>264</v>
      </c>
      <c r="G14" s="464" t="s">
        <v>551</v>
      </c>
      <c r="H14" s="464" t="s">
        <v>264</v>
      </c>
      <c r="I14" s="464" t="s">
        <v>551</v>
      </c>
      <c r="J14" s="464" t="s">
        <v>264</v>
      </c>
      <c r="K14" s="464" t="s">
        <v>551</v>
      </c>
      <c r="L14" s="464" t="s">
        <v>264</v>
      </c>
      <c r="M14" s="464" t="s">
        <v>551</v>
      </c>
      <c r="N14" s="464" t="s">
        <v>264</v>
      </c>
      <c r="O14" s="464" t="s">
        <v>551</v>
      </c>
      <c r="P14" s="464" t="s">
        <v>264</v>
      </c>
      <c r="Q14" s="464" t="s">
        <v>551</v>
      </c>
      <c r="R14" s="464" t="s">
        <v>264</v>
      </c>
      <c r="S14" s="464" t="s">
        <v>551</v>
      </c>
      <c r="T14" s="272"/>
      <c r="U14" s="464" t="s">
        <v>264</v>
      </c>
      <c r="V14" s="464" t="s">
        <v>551</v>
      </c>
      <c r="W14" s="464" t="s">
        <v>264</v>
      </c>
      <c r="X14" s="464" t="s">
        <v>551</v>
      </c>
      <c r="Y14" s="464" t="s">
        <v>264</v>
      </c>
      <c r="Z14" s="464" t="s">
        <v>551</v>
      </c>
      <c r="AA14" s="464" t="s">
        <v>264</v>
      </c>
      <c r="AB14" s="465" t="s">
        <v>551</v>
      </c>
      <c r="AC14" s="464" t="s">
        <v>264</v>
      </c>
      <c r="AD14" s="464" t="s">
        <v>551</v>
      </c>
      <c r="AE14" s="464" t="s">
        <v>264</v>
      </c>
      <c r="AF14" s="464" t="s">
        <v>551</v>
      </c>
      <c r="AG14" s="464" t="s">
        <v>264</v>
      </c>
      <c r="AH14" s="464" t="s">
        <v>551</v>
      </c>
      <c r="AI14" s="464" t="s">
        <v>264</v>
      </c>
      <c r="AJ14" s="465" t="s">
        <v>551</v>
      </c>
      <c r="AK14" s="464" t="s">
        <v>264</v>
      </c>
      <c r="AL14" s="464" t="s">
        <v>551</v>
      </c>
      <c r="AM14" s="464" t="s">
        <v>264</v>
      </c>
      <c r="AN14" s="464" t="s">
        <v>551</v>
      </c>
      <c r="AO14" s="464" t="s">
        <v>264</v>
      </c>
      <c r="AP14" s="464" t="s">
        <v>551</v>
      </c>
      <c r="AQ14" s="464" t="s">
        <v>264</v>
      </c>
      <c r="AR14" s="465" t="s">
        <v>551</v>
      </c>
      <c r="AS14" s="464" t="s">
        <v>264</v>
      </c>
      <c r="AT14" s="464" t="s">
        <v>551</v>
      </c>
      <c r="AU14" s="464" t="s">
        <v>264</v>
      </c>
      <c r="AV14" s="464" t="s">
        <v>551</v>
      </c>
      <c r="AW14" s="464" t="s">
        <v>264</v>
      </c>
      <c r="AX14" s="464" t="s">
        <v>551</v>
      </c>
      <c r="AY14" s="464" t="s">
        <v>264</v>
      </c>
      <c r="AZ14" s="465" t="s">
        <v>551</v>
      </c>
      <c r="BA14" s="464" t="s">
        <v>264</v>
      </c>
      <c r="BB14" s="464" t="s">
        <v>551</v>
      </c>
      <c r="BC14" s="464" t="s">
        <v>264</v>
      </c>
      <c r="BD14" s="464" t="s">
        <v>551</v>
      </c>
      <c r="BE14" s="464" t="s">
        <v>264</v>
      </c>
      <c r="BF14" s="464" t="s">
        <v>551</v>
      </c>
      <c r="BG14" s="464" t="s">
        <v>264</v>
      </c>
      <c r="BH14" s="465" t="s">
        <v>551</v>
      </c>
      <c r="BI14" s="464" t="s">
        <v>264</v>
      </c>
      <c r="BJ14" s="464" t="s">
        <v>551</v>
      </c>
      <c r="BK14" s="464" t="s">
        <v>264</v>
      </c>
      <c r="BL14" s="464" t="s">
        <v>551</v>
      </c>
      <c r="BM14" s="464" t="s">
        <v>264</v>
      </c>
      <c r="BN14" s="464" t="s">
        <v>551</v>
      </c>
      <c r="BO14" s="464" t="s">
        <v>264</v>
      </c>
      <c r="BP14" s="465" t="s">
        <v>551</v>
      </c>
      <c r="BQ14" s="464" t="s">
        <v>264</v>
      </c>
      <c r="BR14" s="464" t="s">
        <v>551</v>
      </c>
      <c r="BS14" s="464" t="s">
        <v>264</v>
      </c>
      <c r="BT14" s="464" t="s">
        <v>551</v>
      </c>
      <c r="BU14" s="464" t="s">
        <v>264</v>
      </c>
      <c r="BV14" s="464" t="s">
        <v>551</v>
      </c>
      <c r="BW14" s="464" t="s">
        <v>264</v>
      </c>
      <c r="BX14" s="465" t="s">
        <v>551</v>
      </c>
      <c r="BY14" s="464" t="s">
        <v>264</v>
      </c>
      <c r="BZ14" s="464" t="s">
        <v>551</v>
      </c>
      <c r="CA14" s="464" t="s">
        <v>264</v>
      </c>
      <c r="CB14" s="464" t="s">
        <v>551</v>
      </c>
      <c r="CC14" s="464" t="s">
        <v>264</v>
      </c>
      <c r="CD14" s="464" t="s">
        <v>551</v>
      </c>
    </row>
    <row r="15" spans="1:82" ht="12.75" x14ac:dyDescent="0.2">
      <c r="A15" s="400" t="s">
        <v>481</v>
      </c>
      <c r="B15" s="454">
        <v>4370</v>
      </c>
      <c r="C15" s="455">
        <v>21.5</v>
      </c>
      <c r="D15" s="454">
        <v>3802</v>
      </c>
      <c r="E15" s="455">
        <v>20.095679999999998</v>
      </c>
      <c r="F15" s="454">
        <v>5107.4681666059005</v>
      </c>
      <c r="G15" s="466">
        <v>22.829891767422165</v>
      </c>
      <c r="H15" s="454">
        <v>6713</v>
      </c>
      <c r="I15" s="466">
        <v>23.5</v>
      </c>
      <c r="J15" s="454">
        <v>7436</v>
      </c>
      <c r="K15" s="466">
        <v>24.9</v>
      </c>
      <c r="L15" s="454">
        <v>6639</v>
      </c>
      <c r="M15" s="466">
        <v>24.7</v>
      </c>
      <c r="N15" s="454">
        <v>7808</v>
      </c>
      <c r="O15" s="466">
        <v>26.6</v>
      </c>
      <c r="P15" s="454">
        <v>9491</v>
      </c>
      <c r="Q15" s="466">
        <v>24.4</v>
      </c>
      <c r="R15" s="454">
        <v>11792</v>
      </c>
      <c r="S15" s="466">
        <v>24.8</v>
      </c>
      <c r="T15" s="272"/>
      <c r="U15" s="454">
        <v>1166</v>
      </c>
      <c r="V15" s="455">
        <v>22.3</v>
      </c>
      <c r="W15" s="454">
        <v>1242</v>
      </c>
      <c r="X15" s="455">
        <v>22.6</v>
      </c>
      <c r="Y15" s="454">
        <v>1261</v>
      </c>
      <c r="Z15" s="455">
        <v>23.3</v>
      </c>
      <c r="AA15" s="454">
        <v>1438</v>
      </c>
      <c r="AB15" s="456">
        <v>23</v>
      </c>
      <c r="AC15" s="454">
        <v>1351</v>
      </c>
      <c r="AD15" s="466">
        <v>22.7</v>
      </c>
      <c r="AE15" s="454">
        <v>1741</v>
      </c>
      <c r="AF15" s="455">
        <v>23.8</v>
      </c>
      <c r="AG15" s="454">
        <v>1755</v>
      </c>
      <c r="AH15" s="455">
        <v>24.5</v>
      </c>
      <c r="AI15" s="454">
        <v>1866</v>
      </c>
      <c r="AJ15" s="456">
        <v>23.1</v>
      </c>
      <c r="AK15" s="454">
        <v>1707</v>
      </c>
      <c r="AL15" s="455">
        <v>24</v>
      </c>
      <c r="AM15" s="454">
        <v>1961</v>
      </c>
      <c r="AN15" s="455">
        <v>25.5</v>
      </c>
      <c r="AO15" s="454">
        <v>1923</v>
      </c>
      <c r="AP15" s="455">
        <v>26.200000000000003</v>
      </c>
      <c r="AQ15" s="454">
        <v>1844</v>
      </c>
      <c r="AR15" s="456">
        <v>23.799999999999997</v>
      </c>
      <c r="AS15" s="454">
        <v>1586</v>
      </c>
      <c r="AT15" s="455">
        <v>24.099999999999998</v>
      </c>
      <c r="AU15" s="454">
        <v>1441</v>
      </c>
      <c r="AV15" s="455">
        <v>22.400000000000002</v>
      </c>
      <c r="AW15" s="454">
        <v>1646</v>
      </c>
      <c r="AX15" s="455">
        <v>25.4</v>
      </c>
      <c r="AY15" s="454">
        <v>1966</v>
      </c>
      <c r="AZ15" s="456">
        <v>26.400000000000002</v>
      </c>
      <c r="BA15" s="454">
        <v>1696</v>
      </c>
      <c r="BB15" s="455">
        <v>26.5</v>
      </c>
      <c r="BC15" s="454">
        <v>1880</v>
      </c>
      <c r="BD15" s="455">
        <v>26.200000000000003</v>
      </c>
      <c r="BE15" s="454">
        <v>1909</v>
      </c>
      <c r="BF15" s="455">
        <v>26.400000000000002</v>
      </c>
      <c r="BG15" s="454">
        <v>2323</v>
      </c>
      <c r="BH15" s="456">
        <v>27.3</v>
      </c>
      <c r="BI15" s="454">
        <v>2188</v>
      </c>
      <c r="BJ15" s="455">
        <v>25.8</v>
      </c>
      <c r="BK15" s="454">
        <v>1955</v>
      </c>
      <c r="BL15" s="455">
        <v>21.6</v>
      </c>
      <c r="BM15" s="454">
        <v>2474</v>
      </c>
      <c r="BN15" s="455">
        <v>24.6</v>
      </c>
      <c r="BO15" s="454">
        <v>2874</v>
      </c>
      <c r="BP15" s="456">
        <v>25.5</v>
      </c>
      <c r="BQ15" s="454">
        <v>2718</v>
      </c>
      <c r="BR15" s="455">
        <v>25.3</v>
      </c>
      <c r="BS15" s="454">
        <v>2995</v>
      </c>
      <c r="BT15" s="455">
        <v>23.9</v>
      </c>
      <c r="BU15" s="454">
        <v>2868</v>
      </c>
      <c r="BV15" s="455">
        <v>24.5</v>
      </c>
      <c r="BW15" s="454">
        <v>3213</v>
      </c>
      <c r="BX15" s="456">
        <v>25.6</v>
      </c>
      <c r="BY15" s="454">
        <v>2503</v>
      </c>
      <c r="BZ15" s="455">
        <v>22.3</v>
      </c>
      <c r="CA15" s="454">
        <v>2763</v>
      </c>
      <c r="CB15" s="455">
        <v>22.1</v>
      </c>
      <c r="CC15" s="454">
        <v>2923</v>
      </c>
      <c r="CD15" s="455">
        <v>24.6</v>
      </c>
    </row>
    <row r="16" spans="1:82" ht="12.75" x14ac:dyDescent="0.2">
      <c r="A16" s="403" t="s">
        <v>482</v>
      </c>
      <c r="B16" s="272"/>
      <c r="C16" s="457">
        <v>-1</v>
      </c>
      <c r="D16" s="454"/>
      <c r="E16" s="457">
        <v>2.2999999999999998</v>
      </c>
      <c r="F16" s="454">
        <v>1472</v>
      </c>
      <c r="G16" s="457">
        <v>0.9</v>
      </c>
      <c r="H16" s="454">
        <v>214</v>
      </c>
      <c r="I16" s="457">
        <v>0.3</v>
      </c>
      <c r="J16" s="454">
        <v>-525</v>
      </c>
      <c r="K16" s="457">
        <v>-0.89999999999999991</v>
      </c>
      <c r="L16" s="454">
        <v>1391</v>
      </c>
      <c r="M16" s="457">
        <v>2.1999999999999997</v>
      </c>
      <c r="N16" s="454">
        <v>1816</v>
      </c>
      <c r="O16" s="457">
        <v>2.1</v>
      </c>
      <c r="P16" s="454">
        <v>792</v>
      </c>
      <c r="Q16" s="457">
        <v>-0.70000000000000007</v>
      </c>
      <c r="R16" s="454">
        <v>-724</v>
      </c>
      <c r="S16" s="457">
        <v>-2.5</v>
      </c>
      <c r="T16" s="272"/>
      <c r="U16" s="454">
        <v>277</v>
      </c>
      <c r="V16" s="457">
        <v>1.6</v>
      </c>
      <c r="W16" s="454">
        <v>558</v>
      </c>
      <c r="X16" s="457">
        <v>2.6</v>
      </c>
      <c r="Y16" s="454">
        <v>339</v>
      </c>
      <c r="Z16" s="457">
        <v>0.4</v>
      </c>
      <c r="AA16" s="454">
        <v>298</v>
      </c>
      <c r="AB16" s="458">
        <v>-0.4</v>
      </c>
      <c r="AC16" s="454">
        <v>169</v>
      </c>
      <c r="AD16" s="457">
        <v>-0.7</v>
      </c>
      <c r="AE16" s="454">
        <v>77</v>
      </c>
      <c r="AF16" s="457">
        <v>0.3</v>
      </c>
      <c r="AG16" s="454">
        <v>102</v>
      </c>
      <c r="AH16" s="457">
        <v>1.7000000000000002</v>
      </c>
      <c r="AI16" s="454">
        <v>-138</v>
      </c>
      <c r="AJ16" s="458">
        <v>-0.4</v>
      </c>
      <c r="AK16" s="454">
        <v>-182</v>
      </c>
      <c r="AL16" s="457">
        <v>-0.7</v>
      </c>
      <c r="AM16" s="454">
        <v>-430</v>
      </c>
      <c r="AN16" s="457">
        <v>-3</v>
      </c>
      <c r="AO16" s="454">
        <v>-201</v>
      </c>
      <c r="AP16" s="457">
        <v>-2.7</v>
      </c>
      <c r="AQ16" s="454">
        <v>290</v>
      </c>
      <c r="AR16" s="458">
        <v>2.1999999999999997</v>
      </c>
      <c r="AS16" s="454">
        <v>267</v>
      </c>
      <c r="AT16" s="457">
        <v>2.4</v>
      </c>
      <c r="AU16" s="454">
        <v>555</v>
      </c>
      <c r="AV16" s="457">
        <v>3.9</v>
      </c>
      <c r="AW16" s="454">
        <v>387</v>
      </c>
      <c r="AX16" s="457">
        <v>3.5000000000000004</v>
      </c>
      <c r="AY16" s="454">
        <v>188</v>
      </c>
      <c r="AZ16" s="458">
        <v>0</v>
      </c>
      <c r="BA16" s="454">
        <v>386</v>
      </c>
      <c r="BB16" s="457">
        <v>1.2000999999999999</v>
      </c>
      <c r="BC16" s="454">
        <v>366</v>
      </c>
      <c r="BD16" s="457">
        <v>2.6</v>
      </c>
      <c r="BE16" s="454">
        <v>480</v>
      </c>
      <c r="BF16" s="457">
        <v>1.4000000000000001</v>
      </c>
      <c r="BG16" s="454">
        <v>591</v>
      </c>
      <c r="BH16" s="458">
        <v>2.9000000000000004</v>
      </c>
      <c r="BI16" s="454">
        <v>303</v>
      </c>
      <c r="BJ16" s="457">
        <v>0.70000000000000007</v>
      </c>
      <c r="BK16" s="454">
        <v>734</v>
      </c>
      <c r="BL16" s="457">
        <v>2.9</v>
      </c>
      <c r="BM16" s="454">
        <v>7</v>
      </c>
      <c r="BN16" s="457">
        <v>-1.6</v>
      </c>
      <c r="BO16" s="454">
        <v>-256</v>
      </c>
      <c r="BP16" s="458">
        <v>-4.2</v>
      </c>
      <c r="BQ16" s="454">
        <v>-273</v>
      </c>
      <c r="BR16" s="457">
        <v>-4.1000000000000005</v>
      </c>
      <c r="BS16" s="454">
        <v>-440</v>
      </c>
      <c r="BT16" s="457">
        <v>-3.6999999999999997</v>
      </c>
      <c r="BU16" s="454">
        <v>-137</v>
      </c>
      <c r="BV16" s="457">
        <v>-2.4</v>
      </c>
      <c r="BW16" s="454">
        <v>123</v>
      </c>
      <c r="BX16" s="458">
        <v>-0.4</v>
      </c>
      <c r="BY16" s="454">
        <v>16</v>
      </c>
      <c r="BZ16" s="457">
        <v>-0.8</v>
      </c>
      <c r="CA16" s="454">
        <v>-55</v>
      </c>
      <c r="CB16" s="457">
        <v>-0.6</v>
      </c>
      <c r="CC16" s="454">
        <v>18</v>
      </c>
      <c r="CD16" s="457">
        <v>-1.0999999999999999</v>
      </c>
    </row>
    <row r="17" spans="1:82" ht="12.75" x14ac:dyDescent="0.2">
      <c r="A17" s="403" t="s">
        <v>483</v>
      </c>
      <c r="B17" s="272"/>
      <c r="C17" s="457">
        <v>-0.51534000000000102</v>
      </c>
      <c r="D17" s="454"/>
      <c r="E17" s="457">
        <v>0.30432000000000192</v>
      </c>
      <c r="F17" s="454">
        <v>87</v>
      </c>
      <c r="G17" s="457">
        <v>0.2</v>
      </c>
      <c r="H17" s="454">
        <v>561</v>
      </c>
      <c r="I17" s="457">
        <v>1.0999999999999999</v>
      </c>
      <c r="J17" s="454">
        <v>-221</v>
      </c>
      <c r="K17" s="457">
        <v>0.89999999999999991</v>
      </c>
      <c r="L17" s="454">
        <v>-398</v>
      </c>
      <c r="M17" s="457">
        <v>-0.5</v>
      </c>
      <c r="N17" s="454">
        <v>477</v>
      </c>
      <c r="O17" s="457">
        <v>-1.0999999999999999</v>
      </c>
      <c r="P17" s="454">
        <v>453</v>
      </c>
      <c r="Q17" s="457">
        <v>0.3</v>
      </c>
      <c r="R17" s="454">
        <v>434</v>
      </c>
      <c r="S17" s="457">
        <v>1.3</v>
      </c>
      <c r="T17" s="272"/>
      <c r="U17" s="454">
        <v>-103</v>
      </c>
      <c r="V17" s="457">
        <v>-0.8</v>
      </c>
      <c r="W17" s="454">
        <v>-60</v>
      </c>
      <c r="X17" s="457">
        <v>-0.9</v>
      </c>
      <c r="Y17" s="454">
        <v>145</v>
      </c>
      <c r="Z17" s="457">
        <v>1.2</v>
      </c>
      <c r="AA17" s="454">
        <v>105</v>
      </c>
      <c r="AB17" s="458">
        <v>0.89999999999999991</v>
      </c>
      <c r="AC17" s="454">
        <v>203</v>
      </c>
      <c r="AD17" s="457">
        <v>2</v>
      </c>
      <c r="AE17" s="454">
        <v>153</v>
      </c>
      <c r="AF17" s="457">
        <v>1.4000000000000001</v>
      </c>
      <c r="AG17" s="454">
        <v>61</v>
      </c>
      <c r="AH17" s="457">
        <v>-0.3</v>
      </c>
      <c r="AI17" s="454">
        <v>145</v>
      </c>
      <c r="AJ17" s="458">
        <v>1.2</v>
      </c>
      <c r="AK17" s="454">
        <v>94</v>
      </c>
      <c r="AL17" s="457">
        <v>1.3</v>
      </c>
      <c r="AM17" s="454">
        <v>-69</v>
      </c>
      <c r="AN17" s="457">
        <v>0.2</v>
      </c>
      <c r="AO17" s="454">
        <v>-46</v>
      </c>
      <c r="AP17" s="457">
        <v>2.4</v>
      </c>
      <c r="AQ17" s="454">
        <v>-200</v>
      </c>
      <c r="AR17" s="458">
        <v>0</v>
      </c>
      <c r="AS17" s="454">
        <v>-186</v>
      </c>
      <c r="AT17" s="457">
        <v>-0.4</v>
      </c>
      <c r="AU17" s="454">
        <v>-125</v>
      </c>
      <c r="AV17" s="457">
        <v>-0.1</v>
      </c>
      <c r="AW17" s="454">
        <v>-116</v>
      </c>
      <c r="AX17" s="457">
        <v>-1.6</v>
      </c>
      <c r="AY17" s="454">
        <v>28</v>
      </c>
      <c r="AZ17" s="458">
        <v>-0.1</v>
      </c>
      <c r="BA17" s="454">
        <v>109</v>
      </c>
      <c r="BB17" s="457">
        <v>-0.3</v>
      </c>
      <c r="BC17" s="454">
        <v>104</v>
      </c>
      <c r="BD17" s="457">
        <v>-1</v>
      </c>
      <c r="BE17" s="454">
        <v>159</v>
      </c>
      <c r="BF17" s="457">
        <v>-1.3</v>
      </c>
      <c r="BG17" s="454">
        <v>105</v>
      </c>
      <c r="BH17" s="458">
        <v>-1.7000000000000002</v>
      </c>
      <c r="BI17" s="454">
        <v>165</v>
      </c>
      <c r="BJ17" s="457">
        <v>0.1</v>
      </c>
      <c r="BK17" s="454">
        <v>-199</v>
      </c>
      <c r="BL17" s="457">
        <v>-2.9</v>
      </c>
      <c r="BM17" s="454">
        <v>194</v>
      </c>
      <c r="BN17" s="457">
        <v>1.4000000000000001</v>
      </c>
      <c r="BO17" s="454">
        <v>291</v>
      </c>
      <c r="BP17" s="458">
        <v>2.5</v>
      </c>
      <c r="BQ17" s="454">
        <v>59</v>
      </c>
      <c r="BR17" s="457">
        <v>1.3</v>
      </c>
      <c r="BS17" s="454">
        <v>338</v>
      </c>
      <c r="BT17" s="457">
        <v>3</v>
      </c>
      <c r="BU17" s="454">
        <v>-18</v>
      </c>
      <c r="BV17" s="457">
        <v>0.8</v>
      </c>
      <c r="BW17" s="454">
        <v>56</v>
      </c>
      <c r="BX17" s="458">
        <v>0.3</v>
      </c>
      <c r="BY17" s="454">
        <v>202</v>
      </c>
      <c r="BZ17" s="457">
        <v>1.7999999999999998</v>
      </c>
      <c r="CA17" s="454">
        <v>-210</v>
      </c>
      <c r="CB17" s="457">
        <v>0.4</v>
      </c>
      <c r="CC17" s="454">
        <v>-209</v>
      </c>
      <c r="CD17" s="457">
        <v>0.2</v>
      </c>
    </row>
    <row r="18" spans="1:82" ht="12.75" x14ac:dyDescent="0.2">
      <c r="A18" s="403" t="s">
        <v>484</v>
      </c>
      <c r="B18" s="272"/>
      <c r="C18" s="457">
        <v>0.1</v>
      </c>
      <c r="D18" s="454"/>
      <c r="E18" s="457">
        <v>0.1</v>
      </c>
      <c r="F18" s="454">
        <v>47</v>
      </c>
      <c r="G18" s="457">
        <v>-0.4</v>
      </c>
      <c r="H18" s="454">
        <v>-52</v>
      </c>
      <c r="I18" s="457">
        <v>0</v>
      </c>
      <c r="J18" s="454">
        <v>-51</v>
      </c>
      <c r="K18" s="457">
        <v>-0.2</v>
      </c>
      <c r="L18" s="454">
        <v>176</v>
      </c>
      <c r="M18" s="457">
        <v>0.2</v>
      </c>
      <c r="N18" s="454">
        <v>-824</v>
      </c>
      <c r="O18" s="457">
        <v>-3</v>
      </c>
      <c r="P18" s="454">
        <v>1056</v>
      </c>
      <c r="Q18" s="457">
        <v>0.8</v>
      </c>
      <c r="R18" s="454">
        <v>-192</v>
      </c>
      <c r="S18" s="457">
        <v>-0.5</v>
      </c>
      <c r="T18" s="272"/>
      <c r="U18" s="454">
        <v>11</v>
      </c>
      <c r="V18" s="457">
        <v>-0.4</v>
      </c>
      <c r="W18" s="454">
        <v>1</v>
      </c>
      <c r="X18" s="457">
        <v>-0.5</v>
      </c>
      <c r="Y18" s="454">
        <v>10</v>
      </c>
      <c r="Z18" s="457">
        <v>-0.4</v>
      </c>
      <c r="AA18" s="454">
        <v>25</v>
      </c>
      <c r="AB18" s="458">
        <v>-0.4</v>
      </c>
      <c r="AC18" s="454">
        <v>-16</v>
      </c>
      <c r="AD18" s="457">
        <v>0</v>
      </c>
      <c r="AE18" s="454">
        <v>-10</v>
      </c>
      <c r="AF18" s="457">
        <v>0</v>
      </c>
      <c r="AG18" s="454">
        <v>5</v>
      </c>
      <c r="AH18" s="457">
        <v>0.3</v>
      </c>
      <c r="AI18" s="454">
        <v>-29</v>
      </c>
      <c r="AJ18" s="458">
        <v>-0.1</v>
      </c>
      <c r="AK18" s="454">
        <v>-33</v>
      </c>
      <c r="AL18" s="457">
        <v>-0.5</v>
      </c>
      <c r="AM18" s="454">
        <v>-21</v>
      </c>
      <c r="AN18" s="457">
        <v>-0.3</v>
      </c>
      <c r="AO18" s="404">
        <v>-30</v>
      </c>
      <c r="AP18" s="457">
        <v>-0.5</v>
      </c>
      <c r="AQ18" s="404">
        <v>32</v>
      </c>
      <c r="AR18" s="458">
        <v>0.4</v>
      </c>
      <c r="AS18" s="454">
        <v>29</v>
      </c>
      <c r="AT18" s="457">
        <v>0.4</v>
      </c>
      <c r="AU18" s="454">
        <v>9</v>
      </c>
      <c r="AV18" s="457">
        <v>1.0999999999999999E-2</v>
      </c>
      <c r="AW18" s="454">
        <v>-8</v>
      </c>
      <c r="AX18" s="457">
        <v>-0.89999999999999991</v>
      </c>
      <c r="AY18" s="404">
        <v>141</v>
      </c>
      <c r="AZ18" s="458">
        <v>1</v>
      </c>
      <c r="BA18" s="454">
        <v>-49</v>
      </c>
      <c r="BB18" s="457">
        <v>-1.3</v>
      </c>
      <c r="BC18" s="454">
        <v>-459</v>
      </c>
      <c r="BD18" s="457">
        <v>-6.1</v>
      </c>
      <c r="BE18" s="454">
        <v>-131</v>
      </c>
      <c r="BF18" s="457">
        <v>-1.7000000000000002</v>
      </c>
      <c r="BG18" s="404">
        <v>-192</v>
      </c>
      <c r="BH18" s="458">
        <v>-2.8000000000000003</v>
      </c>
      <c r="BI18" s="454">
        <v>62</v>
      </c>
      <c r="BJ18" s="457">
        <v>-1.3</v>
      </c>
      <c r="BK18" s="454">
        <v>505</v>
      </c>
      <c r="BL18" s="457">
        <v>2.2999999999999998</v>
      </c>
      <c r="BM18" s="454">
        <v>193</v>
      </c>
      <c r="BN18" s="457">
        <v>0.1</v>
      </c>
      <c r="BO18" s="404">
        <v>302</v>
      </c>
      <c r="BP18" s="458">
        <v>1.7999999999999998</v>
      </c>
      <c r="BQ18" s="454">
        <v>-1</v>
      </c>
      <c r="BR18" s="457">
        <v>-0.2</v>
      </c>
      <c r="BS18" s="454">
        <v>-130</v>
      </c>
      <c r="BT18" s="457">
        <v>-1.0999999999999999</v>
      </c>
      <c r="BU18" s="454">
        <v>210</v>
      </c>
      <c r="BV18" s="457">
        <v>1.7000000000000002</v>
      </c>
      <c r="BW18" s="404">
        <v>-272</v>
      </c>
      <c r="BX18" s="458">
        <v>-2.1</v>
      </c>
      <c r="BY18" s="454">
        <v>3</v>
      </c>
      <c r="BZ18" s="457">
        <v>0</v>
      </c>
      <c r="CA18" s="454">
        <v>79</v>
      </c>
      <c r="CB18" s="457">
        <v>0.6</v>
      </c>
      <c r="CC18" s="454">
        <v>-306</v>
      </c>
      <c r="CD18" s="457">
        <v>-2.6</v>
      </c>
    </row>
    <row r="19" spans="1:82" ht="12.75" x14ac:dyDescent="0.2">
      <c r="A19" s="407" t="s">
        <v>552</v>
      </c>
      <c r="B19" s="467"/>
      <c r="C19" s="459">
        <v>-1.4153400000000009</v>
      </c>
      <c r="D19" s="460"/>
      <c r="E19" s="459">
        <v>2.7043200000000018</v>
      </c>
      <c r="F19" s="460">
        <v>1606</v>
      </c>
      <c r="G19" s="459">
        <v>0.69498559767943391</v>
      </c>
      <c r="H19" s="460">
        <v>723</v>
      </c>
      <c r="I19" s="459">
        <v>1.4</v>
      </c>
      <c r="J19" s="460">
        <v>-797</v>
      </c>
      <c r="K19" s="459">
        <v>-0.2</v>
      </c>
      <c r="L19" s="460">
        <v>1169</v>
      </c>
      <c r="M19" s="459">
        <v>1.9</v>
      </c>
      <c r="N19" s="460">
        <v>1469</v>
      </c>
      <c r="O19" s="459">
        <v>-2</v>
      </c>
      <c r="P19" s="460">
        <v>2301</v>
      </c>
      <c r="Q19" s="459">
        <v>0.4</v>
      </c>
      <c r="R19" s="460">
        <v>-482</v>
      </c>
      <c r="S19" s="459">
        <v>-1.7000000000000002</v>
      </c>
      <c r="T19" s="272"/>
      <c r="U19" s="460">
        <v>185</v>
      </c>
      <c r="V19" s="459">
        <v>0.4</v>
      </c>
      <c r="W19" s="460">
        <v>499</v>
      </c>
      <c r="X19" s="459">
        <v>1.2</v>
      </c>
      <c r="Y19" s="460">
        <v>494</v>
      </c>
      <c r="Z19" s="459">
        <v>1.2</v>
      </c>
      <c r="AA19" s="460">
        <v>428</v>
      </c>
      <c r="AB19" s="461">
        <v>0.1</v>
      </c>
      <c r="AC19" s="460">
        <v>356</v>
      </c>
      <c r="AD19" s="459">
        <v>1.3</v>
      </c>
      <c r="AE19" s="460">
        <v>220</v>
      </c>
      <c r="AF19" s="459">
        <v>1.7</v>
      </c>
      <c r="AG19" s="460">
        <v>168</v>
      </c>
      <c r="AH19" s="459">
        <v>1.7000000000000002</v>
      </c>
      <c r="AI19" s="460">
        <v>-21</v>
      </c>
      <c r="AJ19" s="461">
        <v>0.70000000000000007</v>
      </c>
      <c r="AK19" s="460">
        <v>-121</v>
      </c>
      <c r="AL19" s="459">
        <v>0.1</v>
      </c>
      <c r="AM19" s="460">
        <v>-520</v>
      </c>
      <c r="AN19" s="459">
        <v>-3.1</v>
      </c>
      <c r="AO19" s="460">
        <v>-277</v>
      </c>
      <c r="AP19" s="459">
        <v>-0.8</v>
      </c>
      <c r="AQ19" s="460">
        <v>122</v>
      </c>
      <c r="AR19" s="461">
        <v>2.6</v>
      </c>
      <c r="AS19" s="460">
        <v>110</v>
      </c>
      <c r="AT19" s="459">
        <v>2.4</v>
      </c>
      <c r="AU19" s="460">
        <v>439</v>
      </c>
      <c r="AV19" s="459">
        <v>3.8</v>
      </c>
      <c r="AW19" s="460">
        <v>263</v>
      </c>
      <c r="AX19" s="459">
        <v>1</v>
      </c>
      <c r="AY19" s="460">
        <v>357</v>
      </c>
      <c r="AZ19" s="461">
        <v>0.89999999999999991</v>
      </c>
      <c r="BA19" s="460">
        <v>446</v>
      </c>
      <c r="BB19" s="459">
        <v>-0.4</v>
      </c>
      <c r="BC19" s="460">
        <v>11</v>
      </c>
      <c r="BD19" s="459">
        <v>-4.5</v>
      </c>
      <c r="BE19" s="460">
        <v>508</v>
      </c>
      <c r="BF19" s="459">
        <v>-1.6</v>
      </c>
      <c r="BG19" s="460">
        <v>504</v>
      </c>
      <c r="BH19" s="461">
        <v>-1.6</v>
      </c>
      <c r="BI19" s="460">
        <v>530</v>
      </c>
      <c r="BJ19" s="459">
        <v>-0.5</v>
      </c>
      <c r="BK19" s="460">
        <v>1040</v>
      </c>
      <c r="BL19" s="459">
        <v>2.2999999999999998</v>
      </c>
      <c r="BM19" s="460">
        <v>394</v>
      </c>
      <c r="BN19" s="459">
        <v>-0.1</v>
      </c>
      <c r="BO19" s="460">
        <v>337</v>
      </c>
      <c r="BP19" s="461">
        <v>0.1</v>
      </c>
      <c r="BQ19" s="460">
        <v>-215</v>
      </c>
      <c r="BR19" s="459">
        <v>-3</v>
      </c>
      <c r="BS19" s="460">
        <v>-232</v>
      </c>
      <c r="BT19" s="459">
        <v>-1.7999999999999998</v>
      </c>
      <c r="BU19" s="460">
        <v>55</v>
      </c>
      <c r="BV19" s="459">
        <v>0.1</v>
      </c>
      <c r="BW19" s="460">
        <v>-93</v>
      </c>
      <c r="BX19" s="461">
        <v>-2.1999999999999997</v>
      </c>
      <c r="BY19" s="460">
        <v>221</v>
      </c>
      <c r="BZ19" s="459">
        <v>1</v>
      </c>
      <c r="CA19" s="460">
        <v>-186</v>
      </c>
      <c r="CB19" s="459">
        <v>0.4</v>
      </c>
      <c r="CC19" s="460">
        <v>-497</v>
      </c>
      <c r="CD19" s="459">
        <v>-3.5000000000000004</v>
      </c>
    </row>
    <row r="20" spans="1:82" ht="12.75" x14ac:dyDescent="0.2">
      <c r="A20" s="403" t="s">
        <v>486</v>
      </c>
      <c r="B20" s="454">
        <v>3802</v>
      </c>
      <c r="C20" s="468">
        <v>20.100000000000001</v>
      </c>
      <c r="D20" s="454">
        <v>5107.4681666059005</v>
      </c>
      <c r="E20" s="455">
        <v>22.8</v>
      </c>
      <c r="F20" s="454">
        <v>6713</v>
      </c>
      <c r="G20" s="469">
        <v>23.524877365101599</v>
      </c>
      <c r="H20" s="454">
        <v>7435</v>
      </c>
      <c r="I20" s="466">
        <v>24.9</v>
      </c>
      <c r="J20" s="454">
        <v>6639</v>
      </c>
      <c r="K20" s="466">
        <v>24.7</v>
      </c>
      <c r="L20" s="454">
        <v>7808</v>
      </c>
      <c r="M20" s="466">
        <v>26.6</v>
      </c>
      <c r="N20" s="454">
        <v>9277</v>
      </c>
      <c r="O20" s="466">
        <v>24.6</v>
      </c>
      <c r="P20" s="454">
        <v>11792</v>
      </c>
      <c r="Q20" s="466">
        <v>24.8</v>
      </c>
      <c r="R20" s="454">
        <v>11310</v>
      </c>
      <c r="S20" s="466">
        <v>23.1</v>
      </c>
      <c r="T20" s="272"/>
      <c r="U20" s="454">
        <v>1351</v>
      </c>
      <c r="V20" s="455">
        <v>22.7</v>
      </c>
      <c r="W20" s="454">
        <v>1741</v>
      </c>
      <c r="X20" s="455">
        <v>23.8</v>
      </c>
      <c r="Y20" s="454">
        <v>1755</v>
      </c>
      <c r="Z20" s="455">
        <v>24.5</v>
      </c>
      <c r="AA20" s="454">
        <v>1866</v>
      </c>
      <c r="AB20" s="456">
        <v>23.1</v>
      </c>
      <c r="AC20" s="454">
        <v>1707</v>
      </c>
      <c r="AD20" s="466">
        <v>24</v>
      </c>
      <c r="AE20" s="454">
        <v>1961</v>
      </c>
      <c r="AF20" s="455">
        <v>25.5</v>
      </c>
      <c r="AG20" s="454">
        <v>1923</v>
      </c>
      <c r="AH20" s="455">
        <v>26.2</v>
      </c>
      <c r="AI20" s="454">
        <v>1844</v>
      </c>
      <c r="AJ20" s="456">
        <v>23.8</v>
      </c>
      <c r="AK20" s="454">
        <v>1586</v>
      </c>
      <c r="AL20" s="455">
        <v>24.1</v>
      </c>
      <c r="AM20" s="454">
        <v>1441</v>
      </c>
      <c r="AN20" s="455">
        <v>22.400000000000002</v>
      </c>
      <c r="AO20" s="454">
        <v>1646</v>
      </c>
      <c r="AP20" s="455">
        <v>25.4</v>
      </c>
      <c r="AQ20" s="454">
        <v>1966</v>
      </c>
      <c r="AR20" s="456">
        <v>26.400000000000002</v>
      </c>
      <c r="AS20" s="454">
        <v>1696</v>
      </c>
      <c r="AT20" s="455">
        <v>26.5</v>
      </c>
      <c r="AU20" s="454">
        <v>1880</v>
      </c>
      <c r="AV20" s="455">
        <v>26.200000000000003</v>
      </c>
      <c r="AW20" s="454">
        <v>1909</v>
      </c>
      <c r="AX20" s="455">
        <v>26.400000000000002</v>
      </c>
      <c r="AY20" s="454">
        <v>2323</v>
      </c>
      <c r="AZ20" s="456">
        <v>27.3</v>
      </c>
      <c r="BA20" s="454">
        <v>2142</v>
      </c>
      <c r="BB20" s="455">
        <v>26.1</v>
      </c>
      <c r="BC20" s="454">
        <v>1891</v>
      </c>
      <c r="BD20" s="455">
        <v>21.7</v>
      </c>
      <c r="BE20" s="454">
        <v>2417</v>
      </c>
      <c r="BF20" s="455">
        <v>24.8</v>
      </c>
      <c r="BG20" s="454">
        <v>2827</v>
      </c>
      <c r="BH20" s="456">
        <v>25.7</v>
      </c>
      <c r="BI20" s="454">
        <v>2718</v>
      </c>
      <c r="BJ20" s="455">
        <v>25.3</v>
      </c>
      <c r="BK20" s="454">
        <v>2995</v>
      </c>
      <c r="BL20" s="455">
        <v>23.9</v>
      </c>
      <c r="BM20" s="454">
        <v>2868</v>
      </c>
      <c r="BN20" s="455">
        <v>24.5</v>
      </c>
      <c r="BO20" s="454">
        <v>3211</v>
      </c>
      <c r="BP20" s="456">
        <v>25.6</v>
      </c>
      <c r="BQ20" s="454">
        <v>2503</v>
      </c>
      <c r="BR20" s="455">
        <v>22.3</v>
      </c>
      <c r="BS20" s="454">
        <v>2763</v>
      </c>
      <c r="BT20" s="455">
        <v>22.1</v>
      </c>
      <c r="BU20" s="454">
        <v>2923</v>
      </c>
      <c r="BV20" s="455">
        <v>24.6</v>
      </c>
      <c r="BW20" s="454">
        <v>3120</v>
      </c>
      <c r="BX20" s="456">
        <v>23.400000000000002</v>
      </c>
      <c r="BY20" s="454">
        <v>2724</v>
      </c>
      <c r="BZ20" s="455">
        <v>23.3</v>
      </c>
      <c r="CA20" s="454">
        <v>2577</v>
      </c>
      <c r="CB20" s="455">
        <v>22.5</v>
      </c>
      <c r="CC20" s="454">
        <v>2426</v>
      </c>
      <c r="CD20" s="455">
        <v>21.099999999999998</v>
      </c>
    </row>
    <row r="21" spans="1:82" ht="12.75" x14ac:dyDescent="0.2">
      <c r="A21" s="403"/>
      <c r="B21" s="454"/>
      <c r="C21" s="392"/>
      <c r="D21" s="454"/>
      <c r="E21" s="392"/>
      <c r="F21" s="454"/>
      <c r="G21" s="392"/>
      <c r="H21" s="454"/>
      <c r="I21" s="392"/>
      <c r="J21" s="454"/>
      <c r="K21" s="392"/>
      <c r="L21" s="454"/>
      <c r="M21" s="392"/>
      <c r="N21" s="454"/>
      <c r="O21" s="392"/>
      <c r="P21" s="454"/>
      <c r="Q21" s="392"/>
      <c r="R21" s="454"/>
      <c r="S21" s="392"/>
      <c r="T21" s="272"/>
      <c r="U21" s="454"/>
      <c r="V21" s="392"/>
      <c r="W21" s="454"/>
      <c r="X21" s="392"/>
      <c r="Y21" s="454"/>
      <c r="Z21" s="392"/>
      <c r="AA21" s="454"/>
      <c r="AB21" s="393"/>
      <c r="AC21" s="454"/>
      <c r="AD21" s="392"/>
      <c r="AE21" s="454"/>
      <c r="AF21" s="392"/>
      <c r="AG21" s="454"/>
      <c r="AH21" s="392"/>
      <c r="AI21" s="454"/>
      <c r="AJ21" s="393"/>
      <c r="AK21" s="454"/>
      <c r="AL21" s="392"/>
      <c r="AM21" s="454"/>
      <c r="AN21" s="392"/>
      <c r="AO21" s="454"/>
      <c r="AP21" s="392"/>
      <c r="AQ21" s="454"/>
      <c r="AR21" s="393"/>
      <c r="AS21" s="454"/>
      <c r="AT21" s="392"/>
      <c r="AU21" s="454"/>
      <c r="AV21" s="392"/>
      <c r="AW21" s="454"/>
      <c r="AX21" s="392"/>
      <c r="AY21" s="454"/>
      <c r="AZ21" s="393"/>
      <c r="BA21" s="454"/>
      <c r="BB21" s="392"/>
      <c r="BC21" s="454"/>
      <c r="BD21" s="392"/>
      <c r="BE21" s="454"/>
      <c r="BF21" s="392"/>
      <c r="BG21" s="454"/>
      <c r="BH21" s="393"/>
      <c r="BI21" s="454"/>
      <c r="BJ21" s="392"/>
      <c r="BK21" s="454"/>
      <c r="BL21" s="392"/>
      <c r="BM21" s="454"/>
      <c r="BN21" s="392"/>
      <c r="BO21" s="454"/>
      <c r="BP21" s="393"/>
      <c r="BQ21" s="454"/>
      <c r="BR21" s="392"/>
      <c r="BS21" s="454"/>
      <c r="BT21" s="392"/>
      <c r="BU21" s="454"/>
      <c r="BV21" s="392"/>
      <c r="BW21" s="454"/>
      <c r="BX21" s="393"/>
      <c r="BY21" s="454"/>
      <c r="BZ21" s="392"/>
      <c r="CA21" s="454"/>
      <c r="CB21" s="392"/>
      <c r="CC21" s="454"/>
      <c r="CD21" s="392"/>
    </row>
    <row r="22" spans="1:82" ht="12.75" x14ac:dyDescent="0.2">
      <c r="A22" s="403"/>
      <c r="B22" s="404"/>
      <c r="C22" s="404"/>
      <c r="D22" s="404"/>
      <c r="E22" s="404"/>
      <c r="F22" s="404"/>
      <c r="G22" s="404"/>
      <c r="H22" s="404"/>
      <c r="I22" s="404"/>
      <c r="J22" s="404"/>
      <c r="K22" s="404"/>
      <c r="L22" s="404"/>
      <c r="M22" s="404"/>
      <c r="N22" s="404"/>
      <c r="O22" s="404"/>
      <c r="P22" s="404"/>
      <c r="Q22" s="404"/>
      <c r="R22" s="404"/>
      <c r="S22" s="404"/>
      <c r="T22" s="272"/>
      <c r="U22" s="404"/>
      <c r="V22" s="404"/>
      <c r="W22" s="404"/>
      <c r="X22" s="404"/>
      <c r="Y22" s="404"/>
      <c r="Z22" s="404"/>
      <c r="AA22" s="404"/>
      <c r="AB22" s="405"/>
      <c r="AC22" s="404"/>
      <c r="AD22" s="404"/>
      <c r="AE22" s="404"/>
      <c r="AF22" s="404"/>
      <c r="AG22" s="404"/>
      <c r="AH22" s="404"/>
      <c r="AI22" s="404"/>
      <c r="AJ22" s="405"/>
      <c r="AK22" s="404"/>
      <c r="AL22" s="404"/>
      <c r="AM22" s="404"/>
      <c r="AN22" s="404"/>
      <c r="AO22" s="404"/>
      <c r="AP22" s="404"/>
      <c r="AQ22" s="404"/>
      <c r="AR22" s="405"/>
      <c r="AS22" s="404"/>
      <c r="AT22" s="404"/>
      <c r="AU22" s="404"/>
      <c r="AV22" s="404"/>
      <c r="AW22" s="404"/>
      <c r="AX22" s="404"/>
      <c r="AY22" s="404"/>
      <c r="AZ22" s="405"/>
      <c r="BA22" s="404"/>
      <c r="BB22" s="404"/>
      <c r="BC22" s="404"/>
      <c r="BD22" s="404"/>
      <c r="BE22" s="404"/>
      <c r="BF22" s="404"/>
      <c r="BG22" s="404"/>
      <c r="BH22" s="405"/>
      <c r="BI22" s="404"/>
      <c r="BJ22" s="404"/>
      <c r="BK22" s="404"/>
      <c r="BL22" s="404"/>
      <c r="BM22" s="404"/>
      <c r="BN22" s="404"/>
      <c r="BO22" s="404"/>
      <c r="BP22" s="405"/>
      <c r="BQ22" s="404"/>
      <c r="BR22" s="404"/>
      <c r="BS22" s="404"/>
      <c r="BT22" s="404"/>
      <c r="BU22" s="404"/>
      <c r="BV22" s="404"/>
      <c r="BW22" s="404"/>
      <c r="BX22" s="405"/>
      <c r="BY22" s="404"/>
      <c r="BZ22" s="404"/>
      <c r="CA22" s="404"/>
      <c r="CB22" s="404"/>
      <c r="CC22" s="404"/>
      <c r="CD22" s="404"/>
    </row>
    <row r="23" spans="1:82" ht="12.75" x14ac:dyDescent="0.2">
      <c r="A23" s="462" t="s">
        <v>299</v>
      </c>
      <c r="B23" s="1033" t="s">
        <v>511</v>
      </c>
      <c r="C23" s="1033"/>
      <c r="D23" s="1033" t="s">
        <v>512</v>
      </c>
      <c r="E23" s="1033"/>
      <c r="F23" s="1033" t="s">
        <v>513</v>
      </c>
      <c r="G23" s="1033"/>
      <c r="H23" s="1033" t="s">
        <v>514</v>
      </c>
      <c r="I23" s="1033"/>
      <c r="J23" s="1033" t="s">
        <v>515</v>
      </c>
      <c r="K23" s="1033"/>
      <c r="L23" s="1034" t="s">
        <v>516</v>
      </c>
      <c r="M23" s="1034"/>
      <c r="N23" s="1034" t="s">
        <v>517</v>
      </c>
      <c r="O23" s="1034"/>
      <c r="P23" s="1034" t="s">
        <v>518</v>
      </c>
      <c r="Q23" s="1034"/>
      <c r="R23" s="1034" t="s">
        <v>519</v>
      </c>
      <c r="S23" s="1034"/>
      <c r="T23" s="272"/>
      <c r="U23" s="1033" t="s">
        <v>520</v>
      </c>
      <c r="V23" s="1033"/>
      <c r="W23" s="1033" t="s">
        <v>521</v>
      </c>
      <c r="X23" s="1033"/>
      <c r="Y23" s="1033" t="s">
        <v>522</v>
      </c>
      <c r="Z23" s="1033"/>
      <c r="AA23" s="1033" t="s">
        <v>523</v>
      </c>
      <c r="AB23" s="1037"/>
      <c r="AC23" s="1033" t="s">
        <v>524</v>
      </c>
      <c r="AD23" s="1033"/>
      <c r="AE23" s="1033" t="s">
        <v>525</v>
      </c>
      <c r="AF23" s="1033"/>
      <c r="AG23" s="1033" t="s">
        <v>526</v>
      </c>
      <c r="AH23" s="1033"/>
      <c r="AI23" s="1033" t="s">
        <v>527</v>
      </c>
      <c r="AJ23" s="1037"/>
      <c r="AK23" s="1033" t="s">
        <v>528</v>
      </c>
      <c r="AL23" s="1033"/>
      <c r="AM23" s="1033" t="s">
        <v>529</v>
      </c>
      <c r="AN23" s="1033"/>
      <c r="AO23" s="1035" t="s">
        <v>530</v>
      </c>
      <c r="AP23" s="1035"/>
      <c r="AQ23" s="1035" t="s">
        <v>531</v>
      </c>
      <c r="AR23" s="1036"/>
      <c r="AS23" s="1033" t="s">
        <v>532</v>
      </c>
      <c r="AT23" s="1033"/>
      <c r="AU23" s="1033" t="s">
        <v>533</v>
      </c>
      <c r="AV23" s="1033"/>
      <c r="AW23" s="1033" t="str">
        <f>+AW13</f>
        <v>2021 Q3</v>
      </c>
      <c r="AX23" s="1033"/>
      <c r="AY23" s="1035" t="s">
        <v>535</v>
      </c>
      <c r="AZ23" s="1036"/>
      <c r="BA23" s="1033" t="s">
        <v>536</v>
      </c>
      <c r="BB23" s="1033"/>
      <c r="BC23" s="1033" t="s">
        <v>537</v>
      </c>
      <c r="BD23" s="1033"/>
      <c r="BE23" s="1034" t="s">
        <v>538</v>
      </c>
      <c r="BF23" s="1034"/>
      <c r="BG23" s="1031" t="s">
        <v>539</v>
      </c>
      <c r="BH23" s="1032"/>
      <c r="BI23" s="1033" t="s">
        <v>540</v>
      </c>
      <c r="BJ23" s="1033"/>
      <c r="BK23" s="1034" t="s">
        <v>541</v>
      </c>
      <c r="BL23" s="1034"/>
      <c r="BM23" s="1034" t="s">
        <v>542</v>
      </c>
      <c r="BN23" s="1034"/>
      <c r="BO23" s="1031" t="s">
        <v>543</v>
      </c>
      <c r="BP23" s="1032"/>
      <c r="BQ23" s="1033" t="s">
        <v>544</v>
      </c>
      <c r="BR23" s="1033"/>
      <c r="BS23" s="1034" t="s">
        <v>545</v>
      </c>
      <c r="BT23" s="1034"/>
      <c r="BU23" s="1034" t="s">
        <v>546</v>
      </c>
      <c r="BV23" s="1034"/>
      <c r="BW23" s="1031" t="s">
        <v>547</v>
      </c>
      <c r="BX23" s="1032"/>
      <c r="BY23" s="1033" t="s">
        <v>548</v>
      </c>
      <c r="BZ23" s="1033"/>
      <c r="CA23" s="1034" t="s">
        <v>549</v>
      </c>
      <c r="CB23" s="1034"/>
      <c r="CC23" s="1034" t="s">
        <v>550</v>
      </c>
      <c r="CD23" s="1034"/>
    </row>
    <row r="24" spans="1:82" ht="12.75" x14ac:dyDescent="0.2">
      <c r="A24" s="463"/>
      <c r="B24" s="464" t="s">
        <v>264</v>
      </c>
      <c r="C24" s="464" t="s">
        <v>551</v>
      </c>
      <c r="D24" s="464" t="s">
        <v>264</v>
      </c>
      <c r="E24" s="464" t="s">
        <v>551</v>
      </c>
      <c r="F24" s="464" t="s">
        <v>264</v>
      </c>
      <c r="G24" s="464" t="s">
        <v>551</v>
      </c>
      <c r="H24" s="464" t="s">
        <v>264</v>
      </c>
      <c r="I24" s="464" t="s">
        <v>551</v>
      </c>
      <c r="J24" s="464" t="s">
        <v>264</v>
      </c>
      <c r="K24" s="464" t="s">
        <v>551</v>
      </c>
      <c r="L24" s="464" t="s">
        <v>264</v>
      </c>
      <c r="M24" s="464" t="s">
        <v>551</v>
      </c>
      <c r="N24" s="464" t="s">
        <v>264</v>
      </c>
      <c r="O24" s="464" t="s">
        <v>551</v>
      </c>
      <c r="P24" s="464" t="s">
        <v>264</v>
      </c>
      <c r="Q24" s="464" t="s">
        <v>551</v>
      </c>
      <c r="R24" s="464" t="s">
        <v>264</v>
      </c>
      <c r="S24" s="464" t="s">
        <v>551</v>
      </c>
      <c r="T24" s="272"/>
      <c r="U24" s="464" t="s">
        <v>264</v>
      </c>
      <c r="V24" s="464" t="s">
        <v>551</v>
      </c>
      <c r="W24" s="464" t="s">
        <v>264</v>
      </c>
      <c r="X24" s="464" t="s">
        <v>551</v>
      </c>
      <c r="Y24" s="464" t="s">
        <v>264</v>
      </c>
      <c r="Z24" s="464" t="s">
        <v>551</v>
      </c>
      <c r="AA24" s="464" t="s">
        <v>264</v>
      </c>
      <c r="AB24" s="465" t="s">
        <v>551</v>
      </c>
      <c r="AC24" s="464" t="s">
        <v>264</v>
      </c>
      <c r="AD24" s="464" t="s">
        <v>551</v>
      </c>
      <c r="AE24" s="464" t="s">
        <v>264</v>
      </c>
      <c r="AF24" s="464" t="s">
        <v>551</v>
      </c>
      <c r="AG24" s="464" t="s">
        <v>264</v>
      </c>
      <c r="AH24" s="464" t="s">
        <v>551</v>
      </c>
      <c r="AI24" s="464" t="s">
        <v>264</v>
      </c>
      <c r="AJ24" s="465" t="s">
        <v>551</v>
      </c>
      <c r="AK24" s="464" t="s">
        <v>264</v>
      </c>
      <c r="AL24" s="464" t="s">
        <v>551</v>
      </c>
      <c r="AM24" s="464" t="s">
        <v>264</v>
      </c>
      <c r="AN24" s="464" t="s">
        <v>551</v>
      </c>
      <c r="AO24" s="464" t="s">
        <v>264</v>
      </c>
      <c r="AP24" s="464" t="s">
        <v>551</v>
      </c>
      <c r="AQ24" s="464" t="s">
        <v>264</v>
      </c>
      <c r="AR24" s="465" t="s">
        <v>551</v>
      </c>
      <c r="AS24" s="464" t="s">
        <v>264</v>
      </c>
      <c r="AT24" s="464" t="s">
        <v>551</v>
      </c>
      <c r="AU24" s="464" t="s">
        <v>264</v>
      </c>
      <c r="AV24" s="464" t="s">
        <v>551</v>
      </c>
      <c r="AW24" s="464" t="s">
        <v>264</v>
      </c>
      <c r="AX24" s="464" t="s">
        <v>551</v>
      </c>
      <c r="AY24" s="464" t="s">
        <v>264</v>
      </c>
      <c r="AZ24" s="465" t="s">
        <v>551</v>
      </c>
      <c r="BA24" s="464" t="s">
        <v>264</v>
      </c>
      <c r="BB24" s="464" t="s">
        <v>551</v>
      </c>
      <c r="BC24" s="464" t="s">
        <v>264</v>
      </c>
      <c r="BD24" s="464" t="s">
        <v>551</v>
      </c>
      <c r="BE24" s="464" t="s">
        <v>264</v>
      </c>
      <c r="BF24" s="464" t="s">
        <v>551</v>
      </c>
      <c r="BG24" s="464" t="s">
        <v>264</v>
      </c>
      <c r="BH24" s="465" t="s">
        <v>551</v>
      </c>
      <c r="BI24" s="464" t="s">
        <v>264</v>
      </c>
      <c r="BJ24" s="464" t="s">
        <v>551</v>
      </c>
      <c r="BK24" s="464" t="s">
        <v>264</v>
      </c>
      <c r="BL24" s="464" t="s">
        <v>551</v>
      </c>
      <c r="BM24" s="464" t="s">
        <v>264</v>
      </c>
      <c r="BN24" s="464" t="s">
        <v>551</v>
      </c>
      <c r="BO24" s="464" t="s">
        <v>264</v>
      </c>
      <c r="BP24" s="465" t="s">
        <v>551</v>
      </c>
      <c r="BQ24" s="464" t="s">
        <v>264</v>
      </c>
      <c r="BR24" s="464" t="s">
        <v>551</v>
      </c>
      <c r="BS24" s="464" t="s">
        <v>264</v>
      </c>
      <c r="BT24" s="464" t="s">
        <v>551</v>
      </c>
      <c r="BU24" s="464" t="s">
        <v>264</v>
      </c>
      <c r="BV24" s="464" t="s">
        <v>551</v>
      </c>
      <c r="BW24" s="464" t="s">
        <v>264</v>
      </c>
      <c r="BX24" s="465" t="s">
        <v>551</v>
      </c>
      <c r="BY24" s="464" t="s">
        <v>264</v>
      </c>
      <c r="BZ24" s="464" t="s">
        <v>551</v>
      </c>
      <c r="CA24" s="464" t="s">
        <v>264</v>
      </c>
      <c r="CB24" s="464" t="s">
        <v>551</v>
      </c>
      <c r="CC24" s="464" t="s">
        <v>264</v>
      </c>
      <c r="CD24" s="464" t="s">
        <v>551</v>
      </c>
    </row>
    <row r="25" spans="1:82" ht="12.75" x14ac:dyDescent="0.2">
      <c r="A25" s="400" t="s">
        <v>481</v>
      </c>
      <c r="B25" s="454">
        <v>957</v>
      </c>
      <c r="C25" s="455">
        <v>11.8</v>
      </c>
      <c r="D25" s="454">
        <v>937</v>
      </c>
      <c r="E25" s="455">
        <v>11.82531</v>
      </c>
      <c r="F25" s="454">
        <v>1146</v>
      </c>
      <c r="G25" s="455">
        <v>13.113479999999999</v>
      </c>
      <c r="H25" s="454">
        <v>1239</v>
      </c>
      <c r="I25" s="455">
        <v>13</v>
      </c>
      <c r="J25" s="454">
        <v>1252</v>
      </c>
      <c r="K25" s="455">
        <v>11.600000000000001</v>
      </c>
      <c r="L25" s="454">
        <v>1097</v>
      </c>
      <c r="M25" s="455">
        <v>12.2</v>
      </c>
      <c r="N25" s="454">
        <v>1784</v>
      </c>
      <c r="O25" s="455">
        <v>17.5</v>
      </c>
      <c r="P25" s="454">
        <v>1900</v>
      </c>
      <c r="Q25" s="455">
        <v>17.599999999999998</v>
      </c>
      <c r="R25" s="454">
        <v>1780</v>
      </c>
      <c r="S25" s="455">
        <v>14.000000000000002</v>
      </c>
      <c r="T25" s="272"/>
      <c r="U25" s="454">
        <v>321</v>
      </c>
      <c r="V25" s="455">
        <v>14.8</v>
      </c>
      <c r="W25" s="454">
        <v>328</v>
      </c>
      <c r="X25" s="455">
        <v>14.3</v>
      </c>
      <c r="Y25" s="454">
        <v>279</v>
      </c>
      <c r="Z25" s="455">
        <v>13</v>
      </c>
      <c r="AA25" s="454">
        <v>218</v>
      </c>
      <c r="AB25" s="456">
        <v>10.199999999999999</v>
      </c>
      <c r="AC25" s="454">
        <v>287</v>
      </c>
      <c r="AD25" s="455">
        <v>12.8</v>
      </c>
      <c r="AE25" s="454">
        <v>304</v>
      </c>
      <c r="AF25" s="455">
        <v>12.4</v>
      </c>
      <c r="AG25" s="454">
        <v>324</v>
      </c>
      <c r="AH25" s="455">
        <v>13.600000000000001</v>
      </c>
      <c r="AI25" s="454">
        <v>324</v>
      </c>
      <c r="AJ25" s="456">
        <v>13.3</v>
      </c>
      <c r="AK25" s="454">
        <v>371</v>
      </c>
      <c r="AL25" s="455">
        <v>14.2</v>
      </c>
      <c r="AM25" s="454">
        <v>429</v>
      </c>
      <c r="AN25" s="455">
        <v>14.6</v>
      </c>
      <c r="AO25" s="454">
        <v>157</v>
      </c>
      <c r="AP25" s="455">
        <v>5.7</v>
      </c>
      <c r="AQ25" s="454">
        <v>295</v>
      </c>
      <c r="AR25" s="456">
        <v>11.799999999999999</v>
      </c>
      <c r="AS25" s="454">
        <v>337</v>
      </c>
      <c r="AT25" s="455">
        <v>13.5</v>
      </c>
      <c r="AU25" s="454">
        <v>143</v>
      </c>
      <c r="AV25" s="455">
        <v>7</v>
      </c>
      <c r="AW25" s="454">
        <v>254</v>
      </c>
      <c r="AX25" s="455">
        <v>11.600000000000001</v>
      </c>
      <c r="AY25" s="454">
        <v>363</v>
      </c>
      <c r="AZ25" s="456">
        <v>15.9</v>
      </c>
      <c r="BA25" s="454">
        <v>386</v>
      </c>
      <c r="BB25" s="455">
        <v>16.5</v>
      </c>
      <c r="BC25" s="454">
        <v>416</v>
      </c>
      <c r="BD25" s="455">
        <v>16.5</v>
      </c>
      <c r="BE25" s="454">
        <v>502</v>
      </c>
      <c r="BF25" s="455">
        <v>18.600000000000001</v>
      </c>
      <c r="BG25" s="454">
        <v>480</v>
      </c>
      <c r="BH25" s="456">
        <v>18.2</v>
      </c>
      <c r="BI25" s="454">
        <v>474</v>
      </c>
      <c r="BJ25" s="455">
        <v>18.3</v>
      </c>
      <c r="BK25" s="454">
        <v>436</v>
      </c>
      <c r="BL25" s="455">
        <v>15.6</v>
      </c>
      <c r="BM25" s="454">
        <v>514</v>
      </c>
      <c r="BN25" s="455">
        <v>19</v>
      </c>
      <c r="BO25" s="454">
        <v>476</v>
      </c>
      <c r="BP25" s="456">
        <v>17.5</v>
      </c>
      <c r="BQ25" s="454">
        <v>532</v>
      </c>
      <c r="BR25" s="455">
        <v>17</v>
      </c>
      <c r="BS25" s="454">
        <v>524</v>
      </c>
      <c r="BT25" s="455">
        <v>15.299999999999999</v>
      </c>
      <c r="BU25" s="454">
        <v>481</v>
      </c>
      <c r="BV25" s="455">
        <v>15.1</v>
      </c>
      <c r="BW25" s="454">
        <v>242</v>
      </c>
      <c r="BX25" s="456">
        <v>8.1</v>
      </c>
      <c r="BY25" s="454">
        <v>335</v>
      </c>
      <c r="BZ25" s="455">
        <v>11.4</v>
      </c>
      <c r="CA25" s="454">
        <v>283</v>
      </c>
      <c r="CB25" s="455">
        <v>7.1</v>
      </c>
      <c r="CC25" s="454">
        <v>429</v>
      </c>
      <c r="CD25" s="455">
        <v>11.3</v>
      </c>
    </row>
    <row r="26" spans="1:82" ht="12.75" x14ac:dyDescent="0.2">
      <c r="A26" s="403" t="s">
        <v>482</v>
      </c>
      <c r="B26" s="272"/>
      <c r="C26" s="457">
        <v>0.2</v>
      </c>
      <c r="D26" s="454"/>
      <c r="E26" s="457">
        <v>0.8</v>
      </c>
      <c r="F26" s="454">
        <v>50</v>
      </c>
      <c r="G26" s="457">
        <v>-0.4</v>
      </c>
      <c r="H26" s="454">
        <v>7</v>
      </c>
      <c r="I26" s="457">
        <v>0.5</v>
      </c>
      <c r="J26" s="454">
        <v>-152</v>
      </c>
      <c r="K26" s="457">
        <v>-0.70000000000000007</v>
      </c>
      <c r="L26" s="454">
        <v>613</v>
      </c>
      <c r="M26" s="457">
        <v>4.3</v>
      </c>
      <c r="N26" s="454">
        <v>99</v>
      </c>
      <c r="O26" s="457">
        <v>0</v>
      </c>
      <c r="P26" s="454">
        <v>-356</v>
      </c>
      <c r="Q26" s="457">
        <v>-2.4</v>
      </c>
      <c r="R26" s="454">
        <v>-305</v>
      </c>
      <c r="S26" s="457">
        <v>-1.4000000000000001</v>
      </c>
      <c r="T26" s="272"/>
      <c r="U26" s="454">
        <v>-17</v>
      </c>
      <c r="V26" s="457">
        <v>-1.6</v>
      </c>
      <c r="W26" s="454">
        <v>-21</v>
      </c>
      <c r="X26" s="457">
        <v>-1.5</v>
      </c>
      <c r="Y26" s="454">
        <v>17</v>
      </c>
      <c r="Z26" s="457">
        <v>0.1</v>
      </c>
      <c r="AA26" s="454">
        <v>71</v>
      </c>
      <c r="AB26" s="458">
        <v>2</v>
      </c>
      <c r="AC26" s="454">
        <v>59</v>
      </c>
      <c r="AD26" s="457">
        <v>1.5</v>
      </c>
      <c r="AE26" s="454">
        <v>70</v>
      </c>
      <c r="AF26" s="457">
        <v>1.9</v>
      </c>
      <c r="AG26" s="454">
        <v>-88</v>
      </c>
      <c r="AH26" s="457">
        <v>-2</v>
      </c>
      <c r="AI26" s="454">
        <v>-34</v>
      </c>
      <c r="AJ26" s="458">
        <v>0.2</v>
      </c>
      <c r="AK26" s="454">
        <v>-69</v>
      </c>
      <c r="AL26" s="457">
        <v>-2</v>
      </c>
      <c r="AM26" s="454">
        <v>-201</v>
      </c>
      <c r="AN26" s="457">
        <v>-5.0999999999999996</v>
      </c>
      <c r="AO26" s="454">
        <v>-40</v>
      </c>
      <c r="AP26" s="457">
        <v>-2.5</v>
      </c>
      <c r="AQ26" s="454">
        <v>160</v>
      </c>
      <c r="AR26" s="458">
        <v>6.3</v>
      </c>
      <c r="AS26" s="454">
        <v>74</v>
      </c>
      <c r="AT26" s="457">
        <v>2.5</v>
      </c>
      <c r="AU26" s="454">
        <v>249</v>
      </c>
      <c r="AV26" s="457">
        <v>8</v>
      </c>
      <c r="AW26" s="454">
        <v>250</v>
      </c>
      <c r="AX26" s="457">
        <v>7.3999999999999995</v>
      </c>
      <c r="AY26" s="454">
        <v>38</v>
      </c>
      <c r="AZ26" s="458">
        <v>0.3</v>
      </c>
      <c r="BA26" s="454">
        <v>64</v>
      </c>
      <c r="BB26" s="457">
        <v>0.89999999999999991</v>
      </c>
      <c r="BC26" s="454">
        <v>66</v>
      </c>
      <c r="BD26" s="457">
        <v>0.89999999999999991</v>
      </c>
      <c r="BE26" s="454">
        <v>2</v>
      </c>
      <c r="BF26" s="457">
        <v>0.2</v>
      </c>
      <c r="BG26" s="454">
        <v>-38</v>
      </c>
      <c r="BH26" s="458">
        <v>-1.4</v>
      </c>
      <c r="BI26" s="454">
        <v>15</v>
      </c>
      <c r="BJ26" s="457">
        <v>0.1</v>
      </c>
      <c r="BK26" s="454">
        <v>-28</v>
      </c>
      <c r="BL26" s="457">
        <v>-0.3</v>
      </c>
      <c r="BM26" s="454">
        <v>-185</v>
      </c>
      <c r="BN26" s="457">
        <v>-5.7</v>
      </c>
      <c r="BO26" s="454">
        <v>-151</v>
      </c>
      <c r="BP26" s="458">
        <v>-3.8</v>
      </c>
      <c r="BQ26" s="454">
        <v>-73</v>
      </c>
      <c r="BR26" s="457">
        <v>-0.8</v>
      </c>
      <c r="BS26" s="454">
        <v>-184</v>
      </c>
      <c r="BT26" s="457">
        <v>-1.5</v>
      </c>
      <c r="BU26" s="454">
        <v>-6</v>
      </c>
      <c r="BV26" s="457">
        <v>0.6</v>
      </c>
      <c r="BW26" s="454">
        <v>-41</v>
      </c>
      <c r="BX26" s="458">
        <v>-1</v>
      </c>
      <c r="BY26" s="454">
        <v>-102</v>
      </c>
      <c r="BZ26" s="457">
        <v>-3.1</v>
      </c>
      <c r="CA26" s="454">
        <v>68</v>
      </c>
      <c r="CB26" s="457">
        <v>2.1</v>
      </c>
      <c r="CC26" s="454">
        <v>59</v>
      </c>
      <c r="CD26" s="457">
        <v>1</v>
      </c>
    </row>
    <row r="27" spans="1:82" ht="12.75" x14ac:dyDescent="0.2">
      <c r="A27" s="403" t="s">
        <v>483</v>
      </c>
      <c r="B27" s="272"/>
      <c r="C27" s="457">
        <v>-7.4689999999999396E-2</v>
      </c>
      <c r="D27" s="454"/>
      <c r="E27" s="457">
        <v>0.88816999999999946</v>
      </c>
      <c r="F27" s="454">
        <v>35</v>
      </c>
      <c r="G27" s="457">
        <v>0.31183346679321844</v>
      </c>
      <c r="H27" s="454">
        <v>133</v>
      </c>
      <c r="I27" s="457">
        <v>0.89999999999999991</v>
      </c>
      <c r="J27" s="454">
        <v>-143</v>
      </c>
      <c r="K27" s="457">
        <v>-0.70000000000000007</v>
      </c>
      <c r="L27" s="454">
        <v>-6</v>
      </c>
      <c r="M27" s="457">
        <v>0.4</v>
      </c>
      <c r="N27" s="454">
        <v>250</v>
      </c>
      <c r="O27" s="457">
        <v>0.6</v>
      </c>
      <c r="P27" s="454">
        <v>82</v>
      </c>
      <c r="Q27" s="457">
        <v>0.3</v>
      </c>
      <c r="R27" s="454">
        <v>24</v>
      </c>
      <c r="S27" s="457">
        <v>0.4</v>
      </c>
      <c r="T27" s="272"/>
      <c r="U27" s="454">
        <v>-21</v>
      </c>
      <c r="V27" s="457">
        <v>-0.3</v>
      </c>
      <c r="W27" s="454">
        <v>-3</v>
      </c>
      <c r="X27" s="457">
        <v>-0.3</v>
      </c>
      <c r="Y27" s="454">
        <v>25</v>
      </c>
      <c r="Z27" s="457">
        <v>0.5</v>
      </c>
      <c r="AA27" s="454">
        <v>34</v>
      </c>
      <c r="AB27" s="458">
        <v>1.0999999999999999</v>
      </c>
      <c r="AC27" s="454">
        <v>23</v>
      </c>
      <c r="AD27" s="457">
        <v>0.4</v>
      </c>
      <c r="AE27" s="454">
        <v>25</v>
      </c>
      <c r="AF27" s="457">
        <v>0.6</v>
      </c>
      <c r="AG27" s="454">
        <v>50</v>
      </c>
      <c r="AH27" s="457">
        <v>1.4000000000000001</v>
      </c>
      <c r="AI27" s="454">
        <v>35</v>
      </c>
      <c r="AJ27" s="458">
        <v>1.2</v>
      </c>
      <c r="AK27" s="454">
        <v>46</v>
      </c>
      <c r="AL27" s="457">
        <v>1.7</v>
      </c>
      <c r="AM27" s="454">
        <v>-26</v>
      </c>
      <c r="AN27" s="457">
        <v>-0.6</v>
      </c>
      <c r="AO27" s="454">
        <v>-52</v>
      </c>
      <c r="AP27" s="457">
        <v>-0.70000000000000007</v>
      </c>
      <c r="AQ27" s="454">
        <v>-113</v>
      </c>
      <c r="AR27" s="458">
        <v>-3.3000000000000003</v>
      </c>
      <c r="AS27" s="454">
        <v>-18</v>
      </c>
      <c r="AT27" s="457">
        <v>0.8</v>
      </c>
      <c r="AU27" s="454">
        <v>-18</v>
      </c>
      <c r="AV27" s="457">
        <v>-0.2</v>
      </c>
      <c r="AW27" s="454">
        <v>-17</v>
      </c>
      <c r="AX27" s="457">
        <v>-0.70000000000000007</v>
      </c>
      <c r="AY27" s="454">
        <v>48</v>
      </c>
      <c r="AZ27" s="458">
        <v>1.5</v>
      </c>
      <c r="BA27" s="454">
        <v>34</v>
      </c>
      <c r="BB27" s="457">
        <v>0.1</v>
      </c>
      <c r="BC27" s="454">
        <v>64</v>
      </c>
      <c r="BD27" s="457">
        <v>0.6</v>
      </c>
      <c r="BE27" s="454">
        <v>74</v>
      </c>
      <c r="BF27" s="457">
        <v>0.5</v>
      </c>
      <c r="BG27" s="454">
        <v>78</v>
      </c>
      <c r="BH27" s="458">
        <v>0.8</v>
      </c>
      <c r="BI27" s="454">
        <v>33</v>
      </c>
      <c r="BJ27" s="457">
        <v>0.2</v>
      </c>
      <c r="BK27" s="454">
        <v>-50</v>
      </c>
      <c r="BL27" s="457">
        <v>-2.4</v>
      </c>
      <c r="BM27" s="454">
        <v>62</v>
      </c>
      <c r="BN27" s="457">
        <v>2.1</v>
      </c>
      <c r="BO27" s="454">
        <v>37</v>
      </c>
      <c r="BP27" s="458">
        <v>1.7000000000000002</v>
      </c>
      <c r="BQ27" s="454">
        <v>-14</v>
      </c>
      <c r="BR27" s="457">
        <v>-0.1</v>
      </c>
      <c r="BS27" s="454">
        <v>64</v>
      </c>
      <c r="BT27" s="457">
        <v>2.1999999999999997</v>
      </c>
      <c r="BU27" s="454">
        <v>-33</v>
      </c>
      <c r="BV27" s="457">
        <v>-0.6</v>
      </c>
      <c r="BW27" s="454">
        <v>7</v>
      </c>
      <c r="BX27" s="458">
        <v>0.1</v>
      </c>
      <c r="BY27" s="454">
        <v>64</v>
      </c>
      <c r="BZ27" s="457">
        <v>2.2999999999999998</v>
      </c>
      <c r="CA27" s="454">
        <v>-42</v>
      </c>
      <c r="CB27" s="457">
        <v>-0.1</v>
      </c>
      <c r="CC27" s="454">
        <v>-53</v>
      </c>
      <c r="CD27" s="457">
        <v>-0.5</v>
      </c>
    </row>
    <row r="28" spans="1:82" ht="12.75" x14ac:dyDescent="0.2">
      <c r="A28" s="403" t="s">
        <v>484</v>
      </c>
      <c r="B28" s="272"/>
      <c r="C28" s="457">
        <v>-0.1</v>
      </c>
      <c r="D28" s="454"/>
      <c r="E28" s="457">
        <v>-0.4</v>
      </c>
      <c r="F28" s="454">
        <v>8</v>
      </c>
      <c r="G28" s="457">
        <v>-2.6314952151107414E-2</v>
      </c>
      <c r="H28" s="454">
        <v>-127</v>
      </c>
      <c r="I28" s="457">
        <v>-2.8000000000000003</v>
      </c>
      <c r="J28" s="454">
        <v>140</v>
      </c>
      <c r="K28" s="457">
        <v>2</v>
      </c>
      <c r="L28" s="454">
        <v>80</v>
      </c>
      <c r="M28" s="457">
        <v>0.6</v>
      </c>
      <c r="N28" s="454">
        <v>-19</v>
      </c>
      <c r="O28" s="457">
        <v>-0.6</v>
      </c>
      <c r="P28" s="454">
        <v>154</v>
      </c>
      <c r="Q28" s="457">
        <v>-1.5</v>
      </c>
      <c r="R28" s="454">
        <v>-126</v>
      </c>
      <c r="S28" s="457">
        <v>-3.5999999999999996</v>
      </c>
      <c r="T28" s="272"/>
      <c r="U28" s="454">
        <v>4</v>
      </c>
      <c r="V28" s="457">
        <v>0</v>
      </c>
      <c r="W28" s="454">
        <v>0</v>
      </c>
      <c r="X28" s="457">
        <v>-0.1</v>
      </c>
      <c r="Y28" s="454">
        <v>3</v>
      </c>
      <c r="Z28" s="457">
        <v>0</v>
      </c>
      <c r="AA28" s="454">
        <v>1</v>
      </c>
      <c r="AB28" s="458">
        <v>0</v>
      </c>
      <c r="AC28" s="454">
        <v>2</v>
      </c>
      <c r="AD28" s="457">
        <v>-0.5</v>
      </c>
      <c r="AE28" s="454">
        <v>30</v>
      </c>
      <c r="AF28" s="457">
        <v>-0.3</v>
      </c>
      <c r="AG28" s="454">
        <v>-129</v>
      </c>
      <c r="AH28" s="457">
        <v>-7.3</v>
      </c>
      <c r="AI28" s="454">
        <v>-30</v>
      </c>
      <c r="AJ28" s="458">
        <v>-2.9000000000000004</v>
      </c>
      <c r="AK28" s="454">
        <v>-11</v>
      </c>
      <c r="AL28" s="457">
        <v>-0.4</v>
      </c>
      <c r="AM28" s="454">
        <v>-59</v>
      </c>
      <c r="AN28" s="457">
        <v>-1.9</v>
      </c>
      <c r="AO28" s="404">
        <v>189</v>
      </c>
      <c r="AP28" s="457">
        <v>9.1</v>
      </c>
      <c r="AQ28" s="404">
        <v>21</v>
      </c>
      <c r="AR28" s="458">
        <v>1.0999999999999999</v>
      </c>
      <c r="AS28" s="454">
        <v>-7</v>
      </c>
      <c r="AT28" s="457">
        <v>-0.3</v>
      </c>
      <c r="AU28" s="454">
        <v>42</v>
      </c>
      <c r="AV28" s="457">
        <v>1.7000000000000002</v>
      </c>
      <c r="AW28" s="454">
        <v>15</v>
      </c>
      <c r="AX28" s="457">
        <v>0.3</v>
      </c>
      <c r="AY28" s="404">
        <v>31</v>
      </c>
      <c r="AZ28" s="458">
        <v>0.5</v>
      </c>
      <c r="BA28" s="454">
        <v>36</v>
      </c>
      <c r="BB28" s="457">
        <v>0.6</v>
      </c>
      <c r="BC28" s="454">
        <v>-46</v>
      </c>
      <c r="BD28" s="457">
        <v>-2.1</v>
      </c>
      <c r="BE28" s="454">
        <v>-7</v>
      </c>
      <c r="BF28" s="457">
        <v>-0.5</v>
      </c>
      <c r="BG28" s="404">
        <v>3</v>
      </c>
      <c r="BH28" s="458">
        <v>-0.1</v>
      </c>
      <c r="BI28" s="454">
        <v>10</v>
      </c>
      <c r="BJ28" s="457">
        <v>-1.6</v>
      </c>
      <c r="BK28" s="454">
        <v>166</v>
      </c>
      <c r="BL28" s="457">
        <v>2.4</v>
      </c>
      <c r="BM28" s="454">
        <v>90</v>
      </c>
      <c r="BN28" s="457">
        <v>-0.3</v>
      </c>
      <c r="BO28" s="404">
        <v>-119</v>
      </c>
      <c r="BP28" s="458">
        <v>-7.3</v>
      </c>
      <c r="BQ28" s="454">
        <v>-110</v>
      </c>
      <c r="BR28" s="457">
        <v>-4.7</v>
      </c>
      <c r="BS28" s="454">
        <v>-121</v>
      </c>
      <c r="BT28" s="457">
        <v>-8.9</v>
      </c>
      <c r="BU28" s="454">
        <v>-13</v>
      </c>
      <c r="BV28" s="457">
        <v>-3.8</v>
      </c>
      <c r="BW28" s="404">
        <v>118</v>
      </c>
      <c r="BX28" s="458">
        <v>1.2</v>
      </c>
      <c r="BY28" s="454">
        <v>164</v>
      </c>
      <c r="BZ28" s="457">
        <v>1.5</v>
      </c>
      <c r="CA28" s="454">
        <v>67</v>
      </c>
      <c r="CB28" s="457">
        <v>1.2</v>
      </c>
      <c r="CC28" s="454">
        <v>1</v>
      </c>
      <c r="CD28" s="457">
        <v>0</v>
      </c>
    </row>
    <row r="29" spans="1:82" ht="12.75" x14ac:dyDescent="0.2">
      <c r="A29" s="407" t="s">
        <v>552</v>
      </c>
      <c r="B29" s="467"/>
      <c r="C29" s="459">
        <v>2.531000000000061E-2</v>
      </c>
      <c r="D29" s="460"/>
      <c r="E29" s="459">
        <v>1.2881699999999996</v>
      </c>
      <c r="F29" s="460">
        <v>93</v>
      </c>
      <c r="G29" s="459">
        <v>-0.10000000000000009</v>
      </c>
      <c r="H29" s="460">
        <v>13</v>
      </c>
      <c r="I29" s="459">
        <v>-1.4000000000000001</v>
      </c>
      <c r="J29" s="460">
        <v>-155</v>
      </c>
      <c r="K29" s="459">
        <v>0.6</v>
      </c>
      <c r="L29" s="460">
        <v>687</v>
      </c>
      <c r="M29" s="459">
        <v>5.3</v>
      </c>
      <c r="N29" s="460">
        <v>330</v>
      </c>
      <c r="O29" s="459">
        <v>0</v>
      </c>
      <c r="P29" s="460">
        <v>-120</v>
      </c>
      <c r="Q29" s="459">
        <v>-3.5999999999999996</v>
      </c>
      <c r="R29" s="460">
        <v>-407</v>
      </c>
      <c r="S29" s="459">
        <v>-4.5999999999999996</v>
      </c>
      <c r="T29" s="272"/>
      <c r="U29" s="460">
        <v>-34</v>
      </c>
      <c r="V29" s="459">
        <v>-2</v>
      </c>
      <c r="W29" s="460">
        <v>-24</v>
      </c>
      <c r="X29" s="459">
        <v>-1.9</v>
      </c>
      <c r="Y29" s="460">
        <v>45</v>
      </c>
      <c r="Z29" s="459">
        <v>0.6</v>
      </c>
      <c r="AA29" s="460">
        <v>106</v>
      </c>
      <c r="AB29" s="461">
        <v>3.1</v>
      </c>
      <c r="AC29" s="460">
        <v>84</v>
      </c>
      <c r="AD29" s="459">
        <v>1.4000000000000001</v>
      </c>
      <c r="AE29" s="460">
        <v>125</v>
      </c>
      <c r="AF29" s="459">
        <v>2.1999999999999997</v>
      </c>
      <c r="AG29" s="460">
        <v>-167</v>
      </c>
      <c r="AH29" s="459">
        <v>-7.9</v>
      </c>
      <c r="AI29" s="460">
        <v>-29</v>
      </c>
      <c r="AJ29" s="461">
        <v>-1.5</v>
      </c>
      <c r="AK29" s="460">
        <v>-34</v>
      </c>
      <c r="AL29" s="459">
        <v>-0.7</v>
      </c>
      <c r="AM29" s="460">
        <v>-286</v>
      </c>
      <c r="AN29" s="459">
        <v>-7.6</v>
      </c>
      <c r="AO29" s="460">
        <v>97</v>
      </c>
      <c r="AP29" s="459">
        <v>5.8999999999999995</v>
      </c>
      <c r="AQ29" s="460">
        <v>68</v>
      </c>
      <c r="AR29" s="461">
        <v>4.1000000000000005</v>
      </c>
      <c r="AS29" s="460">
        <v>49</v>
      </c>
      <c r="AT29" s="459">
        <v>3</v>
      </c>
      <c r="AU29" s="460">
        <v>273</v>
      </c>
      <c r="AV29" s="459">
        <v>9.5</v>
      </c>
      <c r="AW29" s="460">
        <v>248</v>
      </c>
      <c r="AX29" s="459">
        <v>7.0000000000000009</v>
      </c>
      <c r="AY29" s="460">
        <v>117</v>
      </c>
      <c r="AZ29" s="461">
        <v>2.2999999999999998</v>
      </c>
      <c r="BA29" s="460">
        <v>134</v>
      </c>
      <c r="BB29" s="459">
        <v>1.6</v>
      </c>
      <c r="BC29" s="460">
        <v>84</v>
      </c>
      <c r="BD29" s="459">
        <v>-0.6</v>
      </c>
      <c r="BE29" s="460">
        <v>69</v>
      </c>
      <c r="BF29" s="459">
        <v>0.2</v>
      </c>
      <c r="BG29" s="460">
        <v>43</v>
      </c>
      <c r="BH29" s="461">
        <v>-0.7</v>
      </c>
      <c r="BI29" s="460">
        <v>58</v>
      </c>
      <c r="BJ29" s="459">
        <v>-1.3</v>
      </c>
      <c r="BK29" s="460">
        <v>88</v>
      </c>
      <c r="BL29" s="459">
        <v>-0.3</v>
      </c>
      <c r="BM29" s="460">
        <v>-33</v>
      </c>
      <c r="BN29" s="459">
        <v>-3.9</v>
      </c>
      <c r="BO29" s="460">
        <v>-233</v>
      </c>
      <c r="BP29" s="461">
        <v>-9.4</v>
      </c>
      <c r="BQ29" s="460">
        <v>-197</v>
      </c>
      <c r="BR29" s="459">
        <v>-5.6000000000000005</v>
      </c>
      <c r="BS29" s="460">
        <v>-241</v>
      </c>
      <c r="BT29" s="459">
        <v>-8.2000000000000011</v>
      </c>
      <c r="BU29" s="460">
        <v>-52</v>
      </c>
      <c r="BV29" s="459">
        <v>-3.8</v>
      </c>
      <c r="BW29" s="460">
        <v>84</v>
      </c>
      <c r="BX29" s="461">
        <v>0.3</v>
      </c>
      <c r="BY29" s="460">
        <v>126</v>
      </c>
      <c r="BZ29" s="459">
        <v>0.70000000000000007</v>
      </c>
      <c r="CA29" s="460">
        <v>93</v>
      </c>
      <c r="CB29" s="459">
        <v>3.2</v>
      </c>
      <c r="CC29" s="460">
        <v>7</v>
      </c>
      <c r="CD29" s="459">
        <v>0.5</v>
      </c>
    </row>
    <row r="30" spans="1:82" ht="12.75" x14ac:dyDescent="0.2">
      <c r="A30" s="403" t="s">
        <v>486</v>
      </c>
      <c r="B30" s="454">
        <v>937</v>
      </c>
      <c r="C30" s="455">
        <v>11.8</v>
      </c>
      <c r="D30" s="454">
        <v>1146</v>
      </c>
      <c r="E30" s="455">
        <v>13.113479999999999</v>
      </c>
      <c r="F30" s="454">
        <v>1239</v>
      </c>
      <c r="G30" s="455">
        <v>13.011790000000001</v>
      </c>
      <c r="H30" s="454">
        <v>1252</v>
      </c>
      <c r="I30" s="455">
        <v>11.600000000000001</v>
      </c>
      <c r="J30" s="454">
        <v>1097</v>
      </c>
      <c r="K30" s="455">
        <v>12.2</v>
      </c>
      <c r="L30" s="454">
        <v>1784</v>
      </c>
      <c r="M30" s="455">
        <v>17.5</v>
      </c>
      <c r="N30" s="454">
        <v>2114</v>
      </c>
      <c r="O30" s="455">
        <v>17.5</v>
      </c>
      <c r="P30" s="454">
        <v>1780</v>
      </c>
      <c r="Q30" s="455">
        <v>14.000000000000002</v>
      </c>
      <c r="R30" s="454">
        <v>1373</v>
      </c>
      <c r="S30" s="455">
        <v>9.4</v>
      </c>
      <c r="T30" s="272"/>
      <c r="U30" s="454">
        <v>287</v>
      </c>
      <c r="V30" s="455">
        <v>12.8</v>
      </c>
      <c r="W30" s="454">
        <v>304</v>
      </c>
      <c r="X30" s="455">
        <v>12.4</v>
      </c>
      <c r="Y30" s="454">
        <v>324</v>
      </c>
      <c r="Z30" s="455">
        <v>13.600000000000001</v>
      </c>
      <c r="AA30" s="454">
        <v>324</v>
      </c>
      <c r="AB30" s="456">
        <v>13.3</v>
      </c>
      <c r="AC30" s="454">
        <v>371</v>
      </c>
      <c r="AD30" s="455">
        <v>14.2</v>
      </c>
      <c r="AE30" s="454">
        <v>429</v>
      </c>
      <c r="AF30" s="455">
        <v>14.6</v>
      </c>
      <c r="AG30" s="454">
        <v>157</v>
      </c>
      <c r="AH30" s="455">
        <v>5.7</v>
      </c>
      <c r="AI30" s="454">
        <v>295</v>
      </c>
      <c r="AJ30" s="456">
        <v>11.799999999999999</v>
      </c>
      <c r="AK30" s="454">
        <v>337</v>
      </c>
      <c r="AL30" s="455">
        <v>13.5</v>
      </c>
      <c r="AM30" s="454">
        <v>143</v>
      </c>
      <c r="AN30" s="455">
        <v>7.0000000000000009</v>
      </c>
      <c r="AO30" s="454">
        <v>254</v>
      </c>
      <c r="AP30" s="455">
        <v>11.600000000000001</v>
      </c>
      <c r="AQ30" s="454">
        <v>363</v>
      </c>
      <c r="AR30" s="456">
        <v>15.9</v>
      </c>
      <c r="AS30" s="454">
        <v>386</v>
      </c>
      <c r="AT30" s="455">
        <v>16.5</v>
      </c>
      <c r="AU30" s="454">
        <v>416</v>
      </c>
      <c r="AV30" s="455">
        <v>16.5</v>
      </c>
      <c r="AW30" s="454">
        <v>502</v>
      </c>
      <c r="AX30" s="455">
        <v>18.600000000000001</v>
      </c>
      <c r="AY30" s="454">
        <v>480</v>
      </c>
      <c r="AZ30" s="456">
        <v>18.2</v>
      </c>
      <c r="BA30" s="454">
        <v>520</v>
      </c>
      <c r="BB30" s="455">
        <v>18.099999999999998</v>
      </c>
      <c r="BC30" s="454">
        <v>500</v>
      </c>
      <c r="BD30" s="455">
        <v>15.9</v>
      </c>
      <c r="BE30" s="454">
        <v>571</v>
      </c>
      <c r="BF30" s="455">
        <v>18.8</v>
      </c>
      <c r="BG30" s="454">
        <v>523</v>
      </c>
      <c r="BH30" s="456">
        <v>17.5</v>
      </c>
      <c r="BI30" s="454">
        <v>532</v>
      </c>
      <c r="BJ30" s="455">
        <v>17</v>
      </c>
      <c r="BK30" s="454">
        <v>524</v>
      </c>
      <c r="BL30" s="455">
        <v>15.3</v>
      </c>
      <c r="BM30" s="454">
        <v>481</v>
      </c>
      <c r="BN30" s="455">
        <v>15.1</v>
      </c>
      <c r="BO30" s="454">
        <v>243</v>
      </c>
      <c r="BP30" s="456">
        <v>8.1</v>
      </c>
      <c r="BQ30" s="454">
        <v>335</v>
      </c>
      <c r="BR30" s="455">
        <v>11.4</v>
      </c>
      <c r="BS30" s="454">
        <v>283</v>
      </c>
      <c r="BT30" s="455">
        <v>7.1</v>
      </c>
      <c r="BU30" s="454">
        <v>429</v>
      </c>
      <c r="BV30" s="455">
        <v>11.3</v>
      </c>
      <c r="BW30" s="454">
        <v>326</v>
      </c>
      <c r="BX30" s="456">
        <v>8.4</v>
      </c>
      <c r="BY30" s="454">
        <v>461</v>
      </c>
      <c r="BZ30" s="455">
        <v>12.1</v>
      </c>
      <c r="CA30" s="454">
        <v>376</v>
      </c>
      <c r="CB30" s="455">
        <v>10.299999999999999</v>
      </c>
      <c r="CC30" s="454">
        <v>436</v>
      </c>
      <c r="CD30" s="455">
        <v>11.799999999999999</v>
      </c>
    </row>
    <row r="31" spans="1:82" ht="12.75" x14ac:dyDescent="0.2">
      <c r="A31" s="470"/>
      <c r="B31" s="272"/>
      <c r="C31" s="272"/>
      <c r="D31" s="454"/>
      <c r="E31" s="455"/>
      <c r="F31" s="454"/>
      <c r="G31" s="455"/>
      <c r="H31" s="454"/>
      <c r="I31" s="455"/>
      <c r="J31" s="454"/>
      <c r="K31" s="455"/>
      <c r="L31" s="454"/>
      <c r="M31" s="455"/>
      <c r="N31" s="454"/>
      <c r="O31" s="455"/>
      <c r="P31" s="454"/>
      <c r="Q31" s="455"/>
      <c r="R31" s="454"/>
      <c r="S31" s="455"/>
      <c r="T31" s="455"/>
      <c r="U31" s="455"/>
      <c r="V31" s="455"/>
      <c r="W31" s="455"/>
      <c r="X31" s="455"/>
      <c r="Y31" s="455"/>
      <c r="Z31" s="455"/>
      <c r="AA31" s="455"/>
      <c r="AB31" s="456"/>
      <c r="AC31" s="455"/>
      <c r="AD31" s="272"/>
      <c r="AE31" s="272"/>
      <c r="AF31" s="272"/>
      <c r="AG31" s="272"/>
      <c r="AH31" s="272"/>
      <c r="AI31" s="272"/>
      <c r="AJ31" s="274"/>
      <c r="AK31" s="272"/>
      <c r="AL31" s="272"/>
      <c r="AM31" s="272"/>
      <c r="AN31" s="272"/>
      <c r="AO31" s="272"/>
      <c r="AP31" s="272"/>
      <c r="AQ31" s="272"/>
      <c r="AR31" s="274"/>
      <c r="AS31" s="272"/>
      <c r="AT31" s="272"/>
      <c r="AU31" s="272"/>
      <c r="AV31" s="272"/>
      <c r="AW31" s="272"/>
      <c r="AX31" s="272"/>
      <c r="AY31" s="272"/>
      <c r="AZ31" s="274"/>
      <c r="BA31" s="272"/>
      <c r="BB31" s="272"/>
      <c r="BC31" s="272"/>
      <c r="BD31" s="272"/>
      <c r="BE31" s="272"/>
      <c r="BF31" s="272"/>
      <c r="BG31" s="272"/>
      <c r="BH31" s="274"/>
      <c r="BI31" s="272"/>
      <c r="BJ31" s="272"/>
      <c r="BK31" s="272"/>
      <c r="BL31" s="272"/>
      <c r="BM31" s="272"/>
      <c r="BN31" s="272"/>
      <c r="BO31" s="272"/>
      <c r="BP31" s="274"/>
      <c r="BQ31" s="272"/>
      <c r="BR31" s="272"/>
      <c r="BS31" s="272"/>
      <c r="BT31" s="272"/>
      <c r="BU31" s="272"/>
      <c r="BV31" s="272"/>
      <c r="BW31" s="272"/>
      <c r="BX31" s="274"/>
      <c r="BY31" s="272"/>
      <c r="BZ31" s="272"/>
      <c r="CA31" s="272"/>
      <c r="CB31" s="272"/>
      <c r="CC31" s="272"/>
      <c r="CD31" s="272"/>
    </row>
    <row r="32" spans="1:82" ht="12.75" x14ac:dyDescent="0.2">
      <c r="A32" s="470"/>
      <c r="B32" s="272"/>
      <c r="C32" s="272"/>
      <c r="D32" s="272"/>
      <c r="E32" s="272"/>
      <c r="F32" s="471"/>
      <c r="G32" s="472"/>
      <c r="H32" s="471"/>
      <c r="I32" s="472"/>
      <c r="J32" s="471"/>
      <c r="K32" s="455"/>
      <c r="L32" s="471"/>
      <c r="M32" s="455"/>
      <c r="N32" s="471"/>
      <c r="O32" s="455"/>
      <c r="P32" s="471"/>
      <c r="Q32" s="455"/>
      <c r="R32" s="471"/>
      <c r="S32" s="455"/>
      <c r="T32" s="455"/>
      <c r="U32" s="455"/>
      <c r="V32" s="455"/>
      <c r="W32" s="455"/>
      <c r="X32" s="455"/>
      <c r="Y32" s="455"/>
      <c r="Z32" s="455"/>
      <c r="AA32" s="455"/>
      <c r="AB32" s="456"/>
      <c r="AC32" s="455"/>
      <c r="AD32" s="472"/>
      <c r="AE32" s="471"/>
      <c r="AF32" s="472"/>
      <c r="AG32" s="471"/>
      <c r="AH32" s="472"/>
      <c r="AI32" s="471"/>
      <c r="AJ32" s="473"/>
      <c r="AK32" s="471"/>
      <c r="AL32" s="472"/>
      <c r="AM32" s="272"/>
      <c r="AN32" s="272"/>
      <c r="AO32" s="272"/>
      <c r="AP32" s="272"/>
      <c r="AQ32" s="272"/>
      <c r="AR32" s="274"/>
      <c r="AS32" s="474"/>
      <c r="AT32" s="472"/>
      <c r="AU32" s="272"/>
      <c r="AV32" s="272"/>
      <c r="AW32" s="272"/>
      <c r="AX32" s="272"/>
      <c r="AY32" s="272"/>
      <c r="AZ32" s="274"/>
      <c r="BA32" s="474"/>
      <c r="BB32" s="472"/>
      <c r="BC32" s="272"/>
      <c r="BD32" s="272"/>
      <c r="BE32" s="272"/>
      <c r="BF32" s="272"/>
      <c r="BG32" s="272"/>
      <c r="BH32" s="274"/>
      <c r="BI32" s="474"/>
      <c r="BJ32" s="472"/>
      <c r="BK32" s="272"/>
      <c r="BL32" s="272"/>
      <c r="BM32" s="272"/>
      <c r="BN32" s="272"/>
      <c r="BO32" s="272"/>
      <c r="BP32" s="274"/>
      <c r="BQ32" s="474"/>
      <c r="BR32" s="472"/>
      <c r="BS32" s="272"/>
      <c r="BT32" s="272"/>
      <c r="BU32" s="272"/>
      <c r="BV32" s="272"/>
      <c r="BW32" s="272"/>
      <c r="BX32" s="274"/>
      <c r="BY32" s="474"/>
      <c r="BZ32" s="472"/>
      <c r="CA32" s="272"/>
      <c r="CB32" s="272"/>
      <c r="CC32" s="272"/>
      <c r="CD32" s="272"/>
    </row>
    <row r="33" spans="1:82" ht="12.75" x14ac:dyDescent="0.2">
      <c r="A33" s="107" t="s">
        <v>554</v>
      </c>
      <c r="B33" s="272"/>
      <c r="C33" s="272"/>
      <c r="D33" s="272"/>
      <c r="E33" s="272"/>
      <c r="F33" s="272"/>
      <c r="G33" s="272"/>
      <c r="H33" s="272"/>
      <c r="I33" s="272"/>
      <c r="J33" s="272"/>
      <c r="K33" s="455"/>
      <c r="L33" s="272"/>
      <c r="M33" s="455"/>
      <c r="N33" s="272"/>
      <c r="O33" s="455"/>
      <c r="P33" s="272"/>
      <c r="Q33" s="455"/>
      <c r="R33" s="272"/>
      <c r="S33" s="455"/>
      <c r="T33" s="455"/>
      <c r="U33" s="455"/>
      <c r="V33" s="455"/>
      <c r="W33" s="455"/>
      <c r="X33" s="455"/>
      <c r="Y33" s="455"/>
      <c r="Z33" s="455"/>
      <c r="AA33" s="455"/>
      <c r="AB33" s="456"/>
      <c r="AC33" s="455"/>
      <c r="AD33" s="272"/>
      <c r="AE33" s="272"/>
      <c r="AF33" s="272"/>
      <c r="AG33" s="272"/>
      <c r="AH33" s="272"/>
      <c r="AI33" s="272"/>
      <c r="AJ33" s="274"/>
      <c r="AK33" s="272"/>
      <c r="AL33" s="272"/>
      <c r="AM33" s="272"/>
      <c r="AN33" s="272"/>
      <c r="AO33" s="272"/>
      <c r="AP33" s="272"/>
      <c r="AQ33" s="272"/>
      <c r="AR33" s="274"/>
      <c r="AS33" s="272"/>
      <c r="AT33" s="272"/>
      <c r="AU33" s="272"/>
      <c r="AV33" s="272"/>
      <c r="AW33" s="272"/>
      <c r="AX33" s="272"/>
      <c r="AY33" s="272"/>
      <c r="AZ33" s="274"/>
      <c r="BA33" s="272"/>
      <c r="BB33" s="272"/>
      <c r="BC33" s="272"/>
      <c r="BD33" s="272"/>
      <c r="BE33" s="272"/>
      <c r="BF33" s="272"/>
      <c r="BG33" s="272"/>
      <c r="BH33" s="274"/>
      <c r="BI33" s="272"/>
      <c r="BJ33" s="272"/>
      <c r="BK33" s="272"/>
      <c r="BL33" s="272"/>
      <c r="BM33" s="272"/>
      <c r="BN33" s="272"/>
      <c r="BO33" s="272"/>
      <c r="BP33" s="274"/>
      <c r="BQ33" s="272"/>
      <c r="BR33" s="272"/>
      <c r="BS33" s="272"/>
      <c r="BT33" s="272"/>
      <c r="BU33" s="272"/>
      <c r="BV33" s="272"/>
      <c r="BW33" s="272"/>
      <c r="BX33" s="274"/>
      <c r="BY33" s="272"/>
      <c r="BZ33" s="272"/>
      <c r="CA33" s="272"/>
      <c r="CB33" s="272"/>
      <c r="CC33" s="272"/>
      <c r="CD33" s="272"/>
    </row>
  </sheetData>
  <mergeCells count="120">
    <mergeCell ref="B3:C3"/>
    <mergeCell ref="D3:E3"/>
    <mergeCell ref="F3:G3"/>
    <mergeCell ref="H3:I3"/>
    <mergeCell ref="J3:K3"/>
    <mergeCell ref="L3:M3"/>
    <mergeCell ref="CC3:CD3"/>
    <mergeCell ref="B13:C13"/>
    <mergeCell ref="D13:E13"/>
    <mergeCell ref="F13:G13"/>
    <mergeCell ref="H13:I13"/>
    <mergeCell ref="J13:K13"/>
    <mergeCell ref="L13:M13"/>
    <mergeCell ref="BK3:BL3"/>
    <mergeCell ref="BM3:BN3"/>
    <mergeCell ref="BO3:BP3"/>
    <mergeCell ref="BQ3:BR3"/>
    <mergeCell ref="BS3:BT3"/>
    <mergeCell ref="BU3:BV3"/>
    <mergeCell ref="AY3:AZ3"/>
    <mergeCell ref="BA3:BB3"/>
    <mergeCell ref="BC3:BD3"/>
    <mergeCell ref="BE3:BF3"/>
    <mergeCell ref="BG3:BH3"/>
    <mergeCell ref="BI3:BJ3"/>
    <mergeCell ref="AM3:AN3"/>
    <mergeCell ref="AO3:AP3"/>
    <mergeCell ref="AQ3:AR3"/>
    <mergeCell ref="AS3:AT3"/>
    <mergeCell ref="AU3:AV3"/>
    <mergeCell ref="N13:O13"/>
    <mergeCell ref="P13:Q13"/>
    <mergeCell ref="R13:S13"/>
    <mergeCell ref="U13:V13"/>
    <mergeCell ref="W13:X13"/>
    <mergeCell ref="Y13:Z13"/>
    <mergeCell ref="BW3:BX3"/>
    <mergeCell ref="BY3:BZ3"/>
    <mergeCell ref="CA3:CB3"/>
    <mergeCell ref="AW3:AX3"/>
    <mergeCell ref="AA3:AB3"/>
    <mergeCell ref="AC3:AD3"/>
    <mergeCell ref="AE3:AF3"/>
    <mergeCell ref="AG3:AH3"/>
    <mergeCell ref="AI3:AJ3"/>
    <mergeCell ref="AK3:AL3"/>
    <mergeCell ref="N3:O3"/>
    <mergeCell ref="P3:Q3"/>
    <mergeCell ref="R3:S3"/>
    <mergeCell ref="U3:V3"/>
    <mergeCell ref="W3:X3"/>
    <mergeCell ref="Y3:Z3"/>
    <mergeCell ref="AQ13:AR13"/>
    <mergeCell ref="AS13:AT13"/>
    <mergeCell ref="AU13:AV13"/>
    <mergeCell ref="AW13:AX13"/>
    <mergeCell ref="AA13:AB13"/>
    <mergeCell ref="AC13:AD13"/>
    <mergeCell ref="AE13:AF13"/>
    <mergeCell ref="AG13:AH13"/>
    <mergeCell ref="AI13:AJ13"/>
    <mergeCell ref="AK13:AL13"/>
    <mergeCell ref="BW13:BX13"/>
    <mergeCell ref="BY13:BZ13"/>
    <mergeCell ref="CA13:CB13"/>
    <mergeCell ref="CC13:CD13"/>
    <mergeCell ref="B23:C23"/>
    <mergeCell ref="D23:E23"/>
    <mergeCell ref="F23:G23"/>
    <mergeCell ref="H23:I23"/>
    <mergeCell ref="J23:K23"/>
    <mergeCell ref="L23:M23"/>
    <mergeCell ref="BK13:BL13"/>
    <mergeCell ref="BM13:BN13"/>
    <mergeCell ref="BO13:BP13"/>
    <mergeCell ref="BQ13:BR13"/>
    <mergeCell ref="BS13:BT13"/>
    <mergeCell ref="BU13:BV13"/>
    <mergeCell ref="AY13:AZ13"/>
    <mergeCell ref="BA13:BB13"/>
    <mergeCell ref="BC13:BD13"/>
    <mergeCell ref="BE13:BF13"/>
    <mergeCell ref="BG13:BH13"/>
    <mergeCell ref="BI13:BJ13"/>
    <mergeCell ref="AM13:AN13"/>
    <mergeCell ref="AO13:AP13"/>
    <mergeCell ref="AA23:AB23"/>
    <mergeCell ref="AC23:AD23"/>
    <mergeCell ref="AE23:AF23"/>
    <mergeCell ref="AG23:AH23"/>
    <mergeCell ref="AI23:AJ23"/>
    <mergeCell ref="AK23:AL23"/>
    <mergeCell ref="N23:O23"/>
    <mergeCell ref="P23:Q23"/>
    <mergeCell ref="R23:S23"/>
    <mergeCell ref="U23:V23"/>
    <mergeCell ref="W23:X23"/>
    <mergeCell ref="Y23:Z23"/>
    <mergeCell ref="AY23:AZ23"/>
    <mergeCell ref="BA23:BB23"/>
    <mergeCell ref="BC23:BD23"/>
    <mergeCell ref="BE23:BF23"/>
    <mergeCell ref="BG23:BH23"/>
    <mergeCell ref="BI23:BJ23"/>
    <mergeCell ref="AM23:AN23"/>
    <mergeCell ref="AO23:AP23"/>
    <mergeCell ref="AQ23:AR23"/>
    <mergeCell ref="AS23:AT23"/>
    <mergeCell ref="AU23:AV23"/>
    <mergeCell ref="AW23:AX23"/>
    <mergeCell ref="BW23:BX23"/>
    <mergeCell ref="BY23:BZ23"/>
    <mergeCell ref="CA23:CB23"/>
    <mergeCell ref="CC23:CD23"/>
    <mergeCell ref="BK23:BL23"/>
    <mergeCell ref="BM23:BN23"/>
    <mergeCell ref="BO23:BP23"/>
    <mergeCell ref="BQ23:BR23"/>
    <mergeCell ref="BS23:BT23"/>
    <mergeCell ref="BU23:BV2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G183"/>
  <sheetViews>
    <sheetView showGridLines="0" workbookViewId="0"/>
  </sheetViews>
  <sheetFormatPr defaultColWidth="8.42578125" defaultRowHeight="13.35" customHeight="1" x14ac:dyDescent="0.2"/>
  <cols>
    <col min="1" max="1" width="20.140625" bestFit="1" customWidth="1"/>
    <col min="2" max="2" width="10" bestFit="1" customWidth="1"/>
    <col min="5" max="5" width="20.140625" customWidth="1"/>
    <col min="9" max="9" width="20.140625" bestFit="1" customWidth="1"/>
    <col min="10" max="18" width="10" bestFit="1" customWidth="1"/>
    <col min="19" max="20" width="10" customWidth="1"/>
    <col min="21" max="21" width="8.42578125" customWidth="1"/>
    <col min="22" max="22" width="20.140625" bestFit="1" customWidth="1"/>
  </cols>
  <sheetData>
    <row r="1" spans="1:33" ht="16.5" thickBot="1" x14ac:dyDescent="0.25">
      <c r="A1" s="475" t="s">
        <v>12</v>
      </c>
      <c r="B1" s="476" t="s">
        <v>555</v>
      </c>
      <c r="C1" s="477"/>
      <c r="D1" s="478"/>
      <c r="E1" s="476" t="s">
        <v>556</v>
      </c>
      <c r="F1" s="479"/>
      <c r="G1" s="480"/>
      <c r="H1" s="481"/>
      <c r="I1" s="476" t="s">
        <v>557</v>
      </c>
      <c r="J1" s="477"/>
      <c r="K1" s="477"/>
      <c r="L1" s="477"/>
      <c r="M1" s="479"/>
      <c r="N1" s="477"/>
      <c r="O1" s="477"/>
      <c r="P1" s="477"/>
      <c r="Q1" s="477"/>
      <c r="R1" s="477"/>
      <c r="S1" s="477"/>
      <c r="T1" s="477"/>
      <c r="U1" s="478"/>
      <c r="V1" s="476" t="s">
        <v>558</v>
      </c>
      <c r="W1" s="477"/>
      <c r="X1" s="477"/>
      <c r="Y1" s="477"/>
      <c r="Z1" s="477"/>
      <c r="AA1" s="477"/>
      <c r="AB1" s="477"/>
      <c r="AC1" s="477"/>
      <c r="AD1" s="477"/>
      <c r="AE1" s="477"/>
      <c r="AF1" s="477"/>
    </row>
    <row r="2" spans="1:33" ht="14.25" thickTop="1" thickBot="1" x14ac:dyDescent="0.25">
      <c r="A2" s="19" t="s">
        <v>32</v>
      </c>
      <c r="B2" s="482"/>
      <c r="C2" s="482"/>
      <c r="D2" s="478"/>
      <c r="E2" s="483"/>
      <c r="F2" s="484"/>
      <c r="G2" s="482"/>
      <c r="H2" s="481"/>
      <c r="I2" s="483"/>
      <c r="J2" s="482"/>
      <c r="K2" s="482"/>
      <c r="L2" s="482"/>
      <c r="M2" s="484"/>
      <c r="N2" s="482"/>
      <c r="O2" s="482"/>
      <c r="P2" s="482"/>
      <c r="Q2" s="482"/>
      <c r="R2" s="482"/>
      <c r="S2" s="482"/>
      <c r="T2" s="482"/>
      <c r="U2" s="478"/>
      <c r="V2" s="483"/>
      <c r="W2" s="482"/>
      <c r="X2" s="482"/>
      <c r="Y2" s="482"/>
      <c r="Z2" s="482"/>
      <c r="AA2" s="482"/>
      <c r="AB2" s="482"/>
      <c r="AC2" s="482"/>
      <c r="AD2" s="482"/>
      <c r="AE2" s="482"/>
      <c r="AF2" s="482"/>
    </row>
    <row r="3" spans="1:33" ht="13.5" thickTop="1" x14ac:dyDescent="0.2">
      <c r="A3" s="485" t="s">
        <v>480</v>
      </c>
      <c r="B3" s="485"/>
      <c r="C3" s="485"/>
      <c r="D3" s="478"/>
      <c r="E3" s="485" t="s">
        <v>480</v>
      </c>
      <c r="F3" s="486"/>
      <c r="G3" s="487"/>
      <c r="H3" s="481"/>
      <c r="I3" s="485" t="str">
        <f t="shared" ref="I3:I14" si="0">A3</f>
        <v>Orders received</v>
      </c>
      <c r="J3" s="485"/>
      <c r="K3" s="485"/>
      <c r="L3" s="485"/>
      <c r="M3" s="486"/>
      <c r="N3" s="485"/>
      <c r="O3" s="485"/>
      <c r="P3" s="485"/>
      <c r="Q3" s="485"/>
      <c r="R3" s="485"/>
      <c r="S3" s="485"/>
      <c r="T3" s="485"/>
      <c r="U3" s="478"/>
      <c r="V3" s="485" t="str">
        <f t="shared" ref="V3:V14" si="1">E3</f>
        <v>Orders received</v>
      </c>
      <c r="W3" s="485"/>
      <c r="X3" s="485"/>
      <c r="Y3" s="485"/>
      <c r="Z3" s="486"/>
      <c r="AA3" s="488"/>
      <c r="AB3" s="485"/>
      <c r="AC3" s="485"/>
      <c r="AD3" s="485"/>
      <c r="AE3" s="485"/>
      <c r="AF3" s="485"/>
      <c r="AG3" s="485"/>
    </row>
    <row r="4" spans="1:33" ht="12.75" x14ac:dyDescent="0.2">
      <c r="A4" s="322" t="s">
        <v>301</v>
      </c>
      <c r="B4" s="322">
        <v>2023</v>
      </c>
      <c r="C4" s="322">
        <v>2024</v>
      </c>
      <c r="D4" s="478"/>
      <c r="E4" s="322" t="s">
        <v>301</v>
      </c>
      <c r="F4" s="489">
        <v>2023</v>
      </c>
      <c r="G4" s="487"/>
      <c r="H4" s="481"/>
      <c r="I4" s="322" t="str">
        <f t="shared" si="0"/>
        <v>Epiroc Group</v>
      </c>
      <c r="J4" s="322" t="s">
        <v>151</v>
      </c>
      <c r="K4" s="322" t="s">
        <v>152</v>
      </c>
      <c r="L4" s="322" t="s">
        <v>153</v>
      </c>
      <c r="M4" s="489" t="s">
        <v>154</v>
      </c>
      <c r="N4" s="322" t="s">
        <v>155</v>
      </c>
      <c r="O4" s="322" t="s">
        <v>156</v>
      </c>
      <c r="P4" s="322" t="s">
        <v>157</v>
      </c>
      <c r="Q4" s="322" t="s">
        <v>158</v>
      </c>
      <c r="R4" s="322" t="s">
        <v>159</v>
      </c>
      <c r="S4" s="322" t="s">
        <v>160</v>
      </c>
      <c r="T4" s="322" t="s">
        <v>161</v>
      </c>
      <c r="U4" s="478"/>
      <c r="V4" s="322" t="str">
        <f t="shared" si="1"/>
        <v>Epiroc Group</v>
      </c>
      <c r="W4" s="322" t="s">
        <v>151</v>
      </c>
      <c r="X4" s="322" t="s">
        <v>152</v>
      </c>
      <c r="Y4" s="322" t="s">
        <v>153</v>
      </c>
      <c r="Z4" s="489" t="s">
        <v>154</v>
      </c>
      <c r="AA4" s="490" t="s">
        <v>155</v>
      </c>
      <c r="AB4" s="322" t="s">
        <v>156</v>
      </c>
      <c r="AC4" s="322" t="s">
        <v>157</v>
      </c>
      <c r="AD4" s="322" t="s">
        <v>158</v>
      </c>
      <c r="AE4" s="322" t="s">
        <v>159</v>
      </c>
      <c r="AF4" s="322" t="s">
        <v>160</v>
      </c>
      <c r="AG4" s="322" t="s">
        <v>161</v>
      </c>
    </row>
    <row r="5" spans="1:33" ht="12.75" x14ac:dyDescent="0.2">
      <c r="A5" s="491" t="s">
        <v>559</v>
      </c>
      <c r="B5" s="492">
        <v>53222.004318845095</v>
      </c>
      <c r="C5" s="492">
        <v>59332.319326864992</v>
      </c>
      <c r="D5" s="478"/>
      <c r="E5" s="491" t="s">
        <v>559</v>
      </c>
      <c r="F5" s="493">
        <v>53222.004318845095</v>
      </c>
      <c r="G5" s="494"/>
      <c r="H5" s="481"/>
      <c r="I5" s="491" t="str">
        <f t="shared" si="0"/>
        <v>Reported opening balance</v>
      </c>
      <c r="J5" s="492">
        <v>13817.9803940854</v>
      </c>
      <c r="K5" s="492">
        <v>13377.400910480101</v>
      </c>
      <c r="L5" s="492">
        <v>12322.0537678564</v>
      </c>
      <c r="M5" s="493">
        <v>13704.5692464232</v>
      </c>
      <c r="N5" s="492">
        <v>15147.6012657668</v>
      </c>
      <c r="O5" s="492">
        <v>15436.263962106101</v>
      </c>
      <c r="P5" s="492">
        <v>14359.8582558573</v>
      </c>
      <c r="Q5" s="492">
        <v>14387.595843134801</v>
      </c>
      <c r="R5" s="492">
        <v>14161.679516402201</v>
      </c>
      <c r="S5" s="492">
        <v>16349.3402820848</v>
      </c>
      <c r="T5" s="492">
        <v>15519.6168080796</v>
      </c>
      <c r="U5" s="478"/>
      <c r="V5" s="491" t="str">
        <f t="shared" si="1"/>
        <v>Reported opening balance</v>
      </c>
      <c r="W5" s="492">
        <v>13817.9803940854</v>
      </c>
      <c r="X5" s="492">
        <v>13377.400910480101</v>
      </c>
      <c r="Y5" s="492">
        <v>12322.0537678564</v>
      </c>
      <c r="Z5" s="493">
        <v>13704.5692464232</v>
      </c>
      <c r="AA5" s="495">
        <v>15147.6012657668</v>
      </c>
      <c r="AB5" s="492">
        <v>15436.263962106101</v>
      </c>
      <c r="AC5" s="492">
        <v>14359.8582558573</v>
      </c>
      <c r="AD5" s="492">
        <v>14387.595843134801</v>
      </c>
      <c r="AE5" s="492">
        <v>14161.679516402201</v>
      </c>
      <c r="AF5" s="492">
        <v>16349.3402820848</v>
      </c>
      <c r="AG5" s="492">
        <v>15519.6168080796</v>
      </c>
    </row>
    <row r="6" spans="1:33" ht="12.75" x14ac:dyDescent="0.2">
      <c r="A6" s="478" t="s">
        <v>560</v>
      </c>
      <c r="B6" s="496">
        <v>-805</v>
      </c>
      <c r="C6" s="497">
        <v>-0.96844351698860287</v>
      </c>
      <c r="D6" s="478"/>
      <c r="E6" s="478" t="s">
        <v>560</v>
      </c>
      <c r="F6" s="498">
        <v>-1.5125322886702368</v>
      </c>
      <c r="G6" s="499"/>
      <c r="H6" s="481"/>
      <c r="I6" s="478" t="str">
        <f t="shared" si="0"/>
        <v>Adjustment OOH</v>
      </c>
      <c r="J6" s="496">
        <v>0</v>
      </c>
      <c r="K6" s="496">
        <v>0</v>
      </c>
      <c r="L6" s="496">
        <v>0</v>
      </c>
      <c r="M6" s="500">
        <v>-805</v>
      </c>
      <c r="N6" s="496">
        <v>-432.9</v>
      </c>
      <c r="O6" s="496">
        <v>-141.69999999999999</v>
      </c>
      <c r="P6" s="496">
        <v>0</v>
      </c>
      <c r="Q6" s="496">
        <v>0</v>
      </c>
      <c r="R6" s="496">
        <v>0</v>
      </c>
      <c r="S6" s="496">
        <v>0</v>
      </c>
      <c r="T6" s="496">
        <v>0</v>
      </c>
      <c r="U6" s="478"/>
      <c r="V6" s="478" t="str">
        <f t="shared" si="1"/>
        <v>Adjustment OOH</v>
      </c>
      <c r="W6" s="497">
        <v>0</v>
      </c>
      <c r="X6" s="497">
        <v>0</v>
      </c>
      <c r="Y6" s="497">
        <v>0</v>
      </c>
      <c r="Z6" s="501">
        <v>-5.8739533182343511</v>
      </c>
      <c r="AA6" s="502">
        <v>-2.8578782369875495</v>
      </c>
      <c r="AB6" s="497">
        <v>-0.91796823601782096</v>
      </c>
      <c r="AC6" s="497">
        <v>0</v>
      </c>
      <c r="AD6" s="497">
        <v>0</v>
      </c>
      <c r="AE6" s="497">
        <v>0</v>
      </c>
      <c r="AF6" s="497">
        <v>0</v>
      </c>
      <c r="AG6" s="497">
        <v>0</v>
      </c>
    </row>
    <row r="7" spans="1:33" ht="12.75" x14ac:dyDescent="0.2">
      <c r="A7" s="491" t="s">
        <v>561</v>
      </c>
      <c r="B7" s="492">
        <v>52417.004318845095</v>
      </c>
      <c r="C7" s="492">
        <v>57268.692730153401</v>
      </c>
      <c r="D7" s="478"/>
      <c r="E7" s="491" t="s">
        <v>561</v>
      </c>
      <c r="F7" s="493">
        <v>52417.004318845095</v>
      </c>
      <c r="G7" s="494"/>
      <c r="H7" s="481"/>
      <c r="I7" s="491" t="str">
        <f t="shared" si="0"/>
        <v>Adjusted opening balance</v>
      </c>
      <c r="J7" s="492">
        <v>13817.9803940854</v>
      </c>
      <c r="K7" s="492">
        <v>13377.400910480101</v>
      </c>
      <c r="L7" s="492">
        <v>12322.0537678564</v>
      </c>
      <c r="M7" s="493">
        <v>12899.5692464232</v>
      </c>
      <c r="N7" s="492">
        <v>14714.7012657668</v>
      </c>
      <c r="O7" s="492">
        <v>15294.5639621061</v>
      </c>
      <c r="P7" s="492">
        <v>14359.8582558573</v>
      </c>
      <c r="Q7" s="492">
        <v>14387.595843134801</v>
      </c>
      <c r="R7" s="492">
        <v>14161.679516402201</v>
      </c>
      <c r="S7" s="492">
        <v>16349.3402820848</v>
      </c>
      <c r="T7" s="492">
        <v>15519.6168080796</v>
      </c>
      <c r="U7" s="478"/>
      <c r="V7" s="491" t="str">
        <f t="shared" si="1"/>
        <v>Adjusted opening balance</v>
      </c>
      <c r="W7" s="492">
        <v>13817.9803940854</v>
      </c>
      <c r="X7" s="492">
        <v>13377.400910480101</v>
      </c>
      <c r="Y7" s="492">
        <v>12322.0537678564</v>
      </c>
      <c r="Z7" s="493">
        <v>12899.5692464232</v>
      </c>
      <c r="AA7" s="495">
        <v>14714.7012657668</v>
      </c>
      <c r="AB7" s="492">
        <v>15294.5639621061</v>
      </c>
      <c r="AC7" s="492">
        <v>14359.8582558573</v>
      </c>
      <c r="AD7" s="492">
        <v>14387.595843134801</v>
      </c>
      <c r="AE7" s="492">
        <v>14161.679516402201</v>
      </c>
      <c r="AF7" s="492">
        <v>16349.3402820848</v>
      </c>
      <c r="AG7" s="492">
        <v>15519.6168080796</v>
      </c>
    </row>
    <row r="8" spans="1:33" ht="12.75" x14ac:dyDescent="0.2">
      <c r="A8" s="478" t="s">
        <v>562</v>
      </c>
      <c r="B8" s="481">
        <v>972.28492776990004</v>
      </c>
      <c r="C8" s="481">
        <v>3</v>
      </c>
      <c r="D8" s="478"/>
      <c r="E8" s="478" t="s">
        <v>562</v>
      </c>
      <c r="F8" s="498">
        <v>1</v>
      </c>
      <c r="G8" s="499"/>
      <c r="H8" s="481"/>
      <c r="I8" s="478" t="str">
        <f t="shared" si="0"/>
        <v>Organic</v>
      </c>
      <c r="J8" s="481">
        <v>-891.17597446989998</v>
      </c>
      <c r="K8" s="481">
        <v>-60.418893165199997</v>
      </c>
      <c r="L8" s="481">
        <v>990.61261648200002</v>
      </c>
      <c r="M8" s="498">
        <v>933.26717892299996</v>
      </c>
      <c r="N8" s="481">
        <v>-357.9690913563</v>
      </c>
      <c r="O8" s="481">
        <v>221.63431114209999</v>
      </c>
      <c r="P8" s="481">
        <v>872.6296583523</v>
      </c>
      <c r="Q8" s="481">
        <v>705.33547007710001</v>
      </c>
      <c r="R8" s="481">
        <v>1373.7159717606</v>
      </c>
      <c r="S8" s="481">
        <v>356.69939713590003</v>
      </c>
      <c r="T8" s="481">
        <v>924.48408642039999</v>
      </c>
      <c r="U8" s="478"/>
      <c r="V8" s="478" t="str">
        <f t="shared" si="1"/>
        <v>Organic</v>
      </c>
      <c r="W8" s="481">
        <v>-7</v>
      </c>
      <c r="X8" s="481">
        <v>-1</v>
      </c>
      <c r="Y8" s="481">
        <v>9</v>
      </c>
      <c r="Z8" s="498">
        <v>7</v>
      </c>
      <c r="AA8" s="503">
        <v>-3</v>
      </c>
      <c r="AB8" s="481">
        <v>1</v>
      </c>
      <c r="AC8" s="481">
        <v>6</v>
      </c>
      <c r="AD8" s="481">
        <v>5</v>
      </c>
      <c r="AE8" s="481">
        <v>10</v>
      </c>
      <c r="AF8" s="481">
        <v>2</v>
      </c>
      <c r="AG8" s="481">
        <v>7</v>
      </c>
    </row>
    <row r="9" spans="1:33" ht="12.75" x14ac:dyDescent="0.2">
      <c r="A9" s="478" t="s">
        <v>563</v>
      </c>
      <c r="B9" s="481">
        <v>1401.8775018693002</v>
      </c>
      <c r="C9" s="481">
        <v>-1.9319024969373286</v>
      </c>
      <c r="D9" s="478"/>
      <c r="E9" s="478" t="s">
        <v>563</v>
      </c>
      <c r="F9" s="498">
        <v>2.6744708517523841</v>
      </c>
      <c r="G9" s="499"/>
      <c r="H9" s="481"/>
      <c r="I9" s="478" t="str">
        <f t="shared" si="0"/>
        <v>Currency</v>
      </c>
      <c r="J9" s="481">
        <v>827.28344155479999</v>
      </c>
      <c r="K9" s="481">
        <v>500.30549079529999</v>
      </c>
      <c r="L9" s="481">
        <v>179.23016228770001</v>
      </c>
      <c r="M9" s="498">
        <v>-104.9415927685</v>
      </c>
      <c r="N9" s="481">
        <v>-425.10537125910002</v>
      </c>
      <c r="O9" s="481">
        <v>-189.36944919129999</v>
      </c>
      <c r="P9" s="481">
        <v>-557.3851691026</v>
      </c>
      <c r="Q9" s="481">
        <v>65.484684735800002</v>
      </c>
      <c r="R9" s="481">
        <v>11.6656507425</v>
      </c>
      <c r="S9" s="481">
        <v>-1511.1123310521</v>
      </c>
      <c r="T9" s="481">
        <v>-1341.4769367857</v>
      </c>
      <c r="U9" s="478"/>
      <c r="V9" s="478" t="str">
        <f t="shared" si="1"/>
        <v>Currency</v>
      </c>
      <c r="W9" s="481">
        <v>5.9870069138968205</v>
      </c>
      <c r="X9" s="481">
        <v>3.739930455424652</v>
      </c>
      <c r="Y9" s="481">
        <v>1.454547802374017</v>
      </c>
      <c r="Z9" s="498">
        <v>-0.8135278842555016</v>
      </c>
      <c r="AA9" s="503">
        <v>-2.8889840410698091</v>
      </c>
      <c r="AB9" s="481">
        <v>-1.2381487282702719</v>
      </c>
      <c r="AC9" s="481">
        <v>-3.8815506335185859</v>
      </c>
      <c r="AD9" s="481">
        <v>0.45514681848007799</v>
      </c>
      <c r="AE9" s="481">
        <v>8.2374768677604418E-2</v>
      </c>
      <c r="AF9" s="481">
        <v>-9.2444851289092558</v>
      </c>
      <c r="AG9" s="481">
        <v>-8.6437503797601476</v>
      </c>
    </row>
    <row r="10" spans="1:33" ht="12.75" x14ac:dyDescent="0.2">
      <c r="A10" s="504" t="s">
        <v>564</v>
      </c>
      <c r="B10" s="505">
        <v>4107.7525783807005</v>
      </c>
      <c r="C10" s="505">
        <v>6.0495374776516933</v>
      </c>
      <c r="D10" s="478"/>
      <c r="E10" s="504" t="s">
        <v>564</v>
      </c>
      <c r="F10" s="506">
        <v>7.8366793977653364</v>
      </c>
      <c r="G10" s="499"/>
      <c r="H10" s="481"/>
      <c r="I10" s="504" t="str">
        <f t="shared" si="0"/>
        <v>Structure</v>
      </c>
      <c r="J10" s="505">
        <v>960.61340459660016</v>
      </c>
      <c r="K10" s="505">
        <v>1619.0764539955001</v>
      </c>
      <c r="L10" s="505">
        <v>868.36170923170005</v>
      </c>
      <c r="M10" s="506">
        <v>659.70101055690009</v>
      </c>
      <c r="N10" s="505">
        <v>230.05271325089996</v>
      </c>
      <c r="O10" s="505">
        <v>1022.5114580280001</v>
      </c>
      <c r="P10" s="505">
        <v>844.51406297249991</v>
      </c>
      <c r="Q10" s="505">
        <v>1023.8006390395</v>
      </c>
      <c r="R10" s="505">
        <v>1038.6763301515</v>
      </c>
      <c r="S10" s="505">
        <v>80.979924840599992</v>
      </c>
      <c r="T10" s="505">
        <v>38.9594461254</v>
      </c>
      <c r="U10" s="478"/>
      <c r="V10" s="504" t="str">
        <f t="shared" si="1"/>
        <v>Structure</v>
      </c>
      <c r="W10" s="505">
        <v>6.9519088694595181</v>
      </c>
      <c r="X10" s="505">
        <v>12.103071925781084</v>
      </c>
      <c r="Y10" s="505">
        <v>7.0472157125050767</v>
      </c>
      <c r="Z10" s="506">
        <v>5.114132091967508</v>
      </c>
      <c r="AA10" s="507">
        <v>1.5634208883744651</v>
      </c>
      <c r="AB10" s="505">
        <v>6.6854567450329441</v>
      </c>
      <c r="AC10" s="505">
        <v>5.8810752023128616</v>
      </c>
      <c r="AD10" s="505">
        <v>7.1158562570272474</v>
      </c>
      <c r="AE10" s="505">
        <v>7.3344148831252287</v>
      </c>
      <c r="AF10" s="505">
        <v>0.49531004580861143</v>
      </c>
      <c r="AG10" s="505">
        <v>0.25103355712440972</v>
      </c>
    </row>
    <row r="11" spans="1:33" ht="12.75" x14ac:dyDescent="0.2">
      <c r="A11" s="478" t="s">
        <v>477</v>
      </c>
      <c r="B11" s="481">
        <v>6481.9150080199006</v>
      </c>
      <c r="C11" s="481">
        <v>6.6</v>
      </c>
      <c r="D11" s="478"/>
      <c r="E11" s="478" t="s">
        <v>477</v>
      </c>
      <c r="F11" s="498">
        <v>12</v>
      </c>
      <c r="G11" s="499"/>
      <c r="H11" s="481"/>
      <c r="I11" s="478" t="str">
        <f t="shared" si="0"/>
        <v>Total</v>
      </c>
      <c r="J11" s="481">
        <v>896.72087168150017</v>
      </c>
      <c r="K11" s="481">
        <v>2058.9630516256002</v>
      </c>
      <c r="L11" s="481">
        <v>2038.2044880014</v>
      </c>
      <c r="M11" s="498">
        <v>1488.0265967114001</v>
      </c>
      <c r="N11" s="481">
        <v>-553.02174936450012</v>
      </c>
      <c r="O11" s="481">
        <v>1054.7763199788001</v>
      </c>
      <c r="P11" s="481">
        <v>1159.7585522221998</v>
      </c>
      <c r="Q11" s="481">
        <v>1794.6207938523999</v>
      </c>
      <c r="R11" s="481">
        <v>2424.0579526545998</v>
      </c>
      <c r="S11" s="481">
        <v>-1073.4330090756</v>
      </c>
      <c r="T11" s="481">
        <v>-378.03340423989999</v>
      </c>
      <c r="U11" s="478"/>
      <c r="V11" s="478" t="str">
        <f t="shared" si="1"/>
        <v>Total</v>
      </c>
      <c r="W11" s="481">
        <v>6</v>
      </c>
      <c r="X11" s="481">
        <v>15</v>
      </c>
      <c r="Y11" s="481">
        <v>17</v>
      </c>
      <c r="Z11" s="498">
        <v>11</v>
      </c>
      <c r="AA11" s="503">
        <v>-4</v>
      </c>
      <c r="AB11" s="481">
        <v>7</v>
      </c>
      <c r="AC11" s="481">
        <v>8</v>
      </c>
      <c r="AD11" s="481">
        <v>12</v>
      </c>
      <c r="AE11" s="481">
        <v>17</v>
      </c>
      <c r="AF11" s="481">
        <v>-7</v>
      </c>
      <c r="AG11" s="481">
        <v>-2</v>
      </c>
    </row>
    <row r="12" spans="1:33" ht="12.75" x14ac:dyDescent="0.2">
      <c r="A12" s="491" t="s">
        <v>565</v>
      </c>
      <c r="B12" s="492">
        <v>58898.919326865005</v>
      </c>
      <c r="C12" s="492">
        <v>62212.853243553895</v>
      </c>
      <c r="D12" s="478"/>
      <c r="E12" s="491" t="s">
        <v>565</v>
      </c>
      <c r="F12" s="493">
        <v>58898.919326865005</v>
      </c>
      <c r="G12" s="494"/>
      <c r="H12" s="481"/>
      <c r="I12" s="491" t="str">
        <f t="shared" si="0"/>
        <v>Operational closing balance</v>
      </c>
      <c r="J12" s="492">
        <v>14714.7012657669</v>
      </c>
      <c r="K12" s="492">
        <v>15436.363962105701</v>
      </c>
      <c r="L12" s="492">
        <v>14360.2582558578</v>
      </c>
      <c r="M12" s="493">
        <v>14387.595843134601</v>
      </c>
      <c r="N12" s="492">
        <v>14161.679516402301</v>
      </c>
      <c r="O12" s="492">
        <v>16349.340282084901</v>
      </c>
      <c r="P12" s="492">
        <v>15519.6168080795</v>
      </c>
      <c r="Q12" s="492">
        <v>16182.216636987201</v>
      </c>
      <c r="R12" s="492">
        <v>16585.737469056799</v>
      </c>
      <c r="S12" s="492">
        <v>15275.6072730092</v>
      </c>
      <c r="T12" s="492">
        <v>15141.583403839699</v>
      </c>
      <c r="U12" s="478"/>
      <c r="V12" s="491" t="str">
        <f t="shared" si="1"/>
        <v>Operational closing balance</v>
      </c>
      <c r="W12" s="492">
        <v>14714.7012657669</v>
      </c>
      <c r="X12" s="492">
        <v>15436.363962105701</v>
      </c>
      <c r="Y12" s="492">
        <v>14360.2582558578</v>
      </c>
      <c r="Z12" s="493">
        <v>14387.595843134601</v>
      </c>
      <c r="AA12" s="495">
        <v>14161.679516402301</v>
      </c>
      <c r="AB12" s="492">
        <v>16349.340282084901</v>
      </c>
      <c r="AC12" s="492">
        <v>15519.6168080795</v>
      </c>
      <c r="AD12" s="492">
        <v>16182.216636987201</v>
      </c>
      <c r="AE12" s="492">
        <v>16585.737469056799</v>
      </c>
      <c r="AF12" s="492">
        <v>15275.6072730092</v>
      </c>
      <c r="AG12" s="492">
        <v>15141.583403839699</v>
      </c>
    </row>
    <row r="13" spans="1:33" ht="12.75" x14ac:dyDescent="0.2">
      <c r="A13" s="478" t="s">
        <v>560</v>
      </c>
      <c r="B13" s="481">
        <v>432.9</v>
      </c>
      <c r="C13" s="481">
        <v>0</v>
      </c>
      <c r="D13" s="478"/>
      <c r="E13" s="478" t="s">
        <v>560</v>
      </c>
      <c r="F13" s="498">
        <v>0.81338537610601924</v>
      </c>
      <c r="G13" s="499"/>
      <c r="H13" s="481"/>
      <c r="I13" s="478" t="str">
        <f t="shared" si="0"/>
        <v>Adjustment OOH</v>
      </c>
      <c r="J13" s="481">
        <v>432.9</v>
      </c>
      <c r="K13" s="481">
        <v>0</v>
      </c>
      <c r="L13" s="481">
        <v>0</v>
      </c>
      <c r="M13" s="498">
        <v>0</v>
      </c>
      <c r="N13" s="481">
        <v>0</v>
      </c>
      <c r="O13" s="481">
        <v>0</v>
      </c>
      <c r="P13" s="481">
        <v>0</v>
      </c>
      <c r="Q13" s="481">
        <v>0</v>
      </c>
      <c r="R13" s="481">
        <v>0</v>
      </c>
      <c r="S13" s="481">
        <v>0</v>
      </c>
      <c r="T13" s="481">
        <v>0</v>
      </c>
      <c r="U13" s="478"/>
      <c r="V13" s="478" t="str">
        <f t="shared" si="1"/>
        <v>Adjustment OOH</v>
      </c>
      <c r="W13" s="481">
        <v>3.1328746144790953</v>
      </c>
      <c r="X13" s="481">
        <v>0</v>
      </c>
      <c r="Y13" s="481">
        <v>0</v>
      </c>
      <c r="Z13" s="498">
        <v>0</v>
      </c>
      <c r="AA13" s="503">
        <v>0</v>
      </c>
      <c r="AB13" s="481">
        <v>0</v>
      </c>
      <c r="AC13" s="481">
        <v>0</v>
      </c>
      <c r="AD13" s="481">
        <v>0</v>
      </c>
      <c r="AE13" s="481">
        <v>0</v>
      </c>
      <c r="AF13" s="481">
        <v>0</v>
      </c>
      <c r="AG13" s="481">
        <v>0</v>
      </c>
    </row>
    <row r="14" spans="1:33" ht="12.75" x14ac:dyDescent="0.2">
      <c r="A14" s="508" t="s">
        <v>566</v>
      </c>
      <c r="B14" s="509">
        <v>59332.319326864999</v>
      </c>
      <c r="C14" s="509">
        <v>62212.853243553895</v>
      </c>
      <c r="D14" s="478"/>
      <c r="E14" s="508" t="s">
        <v>566</v>
      </c>
      <c r="F14" s="510">
        <v>59332.319326864999</v>
      </c>
      <c r="G14" s="494"/>
      <c r="H14" s="481"/>
      <c r="I14" s="508" t="str">
        <f t="shared" si="0"/>
        <v>Reported closing balance</v>
      </c>
      <c r="J14" s="509">
        <v>15147.6012657669</v>
      </c>
      <c r="K14" s="509">
        <v>15436.263962105701</v>
      </c>
      <c r="L14" s="509">
        <v>14359.8582558578</v>
      </c>
      <c r="M14" s="510">
        <v>14387.595843134601</v>
      </c>
      <c r="N14" s="509">
        <v>14161.679516402301</v>
      </c>
      <c r="O14" s="509">
        <v>16349.340282084901</v>
      </c>
      <c r="P14" s="509">
        <v>15519.6168080795</v>
      </c>
      <c r="Q14" s="509">
        <v>16182.216636987199</v>
      </c>
      <c r="R14" s="509">
        <v>16585.737469056799</v>
      </c>
      <c r="S14" s="509">
        <v>15275.6072730092</v>
      </c>
      <c r="T14" s="509">
        <v>15141.8834038397</v>
      </c>
      <c r="U14" s="478"/>
      <c r="V14" s="508" t="str">
        <f t="shared" si="1"/>
        <v>Reported closing balance</v>
      </c>
      <c r="W14" s="509">
        <v>15147.6012657669</v>
      </c>
      <c r="X14" s="509">
        <v>15436.263962105701</v>
      </c>
      <c r="Y14" s="509">
        <v>14359.8582558578</v>
      </c>
      <c r="Z14" s="510">
        <v>14387.595843134601</v>
      </c>
      <c r="AA14" s="511">
        <v>14161.679516402301</v>
      </c>
      <c r="AB14" s="509">
        <v>16349.340282084901</v>
      </c>
      <c r="AC14" s="509">
        <v>15519.6168080795</v>
      </c>
      <c r="AD14" s="509">
        <v>16182.216636987199</v>
      </c>
      <c r="AE14" s="509">
        <v>16585.737469056799</v>
      </c>
      <c r="AF14" s="509">
        <v>15275.6072730092</v>
      </c>
      <c r="AG14" s="509">
        <v>15141.8834038397</v>
      </c>
    </row>
    <row r="15" spans="1:33" ht="12.75" x14ac:dyDescent="0.2">
      <c r="A15" s="478"/>
      <c r="B15" s="478"/>
      <c r="C15" s="478"/>
      <c r="D15" s="478"/>
      <c r="E15" s="478"/>
      <c r="F15" s="512"/>
      <c r="G15" s="513"/>
      <c r="H15" s="481"/>
      <c r="I15" s="478"/>
      <c r="J15" s="478"/>
      <c r="K15" s="478"/>
      <c r="L15" s="478"/>
      <c r="M15" s="512"/>
      <c r="N15" s="478"/>
      <c r="O15" s="478"/>
      <c r="P15" s="478"/>
      <c r="Q15" s="478"/>
      <c r="R15" s="478"/>
      <c r="S15" s="478"/>
      <c r="T15" s="478"/>
      <c r="U15" s="478"/>
      <c r="V15" s="478"/>
      <c r="W15" s="478"/>
      <c r="X15" s="478"/>
      <c r="Y15" s="478"/>
      <c r="Z15" s="478"/>
      <c r="AA15" s="478"/>
      <c r="AB15" s="478"/>
      <c r="AC15" s="478"/>
      <c r="AD15" s="478"/>
      <c r="AE15" s="478"/>
      <c r="AF15" s="478"/>
    </row>
    <row r="16" spans="1:33" ht="12.75" x14ac:dyDescent="0.2">
      <c r="A16" s="485" t="s">
        <v>480</v>
      </c>
      <c r="B16" s="485"/>
      <c r="C16" s="485"/>
      <c r="D16" s="478"/>
      <c r="E16" s="485" t="s">
        <v>480</v>
      </c>
      <c r="F16" s="486"/>
      <c r="G16" s="487"/>
      <c r="H16" s="481"/>
      <c r="I16" s="485" t="str">
        <f t="shared" ref="I16:I27" si="2">A16</f>
        <v>Orders received</v>
      </c>
      <c r="J16" s="485"/>
      <c r="K16" s="485"/>
      <c r="L16" s="485"/>
      <c r="M16" s="486"/>
      <c r="N16" s="485"/>
      <c r="O16" s="485"/>
      <c r="P16" s="485"/>
      <c r="Q16" s="485"/>
      <c r="R16" s="485"/>
      <c r="S16" s="485"/>
      <c r="T16" s="485"/>
      <c r="U16" s="478"/>
      <c r="V16" s="485" t="str">
        <f t="shared" ref="V16:V27" si="3">E16</f>
        <v>Orders received</v>
      </c>
      <c r="W16" s="485"/>
      <c r="X16" s="485"/>
      <c r="Y16" s="485"/>
      <c r="Z16" s="486"/>
      <c r="AA16" s="488"/>
      <c r="AB16" s="485"/>
      <c r="AC16" s="485"/>
      <c r="AD16" s="485"/>
      <c r="AE16" s="485"/>
      <c r="AF16" s="485"/>
      <c r="AG16" s="485"/>
    </row>
    <row r="17" spans="1:33" ht="12.75" x14ac:dyDescent="0.2">
      <c r="A17" s="322" t="s">
        <v>493</v>
      </c>
      <c r="B17" s="322">
        <v>2023</v>
      </c>
      <c r="C17" s="322">
        <v>2024</v>
      </c>
      <c r="D17" s="478"/>
      <c r="E17" s="322" t="s">
        <v>493</v>
      </c>
      <c r="F17" s="489">
        <v>2023</v>
      </c>
      <c r="G17" s="487"/>
      <c r="H17" s="481"/>
      <c r="I17" s="322" t="str">
        <f t="shared" si="2"/>
        <v>Equipment &amp; Services</v>
      </c>
      <c r="J17" s="322" t="s">
        <v>151</v>
      </c>
      <c r="K17" s="322" t="s">
        <v>152</v>
      </c>
      <c r="L17" s="322" t="s">
        <v>153</v>
      </c>
      <c r="M17" s="489" t="s">
        <v>154</v>
      </c>
      <c r="N17" s="322" t="s">
        <v>155</v>
      </c>
      <c r="O17" s="322" t="s">
        <v>156</v>
      </c>
      <c r="P17" s="322" t="s">
        <v>157</v>
      </c>
      <c r="Q17" s="322" t="s">
        <v>158</v>
      </c>
      <c r="R17" s="322" t="s">
        <v>159</v>
      </c>
      <c r="S17" s="322" t="s">
        <v>160</v>
      </c>
      <c r="T17" s="322" t="s">
        <v>161</v>
      </c>
      <c r="U17" s="478"/>
      <c r="V17" s="322" t="str">
        <f t="shared" si="3"/>
        <v>Equipment &amp; Services</v>
      </c>
      <c r="W17" s="322" t="s">
        <v>151</v>
      </c>
      <c r="X17" s="322" t="s">
        <v>152</v>
      </c>
      <c r="Y17" s="322" t="s">
        <v>153</v>
      </c>
      <c r="Z17" s="489" t="s">
        <v>154</v>
      </c>
      <c r="AA17" s="490" t="s">
        <v>155</v>
      </c>
      <c r="AB17" s="322" t="s">
        <v>156</v>
      </c>
      <c r="AC17" s="322" t="s">
        <v>157</v>
      </c>
      <c r="AD17" s="322" t="s">
        <v>158</v>
      </c>
      <c r="AE17" s="322" t="s">
        <v>159</v>
      </c>
      <c r="AF17" s="322" t="s">
        <v>160</v>
      </c>
      <c r="AG17" s="322" t="s">
        <v>161</v>
      </c>
    </row>
    <row r="18" spans="1:33" ht="12.75" x14ac:dyDescent="0.2">
      <c r="A18" s="491" t="s">
        <v>559</v>
      </c>
      <c r="B18" s="492">
        <v>42690.962694802103</v>
      </c>
      <c r="C18" s="492">
        <v>46707.320281198095</v>
      </c>
      <c r="D18" s="478"/>
      <c r="E18" s="491" t="s">
        <v>559</v>
      </c>
      <c r="F18" s="493">
        <v>42690.962694802103</v>
      </c>
      <c r="G18" s="494"/>
      <c r="H18" s="481"/>
      <c r="I18" s="491" t="str">
        <f t="shared" si="2"/>
        <v>Reported opening balance</v>
      </c>
      <c r="J18" s="492">
        <v>10839.9189195621</v>
      </c>
      <c r="K18" s="492">
        <v>10897.060602207899</v>
      </c>
      <c r="L18" s="492">
        <v>9790.7239444646002</v>
      </c>
      <c r="M18" s="493">
        <v>11163.2592285675</v>
      </c>
      <c r="N18" s="492">
        <v>11570.379972948</v>
      </c>
      <c r="O18" s="492">
        <v>12275.685550455</v>
      </c>
      <c r="P18" s="492">
        <v>11310.67786046</v>
      </c>
      <c r="Q18" s="492">
        <v>11550.576897335101</v>
      </c>
      <c r="R18" s="492">
        <v>11025.0502131555</v>
      </c>
      <c r="S18" s="492">
        <v>12387.9736662832</v>
      </c>
      <c r="T18" s="492">
        <v>11829.947638979</v>
      </c>
      <c r="U18" s="478"/>
      <c r="V18" s="491" t="str">
        <f t="shared" si="3"/>
        <v>Reported opening balance</v>
      </c>
      <c r="W18" s="492">
        <v>10839.9189195621</v>
      </c>
      <c r="X18" s="492">
        <v>10897.060602207899</v>
      </c>
      <c r="Y18" s="492">
        <v>9790.7239444646002</v>
      </c>
      <c r="Z18" s="493">
        <v>11163.2592285675</v>
      </c>
      <c r="AA18" s="495">
        <v>11570.379972948</v>
      </c>
      <c r="AB18" s="492">
        <v>12275.685550455</v>
      </c>
      <c r="AC18" s="492">
        <v>11310.67786046</v>
      </c>
      <c r="AD18" s="492">
        <v>11550.576897335101</v>
      </c>
      <c r="AE18" s="492">
        <v>11025.0502131555</v>
      </c>
      <c r="AF18" s="492">
        <v>12387.9736662832</v>
      </c>
      <c r="AG18" s="492">
        <v>11829.947638979</v>
      </c>
    </row>
    <row r="19" spans="1:33" ht="12.75" x14ac:dyDescent="0.2">
      <c r="A19" s="478" t="s">
        <v>560</v>
      </c>
      <c r="B19" s="496">
        <v>-778.3</v>
      </c>
      <c r="C19" s="496">
        <v>-0.36867882585274031</v>
      </c>
      <c r="D19" s="478"/>
      <c r="E19" s="478" t="s">
        <v>560</v>
      </c>
      <c r="F19" s="498">
        <v>-1.8231024808788465</v>
      </c>
      <c r="G19" s="499"/>
      <c r="H19" s="481"/>
      <c r="I19" s="478" t="str">
        <f t="shared" si="2"/>
        <v>Adjustment OOH</v>
      </c>
      <c r="J19" s="496">
        <v>0</v>
      </c>
      <c r="K19" s="496">
        <v>0</v>
      </c>
      <c r="L19" s="496">
        <v>0</v>
      </c>
      <c r="M19" s="500">
        <v>-778.3</v>
      </c>
      <c r="N19" s="496">
        <v>-30.5</v>
      </c>
      <c r="O19" s="496">
        <v>-141.69999999999999</v>
      </c>
      <c r="P19" s="496">
        <v>0</v>
      </c>
      <c r="Q19" s="496">
        <v>0</v>
      </c>
      <c r="R19" s="496">
        <v>0</v>
      </c>
      <c r="S19" s="496">
        <v>0</v>
      </c>
      <c r="T19" s="496">
        <v>0</v>
      </c>
      <c r="U19" s="478"/>
      <c r="V19" s="478" t="str">
        <f t="shared" si="3"/>
        <v>Adjustment OOH</v>
      </c>
      <c r="W19" s="496">
        <v>0</v>
      </c>
      <c r="X19" s="496">
        <v>0</v>
      </c>
      <c r="Y19" s="496">
        <v>0</v>
      </c>
      <c r="Z19" s="500">
        <v>-6.9719782015657232</v>
      </c>
      <c r="AA19" s="514">
        <v>-0.26360413462055865</v>
      </c>
      <c r="AB19" s="496">
        <v>-1.1543143510608078</v>
      </c>
      <c r="AC19" s="496">
        <v>0</v>
      </c>
      <c r="AD19" s="496">
        <v>0</v>
      </c>
      <c r="AE19" s="496">
        <v>0</v>
      </c>
      <c r="AF19" s="496">
        <v>0</v>
      </c>
      <c r="AG19" s="496">
        <v>0</v>
      </c>
    </row>
    <row r="20" spans="1:33" ht="12.75" x14ac:dyDescent="0.2">
      <c r="A20" s="491" t="s">
        <v>561</v>
      </c>
      <c r="B20" s="492">
        <v>41912.6626948021</v>
      </c>
      <c r="C20" s="492">
        <v>46535.120281198098</v>
      </c>
      <c r="D20" s="478"/>
      <c r="E20" s="491" t="s">
        <v>561</v>
      </c>
      <c r="F20" s="493">
        <v>41912.6626948021</v>
      </c>
      <c r="G20" s="494"/>
      <c r="H20" s="481"/>
      <c r="I20" s="491" t="str">
        <f t="shared" si="2"/>
        <v>Adjusted opening balance</v>
      </c>
      <c r="J20" s="492">
        <v>10839.9189195621</v>
      </c>
      <c r="K20" s="492">
        <v>10897.060602207899</v>
      </c>
      <c r="L20" s="492">
        <v>9790.7239444646002</v>
      </c>
      <c r="M20" s="493">
        <v>10384.959228567501</v>
      </c>
      <c r="N20" s="492">
        <v>11539</v>
      </c>
      <c r="O20" s="492">
        <v>12133.985550455</v>
      </c>
      <c r="P20" s="492">
        <v>11310.67786046</v>
      </c>
      <c r="Q20" s="492">
        <v>11550.576897335101</v>
      </c>
      <c r="R20" s="492">
        <v>11025.0502131555</v>
      </c>
      <c r="S20" s="492">
        <v>12387.9736662832</v>
      </c>
      <c r="T20" s="492">
        <v>11829.947638979</v>
      </c>
      <c r="U20" s="478"/>
      <c r="V20" s="491" t="str">
        <f t="shared" si="3"/>
        <v>Adjusted opening balance</v>
      </c>
      <c r="W20" s="492">
        <v>10839.9189195621</v>
      </c>
      <c r="X20" s="492">
        <v>10897.060602207899</v>
      </c>
      <c r="Y20" s="492">
        <v>9790.7239444646002</v>
      </c>
      <c r="Z20" s="493">
        <v>10384.959228567501</v>
      </c>
      <c r="AA20" s="495">
        <v>11539</v>
      </c>
      <c r="AB20" s="492">
        <v>12133.985550455</v>
      </c>
      <c r="AC20" s="492">
        <v>11310.67786046</v>
      </c>
      <c r="AD20" s="492">
        <v>11550.576897335101</v>
      </c>
      <c r="AE20" s="492">
        <v>11025.0502131555</v>
      </c>
      <c r="AF20" s="492">
        <v>12387.9736662832</v>
      </c>
      <c r="AG20" s="492">
        <v>11829.947638979</v>
      </c>
    </row>
    <row r="21" spans="1:33" ht="12.75" x14ac:dyDescent="0.2">
      <c r="A21" s="478" t="s">
        <v>562</v>
      </c>
      <c r="B21" s="481">
        <v>1144.4587071966998</v>
      </c>
      <c r="C21" s="481">
        <v>4</v>
      </c>
      <c r="D21" s="478"/>
      <c r="E21" s="481" t="s">
        <v>562</v>
      </c>
      <c r="F21" s="498">
        <v>2</v>
      </c>
      <c r="G21" s="499"/>
      <c r="H21" s="481"/>
      <c r="I21" s="478" t="str">
        <f t="shared" si="2"/>
        <v>Organic</v>
      </c>
      <c r="J21" s="481">
        <v>-616.06037583030002</v>
      </c>
      <c r="K21" s="481">
        <v>-34.086454949699998</v>
      </c>
      <c r="L21" s="481">
        <v>866.84865129360003</v>
      </c>
      <c r="M21" s="498">
        <v>927.75688668309999</v>
      </c>
      <c r="N21" s="481">
        <v>-284</v>
      </c>
      <c r="O21" s="481">
        <v>398.65159236390002</v>
      </c>
      <c r="P21" s="481">
        <v>943.64251647779997</v>
      </c>
      <c r="Q21" s="481">
        <v>569.55993699919998</v>
      </c>
      <c r="R21" s="481">
        <v>1316.0526695839001</v>
      </c>
      <c r="S21" s="481">
        <v>277.4176456326</v>
      </c>
      <c r="T21" s="481">
        <v>652.7796188584</v>
      </c>
      <c r="U21" s="478"/>
      <c r="V21" s="481" t="str">
        <f t="shared" si="3"/>
        <v>Organic</v>
      </c>
      <c r="W21" s="481">
        <v>-6</v>
      </c>
      <c r="X21" s="481">
        <v>0</v>
      </c>
      <c r="Y21" s="481">
        <v>9</v>
      </c>
      <c r="Z21" s="498">
        <v>8</v>
      </c>
      <c r="AA21" s="503">
        <v>-2</v>
      </c>
      <c r="AB21" s="481">
        <v>3</v>
      </c>
      <c r="AC21" s="481">
        <v>9</v>
      </c>
      <c r="AD21" s="481">
        <v>5</v>
      </c>
      <c r="AE21" s="481">
        <v>12</v>
      </c>
      <c r="AF21" s="481">
        <v>2</v>
      </c>
      <c r="AG21" s="481">
        <v>6</v>
      </c>
    </row>
    <row r="22" spans="1:33" ht="12.75" x14ac:dyDescent="0.2">
      <c r="A22" s="478" t="s">
        <v>563</v>
      </c>
      <c r="B22" s="481">
        <v>1195.8943694095001</v>
      </c>
      <c r="C22" s="481">
        <v>-2.0500522536155317</v>
      </c>
      <c r="D22" s="478"/>
      <c r="E22" s="481" t="s">
        <v>563</v>
      </c>
      <c r="F22" s="498">
        <v>2.853300870235123</v>
      </c>
      <c r="G22" s="499"/>
      <c r="H22" s="481"/>
      <c r="I22" s="478" t="str">
        <f t="shared" si="2"/>
        <v>Currency</v>
      </c>
      <c r="J22" s="481">
        <v>668.54796639179995</v>
      </c>
      <c r="K22" s="481">
        <v>428.83425202339998</v>
      </c>
      <c r="L22" s="481">
        <v>167.14557585540001</v>
      </c>
      <c r="M22" s="498">
        <v>-68.633424861099996</v>
      </c>
      <c r="N22" s="481">
        <v>-354.80858628470003</v>
      </c>
      <c r="O22" s="481">
        <v>-169.85950467519999</v>
      </c>
      <c r="P22" s="481">
        <v>-457.2805354555</v>
      </c>
      <c r="Q22" s="481">
        <v>27.954344368000001</v>
      </c>
      <c r="R22" s="481">
        <v>11.4738753486</v>
      </c>
      <c r="S22" s="481">
        <v>-1158.9285278868999</v>
      </c>
      <c r="T22" s="481">
        <v>-1044.1553418502999</v>
      </c>
      <c r="U22" s="478"/>
      <c r="V22" s="481" t="str">
        <f t="shared" si="3"/>
        <v>Currency</v>
      </c>
      <c r="W22" s="481">
        <v>6.1674627951811951</v>
      </c>
      <c r="X22" s="481">
        <v>3.9353204288550261</v>
      </c>
      <c r="Y22" s="481">
        <v>1.707183011220528</v>
      </c>
      <c r="Z22" s="498">
        <v>-0.66089257887791708</v>
      </c>
      <c r="AA22" s="503">
        <v>-3.0746297805215383</v>
      </c>
      <c r="AB22" s="481">
        <v>-1.3998657239939651</v>
      </c>
      <c r="AC22" s="481">
        <v>-4.0429100810488698</v>
      </c>
      <c r="AD22" s="481">
        <v>0.24201686735187666</v>
      </c>
      <c r="AE22" s="481">
        <v>0.10407095774411027</v>
      </c>
      <c r="AF22" s="481">
        <v>-9.3552711614264883</v>
      </c>
      <c r="AG22" s="481">
        <v>-8.8263733172399501</v>
      </c>
    </row>
    <row r="23" spans="1:33" ht="12.75" x14ac:dyDescent="0.2">
      <c r="A23" s="504" t="s">
        <v>564</v>
      </c>
      <c r="B23" s="505">
        <v>2423.8045097897002</v>
      </c>
      <c r="C23" s="505">
        <v>0.46069023014563593</v>
      </c>
      <c r="D23" s="478"/>
      <c r="E23" s="504" t="s">
        <v>564</v>
      </c>
      <c r="F23" s="506">
        <v>5.7829886100037591</v>
      </c>
      <c r="G23" s="499"/>
      <c r="H23" s="481"/>
      <c r="I23" s="504" t="str">
        <f t="shared" si="2"/>
        <v>Structure</v>
      </c>
      <c r="J23" s="505">
        <v>646.47346282440003</v>
      </c>
      <c r="K23" s="505">
        <v>983.87715117330004</v>
      </c>
      <c r="L23" s="505">
        <v>485.95968884670003</v>
      </c>
      <c r="M23" s="506">
        <v>307.49420694529999</v>
      </c>
      <c r="N23" s="505">
        <v>124.5615447887</v>
      </c>
      <c r="O23" s="505">
        <v>25.19602813969999</v>
      </c>
      <c r="P23" s="505">
        <v>32.907797496600004</v>
      </c>
      <c r="Q23" s="505">
        <v>31.717382297</v>
      </c>
      <c r="R23" s="505">
        <v>24.636884607999999</v>
      </c>
      <c r="S23" s="505">
        <v>-0.30688069029999998</v>
      </c>
      <c r="T23" s="505">
        <v>0.47388068999999999</v>
      </c>
      <c r="U23" s="478"/>
      <c r="V23" s="504" t="str">
        <f t="shared" si="3"/>
        <v>Structure</v>
      </c>
      <c r="W23" s="505">
        <v>5.9638219401969073</v>
      </c>
      <c r="X23" s="505">
        <v>9.0288306827802032</v>
      </c>
      <c r="Y23" s="505">
        <v>4.963470440012232</v>
      </c>
      <c r="Z23" s="506">
        <v>2.9609572861820053</v>
      </c>
      <c r="AA23" s="507">
        <v>1.0794006963737879</v>
      </c>
      <c r="AB23" s="505">
        <v>0.20764841061439365</v>
      </c>
      <c r="AC23" s="505">
        <v>0.29094452076687172</v>
      </c>
      <c r="AD23" s="505">
        <v>0.27459565508210848</v>
      </c>
      <c r="AE23" s="505">
        <v>0.22346278821118065</v>
      </c>
      <c r="AF23" s="505">
        <v>-2.4772468731932189E-3</v>
      </c>
      <c r="AG23" s="505">
        <v>4.0057716607180089E-3</v>
      </c>
    </row>
    <row r="24" spans="1:33" ht="12.75" x14ac:dyDescent="0.2">
      <c r="A24" s="478" t="s">
        <v>477</v>
      </c>
      <c r="B24" s="481">
        <v>4764.1575863958997</v>
      </c>
      <c r="C24" s="481">
        <v>2</v>
      </c>
      <c r="D24" s="478"/>
      <c r="E24" s="481" t="s">
        <v>477</v>
      </c>
      <c r="F24" s="498">
        <v>11</v>
      </c>
      <c r="G24" s="499"/>
      <c r="H24" s="481"/>
      <c r="I24" s="478" t="str">
        <f t="shared" si="2"/>
        <v>Total</v>
      </c>
      <c r="J24" s="481">
        <v>699</v>
      </c>
      <c r="K24" s="481">
        <v>1378.624948247</v>
      </c>
      <c r="L24" s="481">
        <v>1519.9539159956998</v>
      </c>
      <c r="M24" s="498">
        <v>1165.6176687673001</v>
      </c>
      <c r="N24" s="481">
        <v>-514</v>
      </c>
      <c r="O24" s="481">
        <v>253.98811582840003</v>
      </c>
      <c r="P24" s="481">
        <v>519.26977851890001</v>
      </c>
      <c r="Q24" s="481">
        <v>629.23166366419991</v>
      </c>
      <c r="R24" s="481">
        <v>1352.1634295404999</v>
      </c>
      <c r="S24" s="481">
        <v>-881.51776294459989</v>
      </c>
      <c r="T24" s="481">
        <v>-390.90184230189993</v>
      </c>
      <c r="U24" s="478"/>
      <c r="V24" s="481" t="str">
        <f t="shared" si="3"/>
        <v>Total</v>
      </c>
      <c r="W24" s="481">
        <v>6</v>
      </c>
      <c r="X24" s="481">
        <v>13</v>
      </c>
      <c r="Y24" s="481">
        <v>16</v>
      </c>
      <c r="Z24" s="498">
        <v>10</v>
      </c>
      <c r="AA24" s="503">
        <v>-4</v>
      </c>
      <c r="AB24" s="481">
        <v>2</v>
      </c>
      <c r="AC24" s="481">
        <v>5</v>
      </c>
      <c r="AD24" s="481">
        <v>5</v>
      </c>
      <c r="AE24" s="481">
        <v>12</v>
      </c>
      <c r="AF24" s="481">
        <v>-7</v>
      </c>
      <c r="AG24" s="481">
        <v>-3</v>
      </c>
    </row>
    <row r="25" spans="1:33" ht="12.75" x14ac:dyDescent="0.2">
      <c r="A25" s="491" t="s">
        <v>565</v>
      </c>
      <c r="B25" s="492">
        <v>46676.820281198001</v>
      </c>
      <c r="C25" s="492">
        <v>47422.780079416996</v>
      </c>
      <c r="D25" s="478"/>
      <c r="E25" s="492" t="s">
        <v>565</v>
      </c>
      <c r="F25" s="493">
        <v>46676.820281198001</v>
      </c>
      <c r="G25" s="494"/>
      <c r="H25" s="481"/>
      <c r="I25" s="491" t="str">
        <f t="shared" si="2"/>
        <v>Operational closing balance</v>
      </c>
      <c r="J25" s="492">
        <v>11539</v>
      </c>
      <c r="K25" s="492">
        <v>12275.685550454898</v>
      </c>
      <c r="L25" s="492">
        <v>11310.677860460301</v>
      </c>
      <c r="M25" s="493">
        <v>11550.5768973348</v>
      </c>
      <c r="N25" s="492">
        <v>11025.0502131554</v>
      </c>
      <c r="O25" s="492">
        <v>12387.9736662834</v>
      </c>
      <c r="P25" s="492">
        <v>11829.9476389789</v>
      </c>
      <c r="Q25" s="492">
        <v>12179.8085609993</v>
      </c>
      <c r="R25" s="492">
        <v>12377.213642696001</v>
      </c>
      <c r="S25" s="492">
        <v>11506.455903338599</v>
      </c>
      <c r="T25" s="492">
        <v>11439.045796677099</v>
      </c>
      <c r="U25" s="478"/>
      <c r="V25" s="492" t="str">
        <f t="shared" si="3"/>
        <v>Operational closing balance</v>
      </c>
      <c r="W25" s="492">
        <v>11539</v>
      </c>
      <c r="X25" s="492">
        <v>12275.685550454898</v>
      </c>
      <c r="Y25" s="492">
        <v>11310.677860460301</v>
      </c>
      <c r="Z25" s="493">
        <v>11550.5768973348</v>
      </c>
      <c r="AA25" s="495">
        <v>11025.0502131554</v>
      </c>
      <c r="AB25" s="492">
        <v>12387.9736662834</v>
      </c>
      <c r="AC25" s="492">
        <v>11829.9476389789</v>
      </c>
      <c r="AD25" s="492">
        <v>12179.8085609993</v>
      </c>
      <c r="AE25" s="492">
        <v>12377.213642696001</v>
      </c>
      <c r="AF25" s="492">
        <v>11506.455903338599</v>
      </c>
      <c r="AG25" s="492">
        <v>11439.045796677099</v>
      </c>
    </row>
    <row r="26" spans="1:33" ht="12.75" x14ac:dyDescent="0.2">
      <c r="A26" s="478" t="s">
        <v>560</v>
      </c>
      <c r="B26" s="481">
        <v>30.5</v>
      </c>
      <c r="C26" s="481">
        <v>0</v>
      </c>
      <c r="D26" s="478"/>
      <c r="E26" s="481" t="s">
        <v>560</v>
      </c>
      <c r="F26" s="498">
        <v>7.1443692235391001E-2</v>
      </c>
      <c r="G26" s="499"/>
      <c r="H26" s="481"/>
      <c r="I26" s="478" t="str">
        <f t="shared" si="2"/>
        <v>Adjustment OOH</v>
      </c>
      <c r="J26" s="481">
        <v>30.5</v>
      </c>
      <c r="K26" s="481">
        <v>0</v>
      </c>
      <c r="L26" s="481">
        <v>0</v>
      </c>
      <c r="M26" s="498">
        <v>0</v>
      </c>
      <c r="N26" s="481">
        <v>0</v>
      </c>
      <c r="O26" s="481">
        <v>0</v>
      </c>
      <c r="P26" s="481">
        <v>0</v>
      </c>
      <c r="Q26" s="481">
        <v>0</v>
      </c>
      <c r="R26" s="481">
        <v>0</v>
      </c>
      <c r="S26" s="481">
        <v>0</v>
      </c>
      <c r="T26" s="481">
        <v>0</v>
      </c>
      <c r="U26" s="478"/>
      <c r="V26" s="481" t="str">
        <f t="shared" si="3"/>
        <v>Adjustment OOH</v>
      </c>
      <c r="W26" s="481">
        <v>0.28136741820973055</v>
      </c>
      <c r="X26" s="481">
        <v>0</v>
      </c>
      <c r="Y26" s="481">
        <v>0</v>
      </c>
      <c r="Z26" s="498">
        <v>0</v>
      </c>
      <c r="AA26" s="503">
        <v>0</v>
      </c>
      <c r="AB26" s="481">
        <v>0</v>
      </c>
      <c r="AC26" s="481">
        <v>0</v>
      </c>
      <c r="AD26" s="481">
        <v>0</v>
      </c>
      <c r="AE26" s="481">
        <v>0</v>
      </c>
      <c r="AF26" s="481">
        <v>0</v>
      </c>
      <c r="AG26" s="481">
        <v>0</v>
      </c>
    </row>
    <row r="27" spans="1:33" ht="12.75" x14ac:dyDescent="0.2">
      <c r="A27" s="508" t="s">
        <v>566</v>
      </c>
      <c r="B27" s="509">
        <f>46708</f>
        <v>46708</v>
      </c>
      <c r="C27" s="509">
        <v>47422.780079416996</v>
      </c>
      <c r="D27" s="478"/>
      <c r="E27" s="508" t="s">
        <v>566</v>
      </c>
      <c r="F27" s="510">
        <v>46708</v>
      </c>
      <c r="G27" s="494"/>
      <c r="H27" s="481"/>
      <c r="I27" s="508" t="str">
        <f t="shared" si="2"/>
        <v>Reported closing balance</v>
      </c>
      <c r="J27" s="509">
        <v>11570.379972948</v>
      </c>
      <c r="K27" s="509">
        <v>12275.6855504549</v>
      </c>
      <c r="L27" s="509">
        <v>11310.677860460301</v>
      </c>
      <c r="M27" s="510">
        <v>11550.5768973348</v>
      </c>
      <c r="N27" s="509">
        <v>11025.0502131554</v>
      </c>
      <c r="O27" s="509">
        <v>12387.9736662834</v>
      </c>
      <c r="P27" s="509">
        <v>11829.9476389789</v>
      </c>
      <c r="Q27" s="509">
        <v>12179.8085609993</v>
      </c>
      <c r="R27" s="509">
        <v>12377.213642696001</v>
      </c>
      <c r="S27" s="509">
        <v>11506.455903338599</v>
      </c>
      <c r="T27" s="509">
        <v>11439.045796677099</v>
      </c>
      <c r="U27" s="478"/>
      <c r="V27" s="508" t="str">
        <f t="shared" si="3"/>
        <v>Reported closing balance</v>
      </c>
      <c r="W27" s="509">
        <v>11570.379972948</v>
      </c>
      <c r="X27" s="509">
        <v>12275.6855504549</v>
      </c>
      <c r="Y27" s="509">
        <v>11310.677860460301</v>
      </c>
      <c r="Z27" s="510">
        <v>11550.5768973348</v>
      </c>
      <c r="AA27" s="511">
        <v>11025.0502131554</v>
      </c>
      <c r="AB27" s="509">
        <v>12387.9736662834</v>
      </c>
      <c r="AC27" s="509">
        <v>11829.9476389789</v>
      </c>
      <c r="AD27" s="509">
        <v>12179.8085609993</v>
      </c>
      <c r="AE27" s="509">
        <v>12377.213642696001</v>
      </c>
      <c r="AF27" s="509">
        <v>11506.455903338599</v>
      </c>
      <c r="AG27" s="509">
        <v>11439.045796677099</v>
      </c>
    </row>
    <row r="28" spans="1:33" ht="12.75" x14ac:dyDescent="0.2">
      <c r="A28" s="478"/>
      <c r="B28" s="478"/>
      <c r="C28" s="478"/>
      <c r="D28" s="478"/>
      <c r="E28" s="478"/>
      <c r="F28" s="512"/>
      <c r="G28" s="513"/>
      <c r="H28" s="481"/>
      <c r="I28" s="478"/>
      <c r="J28" s="478"/>
      <c r="K28" s="478"/>
      <c r="L28" s="478"/>
      <c r="M28" s="512"/>
      <c r="N28" s="478"/>
      <c r="O28" s="478"/>
      <c r="P28" s="478"/>
      <c r="Q28" s="478"/>
      <c r="R28" s="478"/>
      <c r="S28" s="478"/>
      <c r="T28" s="478"/>
      <c r="U28" s="478"/>
      <c r="V28" s="478"/>
      <c r="W28" s="478"/>
      <c r="X28" s="478"/>
      <c r="Y28" s="478"/>
      <c r="Z28" s="478"/>
      <c r="AA28" s="478"/>
      <c r="AB28" s="478"/>
      <c r="AC28" s="478"/>
      <c r="AD28" s="478"/>
      <c r="AE28" s="478"/>
      <c r="AF28" s="478"/>
    </row>
    <row r="29" spans="1:33" ht="12.75" x14ac:dyDescent="0.2">
      <c r="A29" s="485" t="s">
        <v>480</v>
      </c>
      <c r="B29" s="485"/>
      <c r="C29" s="485"/>
      <c r="D29" s="478"/>
      <c r="E29" s="485" t="s">
        <v>480</v>
      </c>
      <c r="F29" s="486"/>
      <c r="G29" s="487"/>
      <c r="H29" s="481"/>
      <c r="I29" s="485" t="str">
        <f t="shared" ref="I29:I40" si="4">A29</f>
        <v>Orders received</v>
      </c>
      <c r="J29" s="485"/>
      <c r="K29" s="485"/>
      <c r="L29" s="485"/>
      <c r="M29" s="486"/>
      <c r="N29" s="485"/>
      <c r="O29" s="485"/>
      <c r="P29" s="485"/>
      <c r="Q29" s="485"/>
      <c r="R29" s="485"/>
      <c r="S29" s="485"/>
      <c r="T29" s="485"/>
      <c r="U29" s="478"/>
      <c r="V29" s="485" t="str">
        <f t="shared" ref="V29:V40" si="5">E29</f>
        <v>Orders received</v>
      </c>
      <c r="W29" s="485"/>
      <c r="X29" s="485"/>
      <c r="Y29" s="485"/>
      <c r="Z29" s="486"/>
      <c r="AA29" s="488"/>
      <c r="AB29" s="485"/>
      <c r="AC29" s="485"/>
      <c r="AD29" s="485"/>
      <c r="AE29" s="485"/>
      <c r="AF29" s="485"/>
      <c r="AG29" s="485"/>
    </row>
    <row r="30" spans="1:33" ht="12.75" x14ac:dyDescent="0.2">
      <c r="A30" s="322" t="s">
        <v>338</v>
      </c>
      <c r="B30" s="322">
        <v>2023</v>
      </c>
      <c r="C30" s="322">
        <v>2024</v>
      </c>
      <c r="D30" s="478"/>
      <c r="E30" s="322" t="s">
        <v>338</v>
      </c>
      <c r="F30" s="489">
        <v>2023</v>
      </c>
      <c r="G30" s="487"/>
      <c r="H30" s="481"/>
      <c r="I30" s="322" t="str">
        <f t="shared" si="4"/>
        <v xml:space="preserve">Equipment </v>
      </c>
      <c r="J30" s="322" t="s">
        <v>151</v>
      </c>
      <c r="K30" s="322" t="s">
        <v>152</v>
      </c>
      <c r="L30" s="322" t="s">
        <v>153</v>
      </c>
      <c r="M30" s="489" t="s">
        <v>154</v>
      </c>
      <c r="N30" s="322" t="s">
        <v>155</v>
      </c>
      <c r="O30" s="322" t="s">
        <v>156</v>
      </c>
      <c r="P30" s="322" t="s">
        <v>157</v>
      </c>
      <c r="Q30" s="322" t="s">
        <v>158</v>
      </c>
      <c r="R30" s="322" t="s">
        <v>159</v>
      </c>
      <c r="S30" s="322" t="s">
        <v>160</v>
      </c>
      <c r="T30" s="322" t="s">
        <v>161</v>
      </c>
      <c r="U30" s="478"/>
      <c r="V30" s="322" t="str">
        <f t="shared" si="5"/>
        <v xml:space="preserve">Equipment </v>
      </c>
      <c r="W30" s="322" t="s">
        <v>151</v>
      </c>
      <c r="X30" s="322" t="s">
        <v>152</v>
      </c>
      <c r="Y30" s="322" t="s">
        <v>153</v>
      </c>
      <c r="Z30" s="489" t="s">
        <v>154</v>
      </c>
      <c r="AA30" s="490" t="s">
        <v>155</v>
      </c>
      <c r="AB30" s="322" t="s">
        <v>156</v>
      </c>
      <c r="AC30" s="322" t="s">
        <v>157</v>
      </c>
      <c r="AD30" s="322" t="s">
        <v>158</v>
      </c>
      <c r="AE30" s="322" t="s">
        <v>159</v>
      </c>
      <c r="AF30" s="322" t="s">
        <v>160</v>
      </c>
      <c r="AG30" s="322" t="s">
        <v>161</v>
      </c>
    </row>
    <row r="31" spans="1:33" ht="12.75" x14ac:dyDescent="0.2">
      <c r="A31" s="491" t="s">
        <v>559</v>
      </c>
      <c r="B31" s="492">
        <v>19395.539111093902</v>
      </c>
      <c r="C31" s="492">
        <v>20218.8042561775</v>
      </c>
      <c r="D31" s="478"/>
      <c r="E31" s="491" t="s">
        <v>559</v>
      </c>
      <c r="F31" s="493">
        <v>19395.539111093902</v>
      </c>
      <c r="G31" s="494"/>
      <c r="H31" s="481"/>
      <c r="I31" s="491" t="str">
        <f t="shared" si="4"/>
        <v>Reported opening balance</v>
      </c>
      <c r="J31" s="492">
        <v>5694.2125319508004</v>
      </c>
      <c r="K31" s="492">
        <v>5379.1097467904992</v>
      </c>
      <c r="L31" s="492">
        <v>4037.4272041078002</v>
      </c>
      <c r="M31" s="493">
        <v>4284.7896282448</v>
      </c>
      <c r="N31" s="492">
        <v>5151</v>
      </c>
      <c r="O31" s="492">
        <v>5404.0296979431005</v>
      </c>
      <c r="P31" s="492">
        <v>4738.9664292752004</v>
      </c>
      <c r="Q31" s="492">
        <v>4923.7257207490002</v>
      </c>
      <c r="R31" s="492">
        <v>4404.4101382397002</v>
      </c>
      <c r="S31" s="492">
        <v>5405.6293657841006</v>
      </c>
      <c r="T31" s="492">
        <v>5170.3375722871997</v>
      </c>
      <c r="U31" s="478"/>
      <c r="V31" s="491" t="str">
        <f t="shared" si="5"/>
        <v>Reported opening balance</v>
      </c>
      <c r="W31" s="492">
        <v>5694.2125319508004</v>
      </c>
      <c r="X31" s="492">
        <v>5379.1097467904992</v>
      </c>
      <c r="Y31" s="492">
        <v>4037.4272041078002</v>
      </c>
      <c r="Z31" s="493">
        <v>4284.7896282448</v>
      </c>
      <c r="AA31" s="495">
        <v>5151</v>
      </c>
      <c r="AB31" s="492">
        <v>5404.0296979431005</v>
      </c>
      <c r="AC31" s="492">
        <v>4738.9664292752004</v>
      </c>
      <c r="AD31" s="492">
        <v>4923.7257207490002</v>
      </c>
      <c r="AE31" s="492">
        <v>4404.4101382397002</v>
      </c>
      <c r="AF31" s="492">
        <v>5405.6293657841006</v>
      </c>
      <c r="AG31" s="492">
        <v>5170.3375722871997</v>
      </c>
    </row>
    <row r="32" spans="1:33" ht="12.75" x14ac:dyDescent="0.2">
      <c r="A32" s="478" t="s">
        <v>560</v>
      </c>
      <c r="B32" s="496">
        <v>0</v>
      </c>
      <c r="C32" s="496">
        <v>0.17112782517506481</v>
      </c>
      <c r="D32" s="478"/>
      <c r="E32" s="478" t="s">
        <v>560</v>
      </c>
      <c r="F32" s="498">
        <v>0</v>
      </c>
      <c r="G32" s="499"/>
      <c r="H32" s="481"/>
      <c r="I32" s="478" t="str">
        <f t="shared" si="4"/>
        <v>Adjustment OOH</v>
      </c>
      <c r="J32" s="496">
        <v>0</v>
      </c>
      <c r="K32" s="496">
        <v>0</v>
      </c>
      <c r="L32" s="496">
        <v>0</v>
      </c>
      <c r="M32" s="500">
        <v>0</v>
      </c>
      <c r="N32" s="496">
        <v>0</v>
      </c>
      <c r="O32" s="496">
        <v>-56.5</v>
      </c>
      <c r="P32" s="496">
        <v>91.1</v>
      </c>
      <c r="Q32" s="496">
        <v>0</v>
      </c>
      <c r="R32" s="496">
        <v>0</v>
      </c>
      <c r="S32" s="496">
        <v>0</v>
      </c>
      <c r="T32" s="496">
        <v>0</v>
      </c>
      <c r="U32" s="478"/>
      <c r="V32" s="478" t="str">
        <f t="shared" si="5"/>
        <v>Adjustment OOH</v>
      </c>
      <c r="W32" s="496">
        <v>0</v>
      </c>
      <c r="X32" s="496">
        <v>0</v>
      </c>
      <c r="Y32" s="496">
        <v>0</v>
      </c>
      <c r="Z32" s="500">
        <v>0</v>
      </c>
      <c r="AA32" s="514">
        <v>0</v>
      </c>
      <c r="AB32" s="496">
        <v>-1.0455160899930882</v>
      </c>
      <c r="AC32" s="496">
        <v>1.9223601044570653</v>
      </c>
      <c r="AD32" s="496">
        <v>0</v>
      </c>
      <c r="AE32" s="496">
        <v>0</v>
      </c>
      <c r="AF32" s="496">
        <v>0</v>
      </c>
      <c r="AG32" s="496">
        <v>0</v>
      </c>
    </row>
    <row r="33" spans="1:33" ht="12.75" x14ac:dyDescent="0.2">
      <c r="A33" s="491" t="s">
        <v>561</v>
      </c>
      <c r="B33" s="492">
        <v>19395.539111093902</v>
      </c>
      <c r="C33" s="492">
        <v>20253.404256177502</v>
      </c>
      <c r="D33" s="478"/>
      <c r="E33" s="491" t="s">
        <v>561</v>
      </c>
      <c r="F33" s="493">
        <v>19395.539111093902</v>
      </c>
      <c r="G33" s="494"/>
      <c r="H33" s="481"/>
      <c r="I33" s="491" t="str">
        <f t="shared" si="4"/>
        <v>Adjusted opening balance</v>
      </c>
      <c r="J33" s="492">
        <v>5694.2125319508004</v>
      </c>
      <c r="K33" s="492">
        <v>5379.1097467904992</v>
      </c>
      <c r="L33" s="492">
        <v>4037.4272041078002</v>
      </c>
      <c r="M33" s="493">
        <v>4284.7896282448</v>
      </c>
      <c r="N33" s="492">
        <v>5151</v>
      </c>
      <c r="O33" s="492">
        <v>5347.5296979431005</v>
      </c>
      <c r="P33" s="492">
        <v>4830.0664292752008</v>
      </c>
      <c r="Q33" s="492">
        <v>4923.7257207490002</v>
      </c>
      <c r="R33" s="492">
        <v>4404.4101382397002</v>
      </c>
      <c r="S33" s="492">
        <v>5405.6293657841006</v>
      </c>
      <c r="T33" s="492">
        <v>5170.3375722871997</v>
      </c>
      <c r="U33" s="478"/>
      <c r="V33" s="491" t="str">
        <f t="shared" si="5"/>
        <v>Adjusted opening balance</v>
      </c>
      <c r="W33" s="492">
        <v>5694.2125319508004</v>
      </c>
      <c r="X33" s="492">
        <v>5379.1097467904992</v>
      </c>
      <c r="Y33" s="492">
        <v>4037.4272041078002</v>
      </c>
      <c r="Z33" s="493">
        <v>4284.7896282448</v>
      </c>
      <c r="AA33" s="495">
        <v>5151</v>
      </c>
      <c r="AB33" s="492">
        <v>5347.5296979431005</v>
      </c>
      <c r="AC33" s="492">
        <v>4830.0664292752008</v>
      </c>
      <c r="AD33" s="492">
        <v>4923.7257207490002</v>
      </c>
      <c r="AE33" s="492">
        <v>4404.4101382397002</v>
      </c>
      <c r="AF33" s="492">
        <v>5405.6293657841006</v>
      </c>
      <c r="AG33" s="492">
        <v>5170.3375722871997</v>
      </c>
    </row>
    <row r="34" spans="1:33" ht="12.75" x14ac:dyDescent="0.2">
      <c r="A34" s="478" t="s">
        <v>562</v>
      </c>
      <c r="B34" s="481">
        <v>-376</v>
      </c>
      <c r="C34" s="515">
        <v>-1</v>
      </c>
      <c r="D34" s="478"/>
      <c r="E34" s="478" t="s">
        <v>562</v>
      </c>
      <c r="F34" s="498">
        <v>-2</v>
      </c>
      <c r="G34" s="499"/>
      <c r="H34" s="481"/>
      <c r="I34" s="478" t="str">
        <f t="shared" si="4"/>
        <v>Organic</v>
      </c>
      <c r="J34" s="481">
        <v>-943.96503830770007</v>
      </c>
      <c r="K34" s="481">
        <v>-465.92821176210003</v>
      </c>
      <c r="L34" s="481">
        <v>472.61123070550002</v>
      </c>
      <c r="M34" s="498">
        <v>563</v>
      </c>
      <c r="N34" s="481">
        <v>-840</v>
      </c>
      <c r="O34" s="481">
        <v>113.22656218980001</v>
      </c>
      <c r="P34" s="481">
        <v>553.17403851439997</v>
      </c>
      <c r="Q34" s="481">
        <v>50.03733108619997</v>
      </c>
      <c r="R34" s="481">
        <v>1290.2374721124002</v>
      </c>
      <c r="S34" s="481">
        <v>89.367586804900043</v>
      </c>
      <c r="T34" s="481">
        <v>498.92177930050002</v>
      </c>
      <c r="U34" s="478"/>
      <c r="V34" s="478" t="str">
        <f t="shared" si="5"/>
        <v>Organic</v>
      </c>
      <c r="W34" s="515">
        <v>-17</v>
      </c>
      <c r="X34" s="515">
        <v>-9</v>
      </c>
      <c r="Y34" s="515">
        <v>12</v>
      </c>
      <c r="Z34" s="516">
        <v>13</v>
      </c>
      <c r="AA34" s="517">
        <v>-17</v>
      </c>
      <c r="AB34" s="515">
        <v>2</v>
      </c>
      <c r="AC34" s="515">
        <v>11</v>
      </c>
      <c r="AD34" s="515">
        <v>1</v>
      </c>
      <c r="AE34" s="515">
        <v>29</v>
      </c>
      <c r="AF34" s="515">
        <v>2</v>
      </c>
      <c r="AG34" s="515">
        <v>10</v>
      </c>
    </row>
    <row r="35" spans="1:33" ht="12.75" x14ac:dyDescent="0.2">
      <c r="A35" s="478" t="s">
        <v>563</v>
      </c>
      <c r="B35" s="481">
        <v>540.68514887719994</v>
      </c>
      <c r="C35" s="515">
        <v>-1.8001099469803858</v>
      </c>
      <c r="D35" s="478"/>
      <c r="E35" s="478" t="s">
        <v>563</v>
      </c>
      <c r="F35" s="498">
        <v>2.7876778561310407</v>
      </c>
      <c r="G35" s="499"/>
      <c r="H35" s="481"/>
      <c r="I35" s="478" t="str">
        <f t="shared" si="4"/>
        <v>Currency</v>
      </c>
      <c r="J35" s="481">
        <v>298.48068590659994</v>
      </c>
      <c r="K35" s="481">
        <v>162.16146301239996</v>
      </c>
      <c r="L35" s="481">
        <v>93.201656116400002</v>
      </c>
      <c r="M35" s="498">
        <v>-13.158656158199996</v>
      </c>
      <c r="N35" s="481">
        <v>-144.90575629210002</v>
      </c>
      <c r="O35" s="481">
        <v>-55.168525864799989</v>
      </c>
      <c r="P35" s="481">
        <v>-216.29544746110003</v>
      </c>
      <c r="Q35" s="481">
        <v>51.786185000399996</v>
      </c>
      <c r="R35" s="481">
        <v>27.188059376200002</v>
      </c>
      <c r="S35" s="481">
        <v>-486.24470933189991</v>
      </c>
      <c r="T35" s="481">
        <v>-452.19129891999989</v>
      </c>
      <c r="U35" s="478"/>
      <c r="V35" s="478" t="str">
        <f t="shared" si="5"/>
        <v>Currency</v>
      </c>
      <c r="W35" s="515">
        <v>5.2418255242809204</v>
      </c>
      <c r="X35" s="515">
        <v>3.0146524359194427</v>
      </c>
      <c r="Y35" s="515">
        <v>2.3084417725618391</v>
      </c>
      <c r="Z35" s="516">
        <v>-0.30710156856849569</v>
      </c>
      <c r="AA35" s="517">
        <v>-2.812566741191536</v>
      </c>
      <c r="AB35" s="515">
        <v>-1.0316637584270036</v>
      </c>
      <c r="AC35" s="515">
        <v>-4.4781050246043366</v>
      </c>
      <c r="AD35" s="515">
        <v>1.0517682734066318</v>
      </c>
      <c r="AE35" s="515">
        <v>0.61729172631198659</v>
      </c>
      <c r="AF35" s="515">
        <v>-8.9951544293745496</v>
      </c>
      <c r="AG35" s="515">
        <v>-8.7458757305079455</v>
      </c>
    </row>
    <row r="36" spans="1:33" ht="12.75" x14ac:dyDescent="0.2">
      <c r="A36" s="504" t="s">
        <v>564</v>
      </c>
      <c r="B36" s="505">
        <v>656.80053778390027</v>
      </c>
      <c r="C36" s="505">
        <v>1.6688545263362651</v>
      </c>
      <c r="D36" s="478"/>
      <c r="E36" s="504" t="s">
        <v>564</v>
      </c>
      <c r="F36" s="506">
        <v>3.3863484485884805</v>
      </c>
      <c r="G36" s="499"/>
      <c r="H36" s="481"/>
      <c r="I36" s="504" t="str">
        <f t="shared" si="4"/>
        <v>Structure</v>
      </c>
      <c r="J36" s="505">
        <v>103.35359044080008</v>
      </c>
      <c r="K36" s="505">
        <v>328.68756792480008</v>
      </c>
      <c r="L36" s="505">
        <v>135.72640108350004</v>
      </c>
      <c r="M36" s="506">
        <v>89.032978334800077</v>
      </c>
      <c r="N36" s="505">
        <v>238.08620247520003</v>
      </c>
      <c r="O36" s="505">
        <v>4.1631516199984731E-2</v>
      </c>
      <c r="P36" s="505">
        <v>3.3925519586000306</v>
      </c>
      <c r="Q36" s="505">
        <v>96.479467716399995</v>
      </c>
      <c r="R36" s="505">
        <v>3.000018011789507E-10</v>
      </c>
      <c r="S36" s="505">
        <v>1.9309700000025298E-5</v>
      </c>
      <c r="T36" s="505">
        <v>-1.9309999999994609E-5</v>
      </c>
      <c r="U36" s="478"/>
      <c r="V36" s="504" t="str">
        <f t="shared" si="5"/>
        <v>Structure</v>
      </c>
      <c r="W36" s="505">
        <v>1.8150638013750393</v>
      </c>
      <c r="X36" s="505">
        <v>6.1104454714075107</v>
      </c>
      <c r="Y36" s="505">
        <v>3.3617052202305446</v>
      </c>
      <c r="Z36" s="506">
        <v>2.0778844718047709</v>
      </c>
      <c r="AA36" s="507">
        <v>4.6211644847876112</v>
      </c>
      <c r="AB36" s="505">
        <v>7.7851865350085062E-4</v>
      </c>
      <c r="AC36" s="505">
        <v>7.0238204966243431E-2</v>
      </c>
      <c r="AD36" s="505">
        <v>1.9594809538197322</v>
      </c>
      <c r="AE36" s="505">
        <v>6.8113956639572105E-12</v>
      </c>
      <c r="AF36" s="505">
        <v>3.5721464964374926E-7</v>
      </c>
      <c r="AG36" s="505">
        <v>-3.7347658117132286E-7</v>
      </c>
    </row>
    <row r="37" spans="1:33" ht="12.75" x14ac:dyDescent="0.2">
      <c r="A37" s="478" t="s">
        <v>477</v>
      </c>
      <c r="B37" s="481">
        <v>822</v>
      </c>
      <c r="C37" s="515">
        <v>-1</v>
      </c>
      <c r="D37" s="478"/>
      <c r="E37" s="478" t="s">
        <v>477</v>
      </c>
      <c r="F37" s="498">
        <v>4</v>
      </c>
      <c r="G37" s="499"/>
      <c r="H37" s="481"/>
      <c r="I37" s="478" t="str">
        <f t="shared" si="4"/>
        <v>Total</v>
      </c>
      <c r="J37" s="481">
        <v>-543.13076196029999</v>
      </c>
      <c r="K37" s="481">
        <v>24.920819175100007</v>
      </c>
      <c r="L37" s="481">
        <v>701.5392879054001</v>
      </c>
      <c r="M37" s="498">
        <v>639</v>
      </c>
      <c r="N37" s="481">
        <v>-747</v>
      </c>
      <c r="O37" s="481">
        <v>58.099667841200002</v>
      </c>
      <c r="P37" s="481">
        <v>340.27114301189999</v>
      </c>
      <c r="Q37" s="481">
        <v>198.30298380299996</v>
      </c>
      <c r="R37" s="481">
        <v>1317.4255314889001</v>
      </c>
      <c r="S37" s="481">
        <v>-396.87710321729986</v>
      </c>
      <c r="T37" s="481">
        <v>46.730461070500127</v>
      </c>
      <c r="U37" s="478"/>
      <c r="V37" s="478" t="str">
        <f t="shared" si="5"/>
        <v>Total</v>
      </c>
      <c r="W37" s="515">
        <v>-10</v>
      </c>
      <c r="X37" s="515">
        <v>0</v>
      </c>
      <c r="Y37" s="515">
        <v>17</v>
      </c>
      <c r="Z37" s="516">
        <v>15</v>
      </c>
      <c r="AA37" s="517">
        <v>-15</v>
      </c>
      <c r="AB37" s="515">
        <v>1</v>
      </c>
      <c r="AC37" s="515">
        <v>7</v>
      </c>
      <c r="AD37" s="515">
        <v>4</v>
      </c>
      <c r="AE37" s="515">
        <v>30</v>
      </c>
      <c r="AF37" s="515">
        <v>-7</v>
      </c>
      <c r="AG37" s="515">
        <v>1</v>
      </c>
    </row>
    <row r="38" spans="1:33" ht="12.75" x14ac:dyDescent="0.2">
      <c r="A38" s="491" t="s">
        <v>565</v>
      </c>
      <c r="B38" s="492">
        <v>20218</v>
      </c>
      <c r="C38" s="492">
        <v>20102.405780863002</v>
      </c>
      <c r="D38" s="478"/>
      <c r="E38" s="491" t="s">
        <v>565</v>
      </c>
      <c r="F38" s="493">
        <v>20218</v>
      </c>
      <c r="G38" s="494"/>
      <c r="H38" s="481"/>
      <c r="I38" s="491" t="str">
        <f t="shared" si="4"/>
        <v>Operational closing balance</v>
      </c>
      <c r="J38" s="492">
        <v>5151.0817699905001</v>
      </c>
      <c r="K38" s="492">
        <v>5404.0305659655996</v>
      </c>
      <c r="L38" s="492">
        <v>4738.9664920132</v>
      </c>
      <c r="M38" s="493">
        <v>4924</v>
      </c>
      <c r="N38" s="492">
        <v>4404.4101382396002</v>
      </c>
      <c r="O38" s="492">
        <v>5405.6293657843007</v>
      </c>
      <c r="P38" s="492">
        <v>5170.3375722871006</v>
      </c>
      <c r="Q38" s="492">
        <v>5122.0287045519999</v>
      </c>
      <c r="R38" s="492">
        <v>5721.8356697285999</v>
      </c>
      <c r="S38" s="492">
        <v>5008.7522625668007</v>
      </c>
      <c r="T38" s="492">
        <v>5217.0680333577002</v>
      </c>
      <c r="U38" s="478"/>
      <c r="V38" s="491" t="str">
        <f t="shared" si="5"/>
        <v>Operational closing balance</v>
      </c>
      <c r="W38" s="492">
        <v>5151.0817699905001</v>
      </c>
      <c r="X38" s="492">
        <v>5404.0305659655996</v>
      </c>
      <c r="Y38" s="492">
        <v>4738.9664920132</v>
      </c>
      <c r="Z38" s="493">
        <v>4924</v>
      </c>
      <c r="AA38" s="495">
        <v>4404.4101382396002</v>
      </c>
      <c r="AB38" s="492">
        <v>5405.6293657843007</v>
      </c>
      <c r="AC38" s="492">
        <v>5170.3375722871006</v>
      </c>
      <c r="AD38" s="492">
        <v>5122.0287045519999</v>
      </c>
      <c r="AE38" s="492">
        <v>5721.8356697285999</v>
      </c>
      <c r="AF38" s="492">
        <v>5008.7522625668007</v>
      </c>
      <c r="AG38" s="492">
        <v>5217.0680333577002</v>
      </c>
    </row>
    <row r="39" spans="1:33" ht="12.75" x14ac:dyDescent="0.2">
      <c r="A39" s="478" t="s">
        <v>560</v>
      </c>
      <c r="B39" s="481">
        <v>0</v>
      </c>
      <c r="C39" s="496">
        <v>0</v>
      </c>
      <c r="D39" s="478"/>
      <c r="E39" s="478" t="s">
        <v>560</v>
      </c>
      <c r="F39" s="498">
        <v>0</v>
      </c>
      <c r="G39" s="499"/>
      <c r="H39" s="481"/>
      <c r="I39" s="478" t="str">
        <f t="shared" si="4"/>
        <v>Adjustment OOH</v>
      </c>
      <c r="J39" s="481">
        <v>0</v>
      </c>
      <c r="K39" s="481">
        <v>0</v>
      </c>
      <c r="L39" s="481">
        <v>0</v>
      </c>
      <c r="M39" s="498">
        <v>0</v>
      </c>
      <c r="N39" s="481">
        <v>0</v>
      </c>
      <c r="O39" s="481">
        <v>0</v>
      </c>
      <c r="P39" s="481">
        <v>0</v>
      </c>
      <c r="Q39" s="481">
        <v>0</v>
      </c>
      <c r="R39" s="481">
        <v>0</v>
      </c>
      <c r="S39" s="481">
        <v>0</v>
      </c>
      <c r="T39" s="481">
        <v>0</v>
      </c>
      <c r="U39" s="478"/>
      <c r="V39" s="478" t="str">
        <f t="shared" si="5"/>
        <v>Adjustment OOH</v>
      </c>
      <c r="W39" s="496">
        <v>0</v>
      </c>
      <c r="X39" s="496">
        <v>0</v>
      </c>
      <c r="Y39" s="496">
        <v>0</v>
      </c>
      <c r="Z39" s="500">
        <v>0</v>
      </c>
      <c r="AA39" s="514">
        <v>0</v>
      </c>
      <c r="AB39" s="496">
        <v>0</v>
      </c>
      <c r="AC39" s="496">
        <v>0</v>
      </c>
      <c r="AD39" s="496">
        <v>0</v>
      </c>
      <c r="AE39" s="496">
        <v>0</v>
      </c>
      <c r="AF39" s="496">
        <v>0</v>
      </c>
      <c r="AG39" s="496">
        <v>0</v>
      </c>
    </row>
    <row r="40" spans="1:33" ht="12.75" x14ac:dyDescent="0.2">
      <c r="A40" s="508" t="s">
        <v>566</v>
      </c>
      <c r="B40" s="509">
        <v>20218</v>
      </c>
      <c r="C40" s="509">
        <v>20102.405780863002</v>
      </c>
      <c r="D40" s="478"/>
      <c r="E40" s="508" t="s">
        <v>566</v>
      </c>
      <c r="F40" s="510">
        <v>20218</v>
      </c>
      <c r="G40" s="494"/>
      <c r="H40" s="481"/>
      <c r="I40" s="508" t="str">
        <f t="shared" si="4"/>
        <v>Reported closing balance</v>
      </c>
      <c r="J40" s="509">
        <v>5151.0824082101999</v>
      </c>
      <c r="K40" s="509">
        <v>5404.0296979430004</v>
      </c>
      <c r="L40" s="509">
        <v>4739.3664292755002</v>
      </c>
      <c r="M40" s="510">
        <v>4924</v>
      </c>
      <c r="N40" s="509">
        <v>4404.4101382396002</v>
      </c>
      <c r="O40" s="509">
        <v>5405.6293657843007</v>
      </c>
      <c r="P40" s="509">
        <v>5170.3375722870996</v>
      </c>
      <c r="Q40" s="509">
        <v>5122.0287045519999</v>
      </c>
      <c r="R40" s="509">
        <v>5721.8356697286008</v>
      </c>
      <c r="S40" s="509">
        <v>5008.7522625667989</v>
      </c>
      <c r="T40" s="509">
        <v>5217.0680333576993</v>
      </c>
      <c r="U40" s="478"/>
      <c r="V40" s="508" t="str">
        <f t="shared" si="5"/>
        <v>Reported closing balance</v>
      </c>
      <c r="W40" s="509">
        <v>5151.0824082101999</v>
      </c>
      <c r="X40" s="509">
        <v>5404.0296979430004</v>
      </c>
      <c r="Y40" s="509">
        <v>4739.3664292755002</v>
      </c>
      <c r="Z40" s="510">
        <v>4924</v>
      </c>
      <c r="AA40" s="511">
        <v>4404.4101382396002</v>
      </c>
      <c r="AB40" s="509">
        <v>5405.6293657843007</v>
      </c>
      <c r="AC40" s="509">
        <v>5170.3375722870996</v>
      </c>
      <c r="AD40" s="509">
        <v>5122.0287045519999</v>
      </c>
      <c r="AE40" s="509">
        <v>5721.8356697286008</v>
      </c>
      <c r="AF40" s="509">
        <v>5008.7522625667989</v>
      </c>
      <c r="AG40" s="509">
        <v>5217.0680333576993</v>
      </c>
    </row>
    <row r="41" spans="1:33" ht="12.75" x14ac:dyDescent="0.2">
      <c r="A41" s="478"/>
      <c r="B41" s="478"/>
      <c r="C41" s="478"/>
      <c r="D41" s="478"/>
      <c r="E41" s="478"/>
      <c r="F41" s="512"/>
      <c r="G41" s="513"/>
      <c r="H41" s="481"/>
      <c r="I41" s="478"/>
      <c r="J41" s="478"/>
      <c r="K41" s="478"/>
      <c r="L41" s="478"/>
      <c r="M41" s="512"/>
      <c r="N41" s="478"/>
      <c r="O41" s="478"/>
      <c r="P41" s="478"/>
      <c r="Q41" s="478"/>
      <c r="R41" s="478"/>
      <c r="S41" s="478"/>
      <c r="T41" s="478"/>
      <c r="U41" s="478"/>
      <c r="V41" s="478"/>
      <c r="W41" s="478"/>
      <c r="X41" s="478"/>
      <c r="Y41" s="478"/>
      <c r="Z41" s="478"/>
      <c r="AA41" s="478"/>
      <c r="AB41" s="478"/>
      <c r="AC41" s="478"/>
      <c r="AD41" s="478"/>
      <c r="AE41" s="478"/>
      <c r="AF41" s="478"/>
    </row>
    <row r="42" spans="1:33" ht="12.75" x14ac:dyDescent="0.2">
      <c r="A42" s="485" t="s">
        <v>480</v>
      </c>
      <c r="B42" s="485"/>
      <c r="C42" s="485"/>
      <c r="D42" s="478"/>
      <c r="E42" s="485" t="s">
        <v>480</v>
      </c>
      <c r="F42" s="486"/>
      <c r="G42" s="487"/>
      <c r="H42" s="481"/>
      <c r="I42" s="485" t="str">
        <f t="shared" ref="I42:I53" si="6">A42</f>
        <v>Orders received</v>
      </c>
      <c r="J42" s="485"/>
      <c r="K42" s="485"/>
      <c r="L42" s="485"/>
      <c r="M42" s="486"/>
      <c r="N42" s="485"/>
      <c r="O42" s="485"/>
      <c r="P42" s="485"/>
      <c r="Q42" s="485"/>
      <c r="R42" s="485"/>
      <c r="S42" s="485"/>
      <c r="T42" s="485"/>
      <c r="U42" s="478"/>
      <c r="V42" s="485" t="str">
        <f t="shared" ref="V42:V53" si="7">E42</f>
        <v>Orders received</v>
      </c>
      <c r="W42" s="485"/>
      <c r="X42" s="485"/>
      <c r="Y42" s="485"/>
      <c r="Z42" s="486"/>
      <c r="AA42" s="488"/>
      <c r="AB42" s="485"/>
      <c r="AC42" s="485"/>
      <c r="AD42" s="485"/>
      <c r="AE42" s="485"/>
      <c r="AF42" s="485"/>
      <c r="AG42" s="485"/>
    </row>
    <row r="43" spans="1:33" ht="12.75" x14ac:dyDescent="0.2">
      <c r="A43" s="322" t="s">
        <v>298</v>
      </c>
      <c r="B43" s="322">
        <v>2023</v>
      </c>
      <c r="C43" s="322">
        <v>2024</v>
      </c>
      <c r="D43" s="478"/>
      <c r="E43" s="322" t="s">
        <v>298</v>
      </c>
      <c r="F43" s="489">
        <v>2023</v>
      </c>
      <c r="G43" s="487"/>
      <c r="H43" s="481"/>
      <c r="I43" s="322" t="str">
        <f t="shared" si="6"/>
        <v>Service</v>
      </c>
      <c r="J43" s="322" t="s">
        <v>151</v>
      </c>
      <c r="K43" s="322" t="s">
        <v>152</v>
      </c>
      <c r="L43" s="322" t="s">
        <v>153</v>
      </c>
      <c r="M43" s="489" t="s">
        <v>154</v>
      </c>
      <c r="N43" s="322" t="s">
        <v>155</v>
      </c>
      <c r="O43" s="322" t="s">
        <v>156</v>
      </c>
      <c r="P43" s="322" t="s">
        <v>157</v>
      </c>
      <c r="Q43" s="322" t="s">
        <v>158</v>
      </c>
      <c r="R43" s="322" t="s">
        <v>159</v>
      </c>
      <c r="S43" s="322" t="s">
        <v>160</v>
      </c>
      <c r="T43" s="322" t="s">
        <v>161</v>
      </c>
      <c r="U43" s="478"/>
      <c r="V43" s="322" t="str">
        <f t="shared" si="7"/>
        <v>Service</v>
      </c>
      <c r="W43" s="322" t="s">
        <v>151</v>
      </c>
      <c r="X43" s="322" t="s">
        <v>152</v>
      </c>
      <c r="Y43" s="322" t="s">
        <v>153</v>
      </c>
      <c r="Z43" s="489" t="s">
        <v>154</v>
      </c>
      <c r="AA43" s="490" t="s">
        <v>155</v>
      </c>
      <c r="AB43" s="322" t="s">
        <v>156</v>
      </c>
      <c r="AC43" s="322" t="s">
        <v>157</v>
      </c>
      <c r="AD43" s="322" t="s">
        <v>158</v>
      </c>
      <c r="AE43" s="322" t="s">
        <v>159</v>
      </c>
      <c r="AF43" s="322" t="s">
        <v>160</v>
      </c>
      <c r="AG43" s="322" t="s">
        <v>161</v>
      </c>
    </row>
    <row r="44" spans="1:33" ht="12.75" x14ac:dyDescent="0.2">
      <c r="A44" s="491" t="s">
        <v>559</v>
      </c>
      <c r="B44" s="492">
        <v>23295.423583708201</v>
      </c>
      <c r="C44" s="492">
        <v>26488.516025020599</v>
      </c>
      <c r="D44" s="478"/>
      <c r="E44" s="491" t="s">
        <v>559</v>
      </c>
      <c r="F44" s="493">
        <v>23295.423583708201</v>
      </c>
      <c r="G44" s="494"/>
      <c r="H44" s="481"/>
      <c r="I44" s="491" t="str">
        <f t="shared" si="6"/>
        <v>Reported opening balance</v>
      </c>
      <c r="J44" s="492">
        <v>5145.7063876112998</v>
      </c>
      <c r="K44" s="492">
        <v>5517.9508554173999</v>
      </c>
      <c r="L44" s="492">
        <v>5753.2967403568</v>
      </c>
      <c r="M44" s="493">
        <v>6878.4696003227</v>
      </c>
      <c r="N44" s="492">
        <v>6419</v>
      </c>
      <c r="O44" s="492">
        <v>6871.6558525118999</v>
      </c>
      <c r="P44" s="492">
        <v>6571.7114311847999</v>
      </c>
      <c r="Q44" s="492">
        <v>6626.8511765861003</v>
      </c>
      <c r="R44" s="492">
        <v>6620.6400749158001</v>
      </c>
      <c r="S44" s="492">
        <v>6982.3443004990995</v>
      </c>
      <c r="T44" s="492">
        <v>6659.6100666918001</v>
      </c>
      <c r="U44" s="478"/>
      <c r="V44" s="491" t="str">
        <f t="shared" si="7"/>
        <v>Reported opening balance</v>
      </c>
      <c r="W44" s="492">
        <v>5145.7063876112998</v>
      </c>
      <c r="X44" s="492">
        <v>5517.9508554173999</v>
      </c>
      <c r="Y44" s="492">
        <v>5753.2967403568</v>
      </c>
      <c r="Z44" s="493">
        <v>6878.4696003227</v>
      </c>
      <c r="AA44" s="495">
        <v>6419</v>
      </c>
      <c r="AB44" s="492">
        <v>6871.6558525118999</v>
      </c>
      <c r="AC44" s="492">
        <v>6571.7114311847999</v>
      </c>
      <c r="AD44" s="492">
        <v>6626.8511765861003</v>
      </c>
      <c r="AE44" s="492">
        <v>6620.6400749158001</v>
      </c>
      <c r="AF44" s="492">
        <v>6982.3443004990995</v>
      </c>
      <c r="AG44" s="492">
        <v>6659.6100666918001</v>
      </c>
    </row>
    <row r="45" spans="1:33" ht="12.75" x14ac:dyDescent="0.2">
      <c r="A45" s="478" t="s">
        <v>560</v>
      </c>
      <c r="B45" s="496">
        <v>-778.3</v>
      </c>
      <c r="C45" s="496">
        <v>-0.78071568752534204</v>
      </c>
      <c r="D45" s="478"/>
      <c r="E45" s="478" t="s">
        <v>560</v>
      </c>
      <c r="F45" s="498">
        <v>-3.3409995624389883</v>
      </c>
      <c r="G45" s="499"/>
      <c r="H45" s="481"/>
      <c r="I45" s="478" t="str">
        <f t="shared" si="6"/>
        <v>Adjustment OOH</v>
      </c>
      <c r="J45" s="496">
        <v>0</v>
      </c>
      <c r="K45" s="496">
        <v>0</v>
      </c>
      <c r="L45" s="496">
        <v>0</v>
      </c>
      <c r="M45" s="500">
        <v>-778.3</v>
      </c>
      <c r="N45" s="496">
        <v>-30.5</v>
      </c>
      <c r="O45" s="496">
        <v>-85.199999999999989</v>
      </c>
      <c r="P45" s="496">
        <v>-91.1</v>
      </c>
      <c r="Q45" s="496">
        <v>0</v>
      </c>
      <c r="R45" s="496">
        <v>0</v>
      </c>
      <c r="S45" s="496">
        <v>0</v>
      </c>
      <c r="T45" s="496">
        <v>0</v>
      </c>
      <c r="U45" s="478"/>
      <c r="V45" s="478" t="str">
        <f t="shared" si="7"/>
        <v>Adjustment OOH</v>
      </c>
      <c r="W45" s="496">
        <v>0</v>
      </c>
      <c r="X45" s="496">
        <v>0</v>
      </c>
      <c r="Y45" s="496">
        <v>0</v>
      </c>
      <c r="Z45" s="500">
        <v>-11.315016932887024</v>
      </c>
      <c r="AA45" s="514">
        <v>-0.47520389468334018</v>
      </c>
      <c r="AB45" s="496">
        <v>-1.2398758294750101</v>
      </c>
      <c r="AC45" s="496">
        <v>-1.386244678482113</v>
      </c>
      <c r="AD45" s="496">
        <v>0</v>
      </c>
      <c r="AE45" s="496">
        <v>0</v>
      </c>
      <c r="AF45" s="496">
        <v>0</v>
      </c>
      <c r="AG45" s="496">
        <v>0</v>
      </c>
    </row>
    <row r="46" spans="1:33" ht="12.75" x14ac:dyDescent="0.2">
      <c r="A46" s="491" t="s">
        <v>561</v>
      </c>
      <c r="B46" s="492">
        <v>22517.123583708202</v>
      </c>
      <c r="C46" s="492">
        <v>26281.7160250206</v>
      </c>
      <c r="D46" s="478"/>
      <c r="E46" s="491" t="s">
        <v>561</v>
      </c>
      <c r="F46" s="493">
        <v>22517.123583708202</v>
      </c>
      <c r="G46" s="494"/>
      <c r="H46" s="481"/>
      <c r="I46" s="491" t="str">
        <f t="shared" si="6"/>
        <v>Adjusted opening balance</v>
      </c>
      <c r="J46" s="492">
        <v>5145.7063876112998</v>
      </c>
      <c r="K46" s="492">
        <v>5517.9508554173999</v>
      </c>
      <c r="L46" s="492">
        <v>5753.2967403568</v>
      </c>
      <c r="M46" s="493">
        <v>6100.1696003226998</v>
      </c>
      <c r="N46" s="492">
        <v>6387.7975647377998</v>
      </c>
      <c r="O46" s="492">
        <v>6786.4558525119</v>
      </c>
      <c r="P46" s="492">
        <v>6480.6114311847996</v>
      </c>
      <c r="Q46" s="492">
        <v>6626.8511765861003</v>
      </c>
      <c r="R46" s="492">
        <v>6620.6400749158001</v>
      </c>
      <c r="S46" s="492">
        <v>6982.3443004990995</v>
      </c>
      <c r="T46" s="492">
        <v>6659.6100666918001</v>
      </c>
      <c r="U46" s="478"/>
      <c r="V46" s="491" t="str">
        <f t="shared" si="7"/>
        <v>Adjusted opening balance</v>
      </c>
      <c r="W46" s="492">
        <v>5145.7063876112998</v>
      </c>
      <c r="X46" s="492">
        <v>5517.9508554173999</v>
      </c>
      <c r="Y46" s="492">
        <v>5753.2967403568</v>
      </c>
      <c r="Z46" s="493">
        <v>6100.1696003226998</v>
      </c>
      <c r="AA46" s="495">
        <v>6387.7975647377998</v>
      </c>
      <c r="AB46" s="492">
        <v>6786.4558525119</v>
      </c>
      <c r="AC46" s="492">
        <v>6480.6114311847996</v>
      </c>
      <c r="AD46" s="492">
        <v>6626.8511765861003</v>
      </c>
      <c r="AE46" s="492">
        <v>6620.6400749158001</v>
      </c>
      <c r="AF46" s="492">
        <v>6982.3443004990995</v>
      </c>
      <c r="AG46" s="492">
        <v>6659.6100666918001</v>
      </c>
    </row>
    <row r="47" spans="1:33" ht="12.75" x14ac:dyDescent="0.2">
      <c r="A47" s="478" t="s">
        <v>562</v>
      </c>
      <c r="B47" s="515">
        <v>1519</v>
      </c>
      <c r="C47" s="481">
        <v>6</v>
      </c>
      <c r="D47" s="478"/>
      <c r="E47" s="478" t="s">
        <v>562</v>
      </c>
      <c r="F47" s="498">
        <v>7</v>
      </c>
      <c r="G47" s="499"/>
      <c r="H47" s="481"/>
      <c r="I47" s="478" t="str">
        <f t="shared" si="6"/>
        <v>Organic</v>
      </c>
      <c r="J47" s="515">
        <v>327.9046624774</v>
      </c>
      <c r="K47" s="515">
        <v>431.84175681240004</v>
      </c>
      <c r="L47" s="515">
        <v>395</v>
      </c>
      <c r="M47" s="516">
        <v>363.69511635580005</v>
      </c>
      <c r="N47" s="515">
        <v>557</v>
      </c>
      <c r="O47" s="515">
        <v>285.42503017410002</v>
      </c>
      <c r="P47" s="515">
        <v>390.46847796340001</v>
      </c>
      <c r="Q47" s="515">
        <v>519.52260591300001</v>
      </c>
      <c r="R47" s="515">
        <v>25.815197471500007</v>
      </c>
      <c r="S47" s="515">
        <v>187.35005882769997</v>
      </c>
      <c r="T47" s="515">
        <v>153.85783955790001</v>
      </c>
      <c r="U47" s="478"/>
      <c r="V47" s="478" t="str">
        <f t="shared" si="7"/>
        <v>Organic</v>
      </c>
      <c r="W47" s="481">
        <v>6</v>
      </c>
      <c r="X47" s="481">
        <v>8</v>
      </c>
      <c r="Y47" s="481">
        <v>7</v>
      </c>
      <c r="Z47" s="498">
        <v>6</v>
      </c>
      <c r="AA47" s="503">
        <v>9</v>
      </c>
      <c r="AB47" s="481">
        <v>5</v>
      </c>
      <c r="AC47" s="481">
        <v>7</v>
      </c>
      <c r="AD47" s="481">
        <v>8</v>
      </c>
      <c r="AE47" s="481">
        <v>1</v>
      </c>
      <c r="AF47" s="481">
        <v>3</v>
      </c>
      <c r="AG47" s="481">
        <v>2</v>
      </c>
    </row>
    <row r="48" spans="1:33" ht="12.75" x14ac:dyDescent="0.2">
      <c r="A48" s="478" t="s">
        <v>563</v>
      </c>
      <c r="B48" s="515">
        <v>656.20922053230004</v>
      </c>
      <c r="C48" s="481">
        <v>-2.2426645842633404</v>
      </c>
      <c r="D48" s="478"/>
      <c r="E48" s="478" t="s">
        <v>563</v>
      </c>
      <c r="F48" s="498">
        <v>2.9142675266350921</v>
      </c>
      <c r="G48" s="499"/>
      <c r="H48" s="481"/>
      <c r="I48" s="478" t="str">
        <f t="shared" si="6"/>
        <v>Currency</v>
      </c>
      <c r="J48" s="515">
        <v>371.0672804852</v>
      </c>
      <c r="K48" s="515">
        <v>266.67278901100002</v>
      </c>
      <c r="L48" s="515">
        <v>73.943919739000009</v>
      </c>
      <c r="M48" s="516">
        <v>-55.474768702900001</v>
      </c>
      <c r="N48" s="515">
        <v>-209.9028299926</v>
      </c>
      <c r="O48" s="515">
        <v>-114.6909788104</v>
      </c>
      <c r="P48" s="515">
        <v>-240.98508799439998</v>
      </c>
      <c r="Q48" s="515">
        <v>-23.831840632399999</v>
      </c>
      <c r="R48" s="515">
        <v>-15.7141840276</v>
      </c>
      <c r="S48" s="515">
        <v>-672.48381855499997</v>
      </c>
      <c r="T48" s="515">
        <v>-591.96404293030002</v>
      </c>
      <c r="U48" s="478"/>
      <c r="V48" s="478" t="str">
        <f t="shared" si="7"/>
        <v>Currency</v>
      </c>
      <c r="W48" s="481">
        <v>7.2112019717754245</v>
      </c>
      <c r="X48" s="481">
        <v>4.832822835839262</v>
      </c>
      <c r="Y48" s="481">
        <v>1.2852443229690644</v>
      </c>
      <c r="Z48" s="498">
        <v>-0.90939715348185357</v>
      </c>
      <c r="AA48" s="503">
        <v>-3.2859969005798622</v>
      </c>
      <c r="AB48" s="481">
        <v>-1.6899981566659561</v>
      </c>
      <c r="AC48" s="481">
        <v>-3.7185548084981015</v>
      </c>
      <c r="AD48" s="481">
        <v>-0.35962540877034227</v>
      </c>
      <c r="AE48" s="481">
        <v>-0.23735143203355377</v>
      </c>
      <c r="AF48" s="481">
        <v>-9.6340682957572916</v>
      </c>
      <c r="AG48" s="481">
        <v>-8.8888694233168764</v>
      </c>
    </row>
    <row r="49" spans="1:33" ht="12.75" x14ac:dyDescent="0.2">
      <c r="A49" s="504" t="s">
        <v>564</v>
      </c>
      <c r="B49" s="518">
        <v>1767.0039720057998</v>
      </c>
      <c r="C49" s="505">
        <v>-0.470353993729765</v>
      </c>
      <c r="D49" s="478"/>
      <c r="E49" s="504" t="s">
        <v>564</v>
      </c>
      <c r="F49" s="506">
        <v>7.847378753493536</v>
      </c>
      <c r="G49" s="499"/>
      <c r="H49" s="481"/>
      <c r="I49" s="504" t="str">
        <f t="shared" si="6"/>
        <v>Structure</v>
      </c>
      <c r="J49" s="518">
        <v>543.11987238359995</v>
      </c>
      <c r="K49" s="518">
        <v>655.18958324849996</v>
      </c>
      <c r="L49" s="518">
        <v>350.2332877632</v>
      </c>
      <c r="M49" s="519">
        <v>218.46122861049992</v>
      </c>
      <c r="N49" s="518">
        <v>-113.52465768650001</v>
      </c>
      <c r="O49" s="518">
        <v>25.154396623500006</v>
      </c>
      <c r="P49" s="518">
        <v>29.515245537999974</v>
      </c>
      <c r="Q49" s="518">
        <v>-64.762085419399995</v>
      </c>
      <c r="R49" s="518">
        <v>24.636884607699997</v>
      </c>
      <c r="S49" s="518">
        <v>-0.30690000000000001</v>
      </c>
      <c r="T49" s="518">
        <v>0.47389999999999999</v>
      </c>
      <c r="U49" s="478"/>
      <c r="V49" s="504" t="str">
        <f t="shared" si="7"/>
        <v>Structure</v>
      </c>
      <c r="W49" s="505">
        <v>10.554816607710158</v>
      </c>
      <c r="X49" s="505">
        <v>11.873784316242135</v>
      </c>
      <c r="Y49" s="505">
        <v>6.0875234421070328</v>
      </c>
      <c r="Z49" s="506">
        <v>3.5812320463834855</v>
      </c>
      <c r="AA49" s="507">
        <v>-1.7772112615650784</v>
      </c>
      <c r="AB49" s="505">
        <v>0.37065586471308881</v>
      </c>
      <c r="AC49" s="505">
        <v>0.45543921050369052</v>
      </c>
      <c r="AD49" s="505">
        <v>-0.97726784099538122</v>
      </c>
      <c r="AE49" s="505">
        <v>0.37212239796940366</v>
      </c>
      <c r="AF49" s="505">
        <v>-4.3953719093752326E-3</v>
      </c>
      <c r="AG49" s="505">
        <v>7.1160322489483624E-3</v>
      </c>
    </row>
    <row r="50" spans="1:33" ht="12.75" x14ac:dyDescent="0.2">
      <c r="A50" s="478" t="s">
        <v>477</v>
      </c>
      <c r="B50" s="515">
        <v>3942</v>
      </c>
      <c r="C50" s="481">
        <v>4</v>
      </c>
      <c r="D50" s="478"/>
      <c r="E50" s="478" t="s">
        <v>477</v>
      </c>
      <c r="F50" s="498">
        <v>18</v>
      </c>
      <c r="G50" s="499"/>
      <c r="H50" s="481"/>
      <c r="I50" s="478" t="str">
        <f t="shared" si="6"/>
        <v>Total</v>
      </c>
      <c r="J50" s="515">
        <v>1242.0918153461998</v>
      </c>
      <c r="K50" s="515">
        <v>1353.7041290719001</v>
      </c>
      <c r="L50" s="515">
        <v>819</v>
      </c>
      <c r="M50" s="516">
        <v>526.68157626339996</v>
      </c>
      <c r="N50" s="515">
        <v>232.84251017799994</v>
      </c>
      <c r="O50" s="515">
        <v>195.88844798720004</v>
      </c>
      <c r="P50" s="515">
        <v>178.99863550700002</v>
      </c>
      <c r="Q50" s="515">
        <v>430.92867986120007</v>
      </c>
      <c r="R50" s="515">
        <v>34.737898051600006</v>
      </c>
      <c r="S50" s="515">
        <v>-485.44065972729999</v>
      </c>
      <c r="T50" s="515">
        <v>-437.63230337240003</v>
      </c>
      <c r="U50" s="478"/>
      <c r="V50" s="478" t="str">
        <f t="shared" si="7"/>
        <v>Total</v>
      </c>
      <c r="W50" s="481">
        <v>24</v>
      </c>
      <c r="X50" s="481">
        <v>25</v>
      </c>
      <c r="Y50" s="481">
        <v>14</v>
      </c>
      <c r="Z50" s="498">
        <v>9</v>
      </c>
      <c r="AA50" s="503">
        <v>4</v>
      </c>
      <c r="AB50" s="481">
        <v>3</v>
      </c>
      <c r="AC50" s="481">
        <v>3</v>
      </c>
      <c r="AD50" s="481">
        <v>7</v>
      </c>
      <c r="AE50" s="481">
        <v>1</v>
      </c>
      <c r="AF50" s="481">
        <v>-7</v>
      </c>
      <c r="AG50" s="481">
        <v>-7</v>
      </c>
    </row>
    <row r="51" spans="1:33" ht="12.75" x14ac:dyDescent="0.2">
      <c r="A51" s="491" t="s">
        <v>565</v>
      </c>
      <c r="B51" s="492">
        <v>26458.615732480001</v>
      </c>
      <c r="C51" s="492">
        <v>27320.374298554001</v>
      </c>
      <c r="D51" s="478"/>
      <c r="E51" s="491" t="s">
        <v>565</v>
      </c>
      <c r="F51" s="493">
        <v>26458.615732480001</v>
      </c>
      <c r="G51" s="494"/>
      <c r="H51" s="481"/>
      <c r="I51" s="491" t="str">
        <f t="shared" si="6"/>
        <v>Operational closing balance</v>
      </c>
      <c r="J51" s="492">
        <v>6388</v>
      </c>
      <c r="K51" s="492">
        <v>6871.6549844892997</v>
      </c>
      <c r="L51" s="492">
        <v>6572</v>
      </c>
      <c r="M51" s="493">
        <v>6626.8511765860994</v>
      </c>
      <c r="N51" s="492">
        <v>6620.6400749158001</v>
      </c>
      <c r="O51" s="492">
        <v>6982.3443004991004</v>
      </c>
      <c r="P51" s="492">
        <v>6659.6100666917991</v>
      </c>
      <c r="Q51" s="492">
        <v>7057.7798564473005</v>
      </c>
      <c r="R51" s="492">
        <v>6655.3779729673997</v>
      </c>
      <c r="S51" s="492">
        <v>6496.7036407717997</v>
      </c>
      <c r="T51" s="492">
        <v>6221.9777633193999</v>
      </c>
      <c r="U51" s="478"/>
      <c r="V51" s="491" t="str">
        <f t="shared" si="7"/>
        <v>Operational closing balance</v>
      </c>
      <c r="W51" s="492">
        <v>6388</v>
      </c>
      <c r="X51" s="492">
        <v>6871.6549844892997</v>
      </c>
      <c r="Y51" s="492">
        <v>6572</v>
      </c>
      <c r="Z51" s="493">
        <v>6626.8511765860994</v>
      </c>
      <c r="AA51" s="495">
        <v>6620.6400749158001</v>
      </c>
      <c r="AB51" s="492">
        <v>6982.3443004991004</v>
      </c>
      <c r="AC51" s="492">
        <v>6659.6100666917991</v>
      </c>
      <c r="AD51" s="492">
        <v>7057.7798564473005</v>
      </c>
      <c r="AE51" s="492">
        <v>6655.3779729673997</v>
      </c>
      <c r="AF51" s="492">
        <v>6496.7036407717997</v>
      </c>
      <c r="AG51" s="492">
        <v>6221.9777633193999</v>
      </c>
    </row>
    <row r="52" spans="1:33" ht="12.75" x14ac:dyDescent="0.2">
      <c r="A52" s="478" t="s">
        <v>560</v>
      </c>
      <c r="B52" s="515">
        <v>30.5</v>
      </c>
      <c r="C52" s="481">
        <v>0</v>
      </c>
      <c r="D52" s="478"/>
      <c r="E52" s="478" t="s">
        <v>560</v>
      </c>
      <c r="F52" s="498">
        <v>0.13092700328201098</v>
      </c>
      <c r="G52" s="499"/>
      <c r="H52" s="481"/>
      <c r="I52" s="478" t="str">
        <f t="shared" si="6"/>
        <v>Adjustment OOH</v>
      </c>
      <c r="J52" s="515">
        <v>30.5</v>
      </c>
      <c r="K52" s="515">
        <v>0</v>
      </c>
      <c r="L52" s="515">
        <v>0</v>
      </c>
      <c r="M52" s="516">
        <v>0</v>
      </c>
      <c r="N52" s="515">
        <v>0</v>
      </c>
      <c r="O52" s="515">
        <v>0</v>
      </c>
      <c r="P52" s="515">
        <v>0</v>
      </c>
      <c r="Q52" s="515">
        <v>0</v>
      </c>
      <c r="R52" s="515">
        <v>0</v>
      </c>
      <c r="S52" s="515">
        <v>0</v>
      </c>
      <c r="T52" s="515">
        <v>0</v>
      </c>
      <c r="U52" s="478"/>
      <c r="V52" s="478" t="str">
        <f t="shared" si="7"/>
        <v>Adjustment OOH</v>
      </c>
      <c r="W52" s="481">
        <v>0.59272717295785071</v>
      </c>
      <c r="X52" s="481">
        <v>0</v>
      </c>
      <c r="Y52" s="481">
        <v>0</v>
      </c>
      <c r="Z52" s="498">
        <v>0</v>
      </c>
      <c r="AA52" s="503">
        <v>0</v>
      </c>
      <c r="AB52" s="481">
        <v>0</v>
      </c>
      <c r="AC52" s="481">
        <v>0</v>
      </c>
      <c r="AD52" s="481">
        <v>0</v>
      </c>
      <c r="AE52" s="481">
        <v>0</v>
      </c>
      <c r="AF52" s="481">
        <v>0</v>
      </c>
      <c r="AG52" s="481">
        <v>0</v>
      </c>
    </row>
    <row r="53" spans="1:33" ht="12.75" x14ac:dyDescent="0.2">
      <c r="A53" s="508" t="s">
        <v>566</v>
      </c>
      <c r="B53" s="509">
        <v>26490</v>
      </c>
      <c r="C53" s="509">
        <v>27320.374298554001</v>
      </c>
      <c r="D53" s="478"/>
      <c r="E53" s="508" t="s">
        <v>566</v>
      </c>
      <c r="F53" s="510">
        <v>26489.116025020601</v>
      </c>
      <c r="G53" s="494"/>
      <c r="H53" s="481"/>
      <c r="I53" s="508" t="str">
        <f t="shared" si="6"/>
        <v>Reported closing balance</v>
      </c>
      <c r="J53" s="509">
        <v>6419.2975647377998</v>
      </c>
      <c r="K53" s="509">
        <v>6871.6558525118999</v>
      </c>
      <c r="L53" s="509">
        <v>6572</v>
      </c>
      <c r="M53" s="510">
        <v>6626.8511765861003</v>
      </c>
      <c r="N53" s="509">
        <v>6620.6400749158001</v>
      </c>
      <c r="O53" s="509">
        <v>6982.3443004990995</v>
      </c>
      <c r="P53" s="509">
        <v>6659.6100666918001</v>
      </c>
      <c r="Q53" s="509">
        <v>7057.7798564472996</v>
      </c>
      <c r="R53" s="509">
        <v>6655.3779729673997</v>
      </c>
      <c r="S53" s="509">
        <v>6496.7036407718006</v>
      </c>
      <c r="T53" s="509">
        <v>6221.9777633193999</v>
      </c>
      <c r="U53" s="478"/>
      <c r="V53" s="508" t="str">
        <f t="shared" si="7"/>
        <v>Reported closing balance</v>
      </c>
      <c r="W53" s="509">
        <v>6419.2975647377998</v>
      </c>
      <c r="X53" s="509">
        <v>6871.6558525118999</v>
      </c>
      <c r="Y53" s="509">
        <v>6572</v>
      </c>
      <c r="Z53" s="510">
        <v>6626.8511765861003</v>
      </c>
      <c r="AA53" s="511">
        <v>6620.6400749158001</v>
      </c>
      <c r="AB53" s="509">
        <v>6982.3443004990995</v>
      </c>
      <c r="AC53" s="509">
        <v>6659.6100666918001</v>
      </c>
      <c r="AD53" s="509">
        <v>7057.7798564472996</v>
      </c>
      <c r="AE53" s="509">
        <v>6655.3779729673997</v>
      </c>
      <c r="AF53" s="509">
        <v>6496.7036407718006</v>
      </c>
      <c r="AG53" s="509">
        <v>6221.9777633193999</v>
      </c>
    </row>
    <row r="54" spans="1:33" ht="12.75" x14ac:dyDescent="0.2">
      <c r="A54" s="478"/>
      <c r="B54" s="478"/>
      <c r="C54" s="478"/>
      <c r="D54" s="478"/>
      <c r="E54" s="478"/>
      <c r="F54" s="512"/>
      <c r="G54" s="513"/>
      <c r="H54" s="481"/>
      <c r="I54" s="478"/>
      <c r="J54" s="478"/>
      <c r="K54" s="478"/>
      <c r="L54" s="478"/>
      <c r="M54" s="512"/>
      <c r="N54" s="478"/>
      <c r="O54" s="478"/>
      <c r="P54" s="478"/>
      <c r="Q54" s="478"/>
      <c r="R54" s="478"/>
      <c r="S54" s="478"/>
      <c r="T54" s="478"/>
      <c r="U54" s="478"/>
      <c r="V54" s="478"/>
      <c r="W54" s="478"/>
      <c r="X54" s="478"/>
      <c r="Y54" s="478"/>
      <c r="Z54" s="478"/>
      <c r="AA54" s="478"/>
      <c r="AB54" s="478"/>
      <c r="AC54" s="478"/>
      <c r="AD54" s="478"/>
      <c r="AE54" s="478"/>
      <c r="AF54" s="478"/>
    </row>
    <row r="55" spans="1:33" ht="12.75" x14ac:dyDescent="0.2">
      <c r="A55" s="485" t="s">
        <v>480</v>
      </c>
      <c r="B55" s="485"/>
      <c r="C55" s="485"/>
      <c r="D55" s="478"/>
      <c r="E55" s="485" t="s">
        <v>480</v>
      </c>
      <c r="F55" s="486"/>
      <c r="G55" s="487"/>
      <c r="H55" s="481"/>
      <c r="I55" s="485" t="str">
        <f t="shared" ref="I55:I66" si="8">A55</f>
        <v>Orders received</v>
      </c>
      <c r="J55" s="485"/>
      <c r="K55" s="485"/>
      <c r="L55" s="485"/>
      <c r="M55" s="486"/>
      <c r="N55" s="485"/>
      <c r="O55" s="485"/>
      <c r="P55" s="485"/>
      <c r="Q55" s="485"/>
      <c r="R55" s="485"/>
      <c r="S55" s="485"/>
      <c r="T55" s="485"/>
      <c r="U55" s="478"/>
      <c r="V55" s="485" t="str">
        <f t="shared" ref="V55:V66" si="9">E55</f>
        <v>Orders received</v>
      </c>
      <c r="W55" s="485"/>
      <c r="X55" s="485"/>
      <c r="Y55" s="485"/>
      <c r="Z55" s="486"/>
      <c r="AA55" s="488"/>
      <c r="AB55" s="485"/>
      <c r="AC55" s="485"/>
      <c r="AD55" s="485"/>
      <c r="AE55" s="485"/>
      <c r="AF55" s="485"/>
      <c r="AG55" s="485"/>
    </row>
    <row r="56" spans="1:33" ht="12.75" x14ac:dyDescent="0.2">
      <c r="A56" s="322" t="s">
        <v>299</v>
      </c>
      <c r="B56" s="322">
        <v>2023</v>
      </c>
      <c r="C56" s="322">
        <v>2024</v>
      </c>
      <c r="D56" s="478"/>
      <c r="E56" s="322" t="s">
        <v>299</v>
      </c>
      <c r="F56" s="489">
        <v>2023</v>
      </c>
      <c r="G56" s="487"/>
      <c r="H56" s="481"/>
      <c r="I56" s="322" t="str">
        <f t="shared" si="8"/>
        <v>Tools &amp; Attachments</v>
      </c>
      <c r="J56" s="322" t="s">
        <v>151</v>
      </c>
      <c r="K56" s="322" t="s">
        <v>152</v>
      </c>
      <c r="L56" s="322" t="s">
        <v>153</v>
      </c>
      <c r="M56" s="489" t="s">
        <v>154</v>
      </c>
      <c r="N56" s="322" t="s">
        <v>155</v>
      </c>
      <c r="O56" s="322" t="s">
        <v>156</v>
      </c>
      <c r="P56" s="322" t="s">
        <v>157</v>
      </c>
      <c r="Q56" s="322" t="s">
        <v>158</v>
      </c>
      <c r="R56" s="322" t="s">
        <v>159</v>
      </c>
      <c r="S56" s="322" t="s">
        <v>160</v>
      </c>
      <c r="T56" s="322" t="s">
        <v>161</v>
      </c>
      <c r="U56" s="478"/>
      <c r="V56" s="322" t="str">
        <f t="shared" si="9"/>
        <v>Tools &amp; Attachments</v>
      </c>
      <c r="W56" s="322" t="s">
        <v>151</v>
      </c>
      <c r="X56" s="322" t="s">
        <v>152</v>
      </c>
      <c r="Y56" s="322" t="s">
        <v>153</v>
      </c>
      <c r="Z56" s="489" t="s">
        <v>154</v>
      </c>
      <c r="AA56" s="490" t="s">
        <v>155</v>
      </c>
      <c r="AB56" s="322" t="s">
        <v>156</v>
      </c>
      <c r="AC56" s="322" t="s">
        <v>157</v>
      </c>
      <c r="AD56" s="322" t="s">
        <v>158</v>
      </c>
      <c r="AE56" s="322" t="s">
        <v>159</v>
      </c>
      <c r="AF56" s="322" t="s">
        <v>160</v>
      </c>
      <c r="AG56" s="322" t="s">
        <v>161</v>
      </c>
    </row>
    <row r="57" spans="1:33" ht="12.75" x14ac:dyDescent="0.2">
      <c r="A57" s="491" t="s">
        <v>559</v>
      </c>
      <c r="B57" s="492">
        <v>10669.778208436001</v>
      </c>
      <c r="C57" s="492">
        <v>12466.4219784784</v>
      </c>
      <c r="D57" s="478"/>
      <c r="E57" s="491" t="s">
        <v>559</v>
      </c>
      <c r="F57" s="493">
        <v>10669.778208436001</v>
      </c>
      <c r="G57" s="494"/>
      <c r="H57" s="481"/>
      <c r="I57" s="491" t="str">
        <f t="shared" si="8"/>
        <v>Reported opening balance</v>
      </c>
      <c r="J57" s="492">
        <v>2969.734969355</v>
      </c>
      <c r="K57" s="492">
        <v>2495.4654074903001</v>
      </c>
      <c r="L57" s="492">
        <v>2501.9835914729001</v>
      </c>
      <c r="M57" s="493">
        <v>2702.5942401177999</v>
      </c>
      <c r="N57" s="492">
        <v>3534.8958989035</v>
      </c>
      <c r="O57" s="492">
        <v>3179.7004841978001</v>
      </c>
      <c r="P57" s="492">
        <v>2925.2664529244998</v>
      </c>
      <c r="Q57" s="492">
        <v>2826.5591424526001</v>
      </c>
      <c r="R57" s="492">
        <v>3121.6294955535</v>
      </c>
      <c r="S57" s="492">
        <v>3946.5945244221002</v>
      </c>
      <c r="T57" s="492">
        <v>3655.8140737458002</v>
      </c>
      <c r="U57" s="478"/>
      <c r="V57" s="491" t="str">
        <f t="shared" si="9"/>
        <v>Reported opening balance</v>
      </c>
      <c r="W57" s="492">
        <v>2969.734969355</v>
      </c>
      <c r="X57" s="492">
        <v>2495.4654074903001</v>
      </c>
      <c r="Y57" s="492">
        <v>2501.9835914729001</v>
      </c>
      <c r="Z57" s="493">
        <v>2702.5942401177999</v>
      </c>
      <c r="AA57" s="495">
        <v>3534.8958989035</v>
      </c>
      <c r="AB57" s="492">
        <v>3179.7004841978001</v>
      </c>
      <c r="AC57" s="492">
        <v>2925.2664529244998</v>
      </c>
      <c r="AD57" s="492">
        <v>2826.5591424526001</v>
      </c>
      <c r="AE57" s="492">
        <v>3121.6294955535</v>
      </c>
      <c r="AF57" s="492">
        <v>3946.5945244221002</v>
      </c>
      <c r="AG57" s="492">
        <v>3655.8140737458002</v>
      </c>
    </row>
    <row r="58" spans="1:33" ht="12.75" x14ac:dyDescent="0.2">
      <c r="A58" s="478" t="s">
        <v>560</v>
      </c>
      <c r="B58" s="496">
        <v>-26.4</v>
      </c>
      <c r="C58" s="496">
        <v>-3.2246622221997532</v>
      </c>
      <c r="D58" s="478"/>
      <c r="E58" s="478" t="s">
        <v>560</v>
      </c>
      <c r="F58" s="498">
        <v>-0.2474278235617586</v>
      </c>
      <c r="G58" s="499"/>
      <c r="H58" s="481"/>
      <c r="I58" s="478" t="str">
        <f t="shared" si="8"/>
        <v>Adjustment OOH</v>
      </c>
      <c r="J58" s="496">
        <v>0</v>
      </c>
      <c r="K58" s="496">
        <v>0</v>
      </c>
      <c r="L58" s="496">
        <v>0</v>
      </c>
      <c r="M58" s="500">
        <v>-26.4</v>
      </c>
      <c r="N58" s="496">
        <v>-402</v>
      </c>
      <c r="O58" s="496">
        <v>0</v>
      </c>
      <c r="P58" s="496">
        <v>0</v>
      </c>
      <c r="Q58" s="496">
        <v>0</v>
      </c>
      <c r="R58" s="496">
        <v>0</v>
      </c>
      <c r="S58" s="496">
        <v>0</v>
      </c>
      <c r="T58" s="496">
        <v>0</v>
      </c>
      <c r="U58" s="478"/>
      <c r="V58" s="478" t="str">
        <f t="shared" si="9"/>
        <v>Adjustment OOH</v>
      </c>
      <c r="W58" s="496">
        <v>0</v>
      </c>
      <c r="X58" s="496">
        <v>0</v>
      </c>
      <c r="Y58" s="496">
        <v>0</v>
      </c>
      <c r="Z58" s="500">
        <v>-0.97683920168679417</v>
      </c>
      <c r="AA58" s="514">
        <v>-11.372329242416944</v>
      </c>
      <c r="AB58" s="496">
        <v>0</v>
      </c>
      <c r="AC58" s="496">
        <v>0</v>
      </c>
      <c r="AD58" s="496">
        <v>0</v>
      </c>
      <c r="AE58" s="496">
        <v>0</v>
      </c>
      <c r="AF58" s="496">
        <v>0</v>
      </c>
      <c r="AG58" s="496">
        <v>0</v>
      </c>
    </row>
    <row r="59" spans="1:33" ht="12.75" x14ac:dyDescent="0.2">
      <c r="A59" s="491" t="s">
        <v>561</v>
      </c>
      <c r="B59" s="492">
        <v>10644</v>
      </c>
      <c r="C59" s="492">
        <v>12064.4219784784</v>
      </c>
      <c r="D59" s="478"/>
      <c r="E59" s="491" t="s">
        <v>561</v>
      </c>
      <c r="F59" s="493">
        <v>10644</v>
      </c>
      <c r="G59" s="494"/>
      <c r="H59" s="481"/>
      <c r="I59" s="491" t="str">
        <f t="shared" si="8"/>
        <v>Adjusted opening balance</v>
      </c>
      <c r="J59" s="492">
        <v>2969.734969355</v>
      </c>
      <c r="K59" s="492">
        <v>2495.4654074903001</v>
      </c>
      <c r="L59" s="492">
        <v>2501.9835914729001</v>
      </c>
      <c r="M59" s="493">
        <v>2676.1942401177998</v>
      </c>
      <c r="N59" s="492">
        <v>3132.8958989035</v>
      </c>
      <c r="O59" s="492">
        <v>3179.7004841978001</v>
      </c>
      <c r="P59" s="492">
        <v>2925.2664529244998</v>
      </c>
      <c r="Q59" s="492">
        <v>2826.5591424526001</v>
      </c>
      <c r="R59" s="492">
        <v>3121.6294955535</v>
      </c>
      <c r="S59" s="492">
        <v>3946.5945244221002</v>
      </c>
      <c r="T59" s="492">
        <v>3655.8140737458002</v>
      </c>
      <c r="U59" s="478"/>
      <c r="V59" s="491" t="str">
        <f t="shared" si="9"/>
        <v>Adjusted opening balance</v>
      </c>
      <c r="W59" s="492">
        <v>2969.734969355</v>
      </c>
      <c r="X59" s="492">
        <v>2495.4654074903001</v>
      </c>
      <c r="Y59" s="492">
        <v>2501.9835914729001</v>
      </c>
      <c r="Z59" s="493">
        <v>2676.1942401177998</v>
      </c>
      <c r="AA59" s="495">
        <v>3132.8958989035</v>
      </c>
      <c r="AB59" s="492">
        <v>3179.7004841978001</v>
      </c>
      <c r="AC59" s="492">
        <v>2925.2664529244998</v>
      </c>
      <c r="AD59" s="492">
        <v>2826.5591424526001</v>
      </c>
      <c r="AE59" s="492">
        <v>3121.6294955535</v>
      </c>
      <c r="AF59" s="492">
        <v>3946.5945244221002</v>
      </c>
      <c r="AG59" s="492">
        <v>3655.8140737458002</v>
      </c>
    </row>
    <row r="60" spans="1:33" ht="12.75" x14ac:dyDescent="0.2">
      <c r="A60" s="478" t="s">
        <v>562</v>
      </c>
      <c r="B60" s="481">
        <v>-465</v>
      </c>
      <c r="C60" s="481">
        <v>-1</v>
      </c>
      <c r="D60" s="478"/>
      <c r="E60" s="478" t="s">
        <v>562</v>
      </c>
      <c r="F60" s="498">
        <v>-5</v>
      </c>
      <c r="G60" s="499"/>
      <c r="H60" s="481"/>
      <c r="I60" s="478" t="str">
        <f t="shared" si="8"/>
        <v>Organic</v>
      </c>
      <c r="J60" s="481">
        <v>-298.73529315010001</v>
      </c>
      <c r="K60" s="481">
        <v>-24.189693546200001</v>
      </c>
      <c r="L60" s="481">
        <v>27.626811909200001</v>
      </c>
      <c r="M60" s="498">
        <v>-169.06628040960001</v>
      </c>
      <c r="N60" s="481">
        <v>-44</v>
      </c>
      <c r="O60" s="481">
        <v>-210.8173234267</v>
      </c>
      <c r="P60" s="481">
        <v>19.9856528758</v>
      </c>
      <c r="Q60" s="481">
        <v>81.941672140400001</v>
      </c>
      <c r="R60" s="481">
        <v>51.424753590599998</v>
      </c>
      <c r="S60" s="481">
        <v>66.444471934700005</v>
      </c>
      <c r="T60" s="481">
        <v>277.50901920680002</v>
      </c>
      <c r="U60" s="478"/>
      <c r="V60" s="478" t="str">
        <f t="shared" si="9"/>
        <v>Organic</v>
      </c>
      <c r="W60" s="481">
        <v>-11</v>
      </c>
      <c r="X60" s="481">
        <v>-1</v>
      </c>
      <c r="Y60" s="481">
        <v>2</v>
      </c>
      <c r="Z60" s="498">
        <v>-6</v>
      </c>
      <c r="AA60" s="503">
        <v>-1</v>
      </c>
      <c r="AB60" s="481">
        <v>-6</v>
      </c>
      <c r="AC60" s="481">
        <v>0</v>
      </c>
      <c r="AD60" s="481">
        <v>3</v>
      </c>
      <c r="AE60" s="481">
        <v>2</v>
      </c>
      <c r="AF60" s="481">
        <v>2</v>
      </c>
      <c r="AG60" s="481">
        <v>8</v>
      </c>
    </row>
    <row r="61" spans="1:33" ht="12.75" x14ac:dyDescent="0.2">
      <c r="A61" s="478" t="s">
        <v>563</v>
      </c>
      <c r="B61" s="481">
        <v>200.86015664820002</v>
      </c>
      <c r="C61" s="481">
        <v>-1.2788937161758633</v>
      </c>
      <c r="D61" s="478"/>
      <c r="E61" s="478" t="s">
        <v>563</v>
      </c>
      <c r="F61" s="498">
        <v>1.8871842446507932</v>
      </c>
      <c r="G61" s="499"/>
      <c r="H61" s="481"/>
      <c r="I61" s="478" t="str">
        <f t="shared" si="8"/>
        <v>Currency</v>
      </c>
      <c r="J61" s="481">
        <v>147.35628092650001</v>
      </c>
      <c r="K61" s="481">
        <v>73.725467431200002</v>
      </c>
      <c r="L61" s="481">
        <v>12.2540291576</v>
      </c>
      <c r="M61" s="498">
        <v>-32.475620867099998</v>
      </c>
      <c r="N61" s="481">
        <v>-71.8112128466</v>
      </c>
      <c r="O61" s="481">
        <v>-19.604066237400001</v>
      </c>
      <c r="P61" s="481">
        <v>-100.0442975304</v>
      </c>
      <c r="Q61" s="481">
        <v>37.1684420387</v>
      </c>
      <c r="R61" s="481">
        <v>-4.9308608699999999E-2</v>
      </c>
      <c r="S61" s="481">
        <v>-351.43726981600003</v>
      </c>
      <c r="T61" s="481">
        <v>-295.46691140180002</v>
      </c>
      <c r="U61" s="478"/>
      <c r="V61" s="478" t="str">
        <f t="shared" si="9"/>
        <v>Currency</v>
      </c>
      <c r="W61" s="481">
        <v>4.9619337229444582</v>
      </c>
      <c r="X61" s="481">
        <v>2.9543774564018506</v>
      </c>
      <c r="Y61" s="481">
        <v>0.48977256283228221</v>
      </c>
      <c r="Z61" s="498">
        <v>-1.2135001406202299</v>
      </c>
      <c r="AA61" s="503">
        <v>-2.2921672204854819</v>
      </c>
      <c r="AB61" s="481">
        <v>-0.61653814045777555</v>
      </c>
      <c r="AC61" s="481">
        <v>-3.4200063187536962</v>
      </c>
      <c r="AD61" s="481">
        <v>1.3149713190309902</v>
      </c>
      <c r="AE61" s="481">
        <v>-1.5795791515372335E-3</v>
      </c>
      <c r="AF61" s="481">
        <v>-8.8946880061716591</v>
      </c>
      <c r="AG61" s="481">
        <v>-8.0821099060724482</v>
      </c>
    </row>
    <row r="62" spans="1:33" ht="12.75" x14ac:dyDescent="0.2">
      <c r="A62" s="504" t="s">
        <v>564</v>
      </c>
      <c r="B62" s="505">
        <v>1684.0480685910002</v>
      </c>
      <c r="C62" s="505">
        <v>24.088150478763552</v>
      </c>
      <c r="D62" s="478"/>
      <c r="E62" s="504" t="s">
        <v>564</v>
      </c>
      <c r="F62" s="506">
        <v>15.822495786687488</v>
      </c>
      <c r="G62" s="499"/>
      <c r="H62" s="481"/>
      <c r="I62" s="504" t="str">
        <f t="shared" si="8"/>
        <v>Structure</v>
      </c>
      <c r="J62" s="505">
        <v>314.5399417722</v>
      </c>
      <c r="K62" s="505">
        <v>635.19930282220002</v>
      </c>
      <c r="L62" s="505">
        <v>382.40202038500001</v>
      </c>
      <c r="M62" s="506">
        <v>351.90680361159997</v>
      </c>
      <c r="N62" s="505">
        <v>105.09116846220002</v>
      </c>
      <c r="O62" s="505">
        <v>997.31542988829995</v>
      </c>
      <c r="P62" s="505">
        <v>811.60626547590005</v>
      </c>
      <c r="Q62" s="505">
        <v>992.0832567425</v>
      </c>
      <c r="R62" s="505">
        <v>1014.0394455435001</v>
      </c>
      <c r="S62" s="505">
        <v>81.4868055309</v>
      </c>
      <c r="T62" s="505">
        <v>38.485565435399998</v>
      </c>
      <c r="U62" s="478"/>
      <c r="V62" s="504" t="str">
        <f t="shared" si="9"/>
        <v>Structure</v>
      </c>
      <c r="W62" s="505">
        <v>10.591515573543429</v>
      </c>
      <c r="X62" s="505">
        <v>25.454141777145395</v>
      </c>
      <c r="Y62" s="505">
        <v>15.283953967095471</v>
      </c>
      <c r="Z62" s="506">
        <v>13.149523989563248</v>
      </c>
      <c r="AA62" s="507">
        <v>3.3544417642150659</v>
      </c>
      <c r="AB62" s="505">
        <v>31.365074630288976</v>
      </c>
      <c r="AC62" s="505">
        <v>27.744695347820585</v>
      </c>
      <c r="AD62" s="505">
        <v>35.098620150635561</v>
      </c>
      <c r="AE62" s="505">
        <v>32.484298568677495</v>
      </c>
      <c r="AF62" s="505">
        <v>2.0596695461843226</v>
      </c>
      <c r="AG62" s="505">
        <v>1.0527221751178153</v>
      </c>
    </row>
    <row r="63" spans="1:33" ht="12.75" x14ac:dyDescent="0.2">
      <c r="A63" s="478" t="s">
        <v>477</v>
      </c>
      <c r="B63" s="481">
        <v>1420</v>
      </c>
      <c r="C63" s="481">
        <v>22</v>
      </c>
      <c r="D63" s="478"/>
      <c r="E63" s="478" t="s">
        <v>477</v>
      </c>
      <c r="F63" s="498">
        <v>13</v>
      </c>
      <c r="G63" s="499"/>
      <c r="H63" s="481"/>
      <c r="I63" s="478" t="str">
        <f t="shared" si="8"/>
        <v>Total</v>
      </c>
      <c r="J63" s="481">
        <v>163.1609295486</v>
      </c>
      <c r="K63" s="481">
        <v>684.73507670720005</v>
      </c>
      <c r="L63" s="481">
        <v>422.28286145180004</v>
      </c>
      <c r="M63" s="498">
        <v>150.76490233489997</v>
      </c>
      <c r="N63" s="481">
        <v>-11.266403349799987</v>
      </c>
      <c r="O63" s="481">
        <v>766.8940402241999</v>
      </c>
      <c r="P63" s="481">
        <v>731.54762082130003</v>
      </c>
      <c r="Q63" s="481">
        <v>1111.1933709216</v>
      </c>
      <c r="R63" s="481">
        <v>1065.4148905254001</v>
      </c>
      <c r="S63" s="481">
        <v>-203.50599235039999</v>
      </c>
      <c r="T63" s="481">
        <v>20.527673240399999</v>
      </c>
      <c r="U63" s="478"/>
      <c r="V63" s="478" t="str">
        <f t="shared" si="9"/>
        <v>Total</v>
      </c>
      <c r="W63" s="481">
        <v>5</v>
      </c>
      <c r="X63" s="481">
        <v>27</v>
      </c>
      <c r="Y63" s="481">
        <v>17</v>
      </c>
      <c r="Z63" s="498">
        <v>6</v>
      </c>
      <c r="AA63" s="503">
        <v>0</v>
      </c>
      <c r="AB63" s="481">
        <v>24</v>
      </c>
      <c r="AC63" s="481">
        <v>25</v>
      </c>
      <c r="AD63" s="481">
        <v>39</v>
      </c>
      <c r="AE63" s="481">
        <v>34</v>
      </c>
      <c r="AF63" s="481">
        <v>-5</v>
      </c>
      <c r="AG63" s="481">
        <v>1</v>
      </c>
    </row>
    <row r="64" spans="1:33" ht="12.75" x14ac:dyDescent="0.2">
      <c r="A64" s="491" t="s">
        <v>565</v>
      </c>
      <c r="B64" s="492">
        <v>12064.3219784785</v>
      </c>
      <c r="C64" s="492">
        <v>14662.7906070957</v>
      </c>
      <c r="D64" s="478"/>
      <c r="E64" s="491" t="s">
        <v>565</v>
      </c>
      <c r="F64" s="493">
        <v>12064.3219784785</v>
      </c>
      <c r="G64" s="494"/>
      <c r="H64" s="481"/>
      <c r="I64" s="491" t="str">
        <f t="shared" si="8"/>
        <v>Operational closing balance</v>
      </c>
      <c r="J64" s="492">
        <v>3132.8958989036</v>
      </c>
      <c r="K64" s="492">
        <v>3180.2004841975004</v>
      </c>
      <c r="L64" s="492">
        <v>2924.2664529247004</v>
      </c>
      <c r="M64" s="493">
        <v>2826.9591424526998</v>
      </c>
      <c r="N64" s="492">
        <v>3121.6294955537001</v>
      </c>
      <c r="O64" s="492">
        <v>3946.5945244220002</v>
      </c>
      <c r="P64" s="492">
        <v>3656.8140737457998</v>
      </c>
      <c r="Q64" s="492">
        <v>3937.7525133742001</v>
      </c>
      <c r="R64" s="492">
        <v>4187.0443860789001</v>
      </c>
      <c r="S64" s="492">
        <v>3743.1885320717001</v>
      </c>
      <c r="T64" s="492">
        <v>3677.3417469862002</v>
      </c>
      <c r="U64" s="478"/>
      <c r="V64" s="491" t="str">
        <f t="shared" si="9"/>
        <v>Operational closing balance</v>
      </c>
      <c r="W64" s="492">
        <v>3132.8958989036</v>
      </c>
      <c r="X64" s="492">
        <v>3180.2004841975004</v>
      </c>
      <c r="Y64" s="492">
        <v>2924.2664529247004</v>
      </c>
      <c r="Z64" s="493">
        <v>2826.9591424526998</v>
      </c>
      <c r="AA64" s="495">
        <v>3121.6294955537001</v>
      </c>
      <c r="AB64" s="492">
        <v>3946.5945244220002</v>
      </c>
      <c r="AC64" s="492">
        <v>3656.8140737457998</v>
      </c>
      <c r="AD64" s="492">
        <v>3937.7525133742001</v>
      </c>
      <c r="AE64" s="492">
        <v>4187.0443860789001</v>
      </c>
      <c r="AF64" s="492">
        <v>3743.1885320717001</v>
      </c>
      <c r="AG64" s="492">
        <v>3677.3417469862002</v>
      </c>
    </row>
    <row r="65" spans="1:33" ht="12.75" x14ac:dyDescent="0.2">
      <c r="A65" s="478" t="s">
        <v>560</v>
      </c>
      <c r="B65" s="481">
        <v>402</v>
      </c>
      <c r="C65" s="481">
        <v>0</v>
      </c>
      <c r="D65" s="478"/>
      <c r="E65" s="478" t="s">
        <v>560</v>
      </c>
      <c r="F65" s="498">
        <v>3.7676509496904163</v>
      </c>
      <c r="G65" s="499"/>
      <c r="H65" s="481"/>
      <c r="I65" s="478" t="str">
        <f t="shared" si="8"/>
        <v>Adjustment OOH</v>
      </c>
      <c r="J65" s="481">
        <v>402</v>
      </c>
      <c r="K65" s="481">
        <v>0</v>
      </c>
      <c r="L65" s="481">
        <v>0</v>
      </c>
      <c r="M65" s="498">
        <v>0</v>
      </c>
      <c r="N65" s="481">
        <v>0</v>
      </c>
      <c r="O65" s="481">
        <v>0</v>
      </c>
      <c r="P65" s="481">
        <v>0</v>
      </c>
      <c r="Q65" s="481">
        <v>0</v>
      </c>
      <c r="R65" s="481">
        <v>0</v>
      </c>
      <c r="S65" s="481">
        <v>0</v>
      </c>
      <c r="T65" s="481">
        <v>0</v>
      </c>
      <c r="U65" s="478"/>
      <c r="V65" s="478" t="str">
        <f t="shared" si="9"/>
        <v>Adjustment OOH</v>
      </c>
      <c r="W65" s="481">
        <v>13.536561482700622</v>
      </c>
      <c r="X65" s="481">
        <v>0</v>
      </c>
      <c r="Y65" s="481">
        <v>0</v>
      </c>
      <c r="Z65" s="498">
        <v>0</v>
      </c>
      <c r="AA65" s="503">
        <v>0</v>
      </c>
      <c r="AB65" s="481">
        <v>0</v>
      </c>
      <c r="AC65" s="481">
        <v>0</v>
      </c>
      <c r="AD65" s="481">
        <v>0</v>
      </c>
      <c r="AE65" s="481">
        <v>0</v>
      </c>
      <c r="AF65" s="481">
        <v>0</v>
      </c>
      <c r="AG65" s="481">
        <v>0</v>
      </c>
    </row>
    <row r="66" spans="1:33" ht="12.75" x14ac:dyDescent="0.2">
      <c r="A66" s="508" t="s">
        <v>566</v>
      </c>
      <c r="B66" s="509">
        <v>12466</v>
      </c>
      <c r="C66" s="509">
        <v>14662.7906070957</v>
      </c>
      <c r="D66" s="478"/>
      <c r="E66" s="508" t="s">
        <v>566</v>
      </c>
      <c r="F66" s="510">
        <v>12466</v>
      </c>
      <c r="G66" s="494"/>
      <c r="H66" s="481"/>
      <c r="I66" s="508" t="str">
        <f t="shared" si="8"/>
        <v>Reported closing balance</v>
      </c>
      <c r="J66" s="509">
        <v>3534.8958989036</v>
      </c>
      <c r="K66" s="509">
        <v>3179.7004841974999</v>
      </c>
      <c r="L66" s="509">
        <v>2924.2664529246999</v>
      </c>
      <c r="M66" s="510">
        <v>2826.5591424527001</v>
      </c>
      <c r="N66" s="509">
        <v>3121.6294955537001</v>
      </c>
      <c r="O66" s="509">
        <v>3946.5945244220002</v>
      </c>
      <c r="P66" s="509">
        <v>3656.8140737458002</v>
      </c>
      <c r="Q66" s="509">
        <v>3937.7525133742001</v>
      </c>
      <c r="R66" s="509">
        <v>4187.0443860789001</v>
      </c>
      <c r="S66" s="509">
        <v>3743.1885320717001</v>
      </c>
      <c r="T66" s="509">
        <v>3676.5417469862</v>
      </c>
      <c r="U66" s="478"/>
      <c r="V66" s="508" t="str">
        <f t="shared" si="9"/>
        <v>Reported closing balance</v>
      </c>
      <c r="W66" s="509">
        <v>3534.8958989036</v>
      </c>
      <c r="X66" s="509">
        <v>3179.7004841974999</v>
      </c>
      <c r="Y66" s="509">
        <v>2924.2664529246999</v>
      </c>
      <c r="Z66" s="510">
        <v>2826.5591424527001</v>
      </c>
      <c r="AA66" s="511">
        <v>3121.6294955537001</v>
      </c>
      <c r="AB66" s="509">
        <v>3946.5945244220002</v>
      </c>
      <c r="AC66" s="509">
        <v>3656.8140737458002</v>
      </c>
      <c r="AD66" s="509">
        <v>3937.7525133742001</v>
      </c>
      <c r="AE66" s="509">
        <v>4187.0443860789001</v>
      </c>
      <c r="AF66" s="509">
        <v>3743.1885320717001</v>
      </c>
      <c r="AG66" s="509">
        <v>3676.5417469862</v>
      </c>
    </row>
    <row r="67" spans="1:33" ht="12.75" x14ac:dyDescent="0.2">
      <c r="A67" s="478"/>
      <c r="B67" s="478"/>
      <c r="C67" s="478"/>
      <c r="D67" s="478"/>
      <c r="E67" s="478"/>
      <c r="F67" s="512"/>
      <c r="G67" s="513"/>
      <c r="H67" s="481"/>
      <c r="I67" s="478"/>
      <c r="J67" s="478"/>
      <c r="K67" s="478"/>
      <c r="L67" s="478"/>
      <c r="M67" s="512"/>
      <c r="N67" s="478"/>
      <c r="O67" s="478"/>
      <c r="P67" s="478"/>
      <c r="Q67" s="478"/>
      <c r="R67" s="478"/>
      <c r="S67" s="478"/>
      <c r="T67" s="478"/>
      <c r="U67" s="478"/>
      <c r="V67" s="478"/>
      <c r="W67" s="478"/>
      <c r="X67" s="478"/>
      <c r="Y67" s="478"/>
      <c r="Z67" s="478"/>
      <c r="AA67" s="478"/>
      <c r="AB67" s="478"/>
      <c r="AC67" s="478"/>
      <c r="AD67" s="478"/>
      <c r="AE67" s="478"/>
      <c r="AF67" s="478"/>
    </row>
    <row r="68" spans="1:33" ht="12.75" x14ac:dyDescent="0.2">
      <c r="A68" s="520" t="s">
        <v>508</v>
      </c>
      <c r="B68" s="520"/>
      <c r="C68" s="520"/>
      <c r="D68" s="478"/>
      <c r="E68" s="520" t="s">
        <v>508</v>
      </c>
      <c r="F68" s="521"/>
      <c r="G68" s="487"/>
      <c r="H68" s="481"/>
      <c r="I68" s="520" t="str">
        <f t="shared" ref="I68:I77" si="10">A68</f>
        <v xml:space="preserve">Revenues </v>
      </c>
      <c r="J68" s="520"/>
      <c r="K68" s="520"/>
      <c r="L68" s="520"/>
      <c r="M68" s="521"/>
      <c r="N68" s="520"/>
      <c r="O68" s="520"/>
      <c r="P68" s="520"/>
      <c r="Q68" s="520"/>
      <c r="R68" s="520"/>
      <c r="S68" s="520"/>
      <c r="T68" s="520"/>
      <c r="U68" s="478"/>
      <c r="V68" s="520" t="str">
        <f>E68</f>
        <v xml:space="preserve">Revenues </v>
      </c>
      <c r="W68" s="520"/>
      <c r="X68" s="520"/>
      <c r="Y68" s="520"/>
      <c r="Z68" s="521"/>
      <c r="AA68" s="522"/>
      <c r="AB68" s="520"/>
      <c r="AC68" s="520"/>
      <c r="AD68" s="520"/>
      <c r="AE68" s="520"/>
      <c r="AF68" s="520"/>
      <c r="AG68" s="520"/>
    </row>
    <row r="69" spans="1:33" ht="12.75" x14ac:dyDescent="0.2">
      <c r="A69" s="322" t="s">
        <v>301</v>
      </c>
      <c r="B69" s="322">
        <v>2023</v>
      </c>
      <c r="C69" s="322">
        <v>2024</v>
      </c>
      <c r="D69" s="478"/>
      <c r="E69" s="322" t="s">
        <v>301</v>
      </c>
      <c r="F69" s="489">
        <v>2023</v>
      </c>
      <c r="G69" s="487"/>
      <c r="H69" s="481"/>
      <c r="I69" s="322" t="str">
        <f t="shared" si="10"/>
        <v>Epiroc Group</v>
      </c>
      <c r="J69" s="322" t="s">
        <v>151</v>
      </c>
      <c r="K69" s="322" t="s">
        <v>152</v>
      </c>
      <c r="L69" s="322" t="s">
        <v>153</v>
      </c>
      <c r="M69" s="489" t="s">
        <v>154</v>
      </c>
      <c r="N69" s="322" t="s">
        <v>155</v>
      </c>
      <c r="O69" s="322" t="s">
        <v>156</v>
      </c>
      <c r="P69" s="322" t="s">
        <v>157</v>
      </c>
      <c r="Q69" s="322" t="s">
        <v>158</v>
      </c>
      <c r="R69" s="322" t="s">
        <v>159</v>
      </c>
      <c r="S69" s="322" t="s">
        <v>160</v>
      </c>
      <c r="T69" s="322" t="s">
        <v>161</v>
      </c>
      <c r="U69" s="478"/>
      <c r="V69" s="322" t="str">
        <f>E69</f>
        <v>Epiroc Group</v>
      </c>
      <c r="W69" s="322" t="s">
        <v>151</v>
      </c>
      <c r="X69" s="322" t="s">
        <v>152</v>
      </c>
      <c r="Y69" s="322" t="s">
        <v>153</v>
      </c>
      <c r="Z69" s="489" t="s">
        <v>154</v>
      </c>
      <c r="AA69" s="490" t="s">
        <v>155</v>
      </c>
      <c r="AB69" s="322" t="s">
        <v>156</v>
      </c>
      <c r="AC69" s="322" t="s">
        <v>157</v>
      </c>
      <c r="AD69" s="322" t="s">
        <v>158</v>
      </c>
      <c r="AE69" s="322" t="s">
        <v>159</v>
      </c>
      <c r="AF69" s="322" t="s">
        <v>160</v>
      </c>
      <c r="AG69" s="322" t="s">
        <v>161</v>
      </c>
    </row>
    <row r="70" spans="1:33" ht="12.75" x14ac:dyDescent="0.2">
      <c r="A70" s="491" t="s">
        <v>559</v>
      </c>
      <c r="B70" s="492">
        <v>49694.312044024307</v>
      </c>
      <c r="C70" s="492">
        <v>60343.2371848154</v>
      </c>
      <c r="D70" s="478"/>
      <c r="E70" s="491" t="s">
        <v>559</v>
      </c>
      <c r="F70" s="493">
        <v>49694.312044024307</v>
      </c>
      <c r="G70" s="494"/>
      <c r="H70" s="481"/>
      <c r="I70" s="491" t="str">
        <f t="shared" si="10"/>
        <v>Reported opening balance</v>
      </c>
      <c r="J70" s="492">
        <v>11088.396492030701</v>
      </c>
      <c r="K70" s="492">
        <v>11867.7694568323</v>
      </c>
      <c r="L70" s="492">
        <v>12801.843484840099</v>
      </c>
      <c r="M70" s="493">
        <v>13936.3026103212</v>
      </c>
      <c r="N70" s="492">
        <v>13867.5831329346</v>
      </c>
      <c r="O70" s="492">
        <v>15909.9330569741</v>
      </c>
      <c r="P70" s="492">
        <v>14997.0684506008</v>
      </c>
      <c r="Q70" s="492">
        <v>15567.6525443059</v>
      </c>
      <c r="R70" s="492">
        <v>14142.8285693899</v>
      </c>
      <c r="S70" s="492">
        <v>16510.755905984301</v>
      </c>
      <c r="T70" s="492">
        <v>15699.4400964909</v>
      </c>
      <c r="U70" s="478"/>
      <c r="V70" s="491" t="str">
        <f>E70</f>
        <v>Reported opening balance</v>
      </c>
      <c r="W70" s="492">
        <v>11088.396492030701</v>
      </c>
      <c r="X70" s="492">
        <v>11867.7694568323</v>
      </c>
      <c r="Y70" s="492">
        <v>12801.843484840099</v>
      </c>
      <c r="Z70" s="493">
        <v>13936.3026103212</v>
      </c>
      <c r="AA70" s="495">
        <v>13867.5831329346</v>
      </c>
      <c r="AB70" s="492">
        <v>15909.9330569741</v>
      </c>
      <c r="AC70" s="492">
        <v>14997.0684506008</v>
      </c>
      <c r="AD70" s="492">
        <v>15567.6525443059</v>
      </c>
      <c r="AE70" s="492">
        <v>14142.8285693899</v>
      </c>
      <c r="AF70" s="492">
        <v>16510.755905984301</v>
      </c>
      <c r="AG70" s="492">
        <v>15699.4400964909</v>
      </c>
    </row>
    <row r="71" spans="1:33" ht="12.75" x14ac:dyDescent="0.2">
      <c r="A71" s="478" t="s">
        <v>567</v>
      </c>
      <c r="B71" s="496">
        <v>0</v>
      </c>
      <c r="C71" s="496">
        <v>0</v>
      </c>
      <c r="D71" s="478"/>
      <c r="E71" s="478" t="s">
        <v>567</v>
      </c>
      <c r="F71" s="498">
        <v>0</v>
      </c>
      <c r="G71" s="499"/>
      <c r="H71" s="481"/>
      <c r="I71" s="478" t="str">
        <f t="shared" si="10"/>
        <v>Adjustment</v>
      </c>
      <c r="J71" s="496">
        <v>0</v>
      </c>
      <c r="K71" s="496">
        <v>0</v>
      </c>
      <c r="L71" s="496">
        <v>0</v>
      </c>
      <c r="M71" s="500">
        <v>0</v>
      </c>
      <c r="N71" s="496">
        <v>0</v>
      </c>
      <c r="O71" s="496">
        <v>0</v>
      </c>
      <c r="P71" s="496">
        <v>0</v>
      </c>
      <c r="Q71" s="496">
        <v>0</v>
      </c>
      <c r="R71" s="496">
        <v>0</v>
      </c>
      <c r="S71" s="496">
        <v>0</v>
      </c>
      <c r="T71" s="496">
        <v>0</v>
      </c>
      <c r="U71" s="478"/>
      <c r="V71" s="478" t="s">
        <v>567</v>
      </c>
      <c r="W71" s="496">
        <v>0</v>
      </c>
      <c r="X71" s="496">
        <v>0</v>
      </c>
      <c r="Y71" s="496">
        <v>0</v>
      </c>
      <c r="Z71" s="500">
        <v>0</v>
      </c>
      <c r="AA71" s="514">
        <v>0</v>
      </c>
      <c r="AB71" s="496">
        <v>0</v>
      </c>
      <c r="AC71" s="496">
        <v>0</v>
      </c>
      <c r="AD71" s="496">
        <v>0</v>
      </c>
      <c r="AE71" s="496">
        <v>0</v>
      </c>
      <c r="AF71" s="496">
        <v>0</v>
      </c>
      <c r="AG71" s="496">
        <v>0</v>
      </c>
    </row>
    <row r="72" spans="1:33" ht="12.75" x14ac:dyDescent="0.2">
      <c r="A72" s="491" t="s">
        <v>561</v>
      </c>
      <c r="B72" s="492">
        <v>49694.312044024307</v>
      </c>
      <c r="C72" s="492">
        <v>60343.2371848154</v>
      </c>
      <c r="D72" s="478"/>
      <c r="E72" s="491" t="s">
        <v>561</v>
      </c>
      <c r="F72" s="493">
        <v>49694.312044024307</v>
      </c>
      <c r="G72" s="494"/>
      <c r="H72" s="481"/>
      <c r="I72" s="491" t="str">
        <f t="shared" si="10"/>
        <v>Adjusted opening balance</v>
      </c>
      <c r="J72" s="492">
        <v>11088.396492030701</v>
      </c>
      <c r="K72" s="492">
        <v>11867.7694568323</v>
      </c>
      <c r="L72" s="492">
        <v>12801.843484840099</v>
      </c>
      <c r="M72" s="493">
        <v>13936.3026103212</v>
      </c>
      <c r="N72" s="492">
        <v>13867.5831329346</v>
      </c>
      <c r="O72" s="492">
        <v>15909.9330569741</v>
      </c>
      <c r="P72" s="492">
        <v>14997.0684506008</v>
      </c>
      <c r="Q72" s="492">
        <v>15567.6525443059</v>
      </c>
      <c r="R72" s="492">
        <v>14142.8285693899</v>
      </c>
      <c r="S72" s="492">
        <v>16510.755905984301</v>
      </c>
      <c r="T72" s="492">
        <v>15699.4400964909</v>
      </c>
      <c r="U72" s="478"/>
      <c r="V72" s="491" t="str">
        <f t="shared" ref="V72:V77" si="11">E72</f>
        <v>Adjusted opening balance</v>
      </c>
      <c r="W72" s="492">
        <v>11088.396492030701</v>
      </c>
      <c r="X72" s="492">
        <v>11867.7694568323</v>
      </c>
      <c r="Y72" s="492">
        <v>12801.843484840099</v>
      </c>
      <c r="Z72" s="493">
        <v>13936.3026103212</v>
      </c>
      <c r="AA72" s="495">
        <v>13867.5831329346</v>
      </c>
      <c r="AB72" s="492">
        <v>15909.9330569741</v>
      </c>
      <c r="AC72" s="492">
        <v>14997.0684506008</v>
      </c>
      <c r="AD72" s="492">
        <v>15567.6525443059</v>
      </c>
      <c r="AE72" s="492">
        <v>14142.8285693899</v>
      </c>
      <c r="AF72" s="492">
        <v>16510.755905984301</v>
      </c>
      <c r="AG72" s="492">
        <v>15699.4400964909</v>
      </c>
    </row>
    <row r="73" spans="1:33" ht="12.75" x14ac:dyDescent="0.2">
      <c r="A73" s="478" t="s">
        <v>562</v>
      </c>
      <c r="B73" s="481">
        <v>4747</v>
      </c>
      <c r="C73" s="481">
        <v>2</v>
      </c>
      <c r="D73" s="478"/>
      <c r="E73" s="478" t="s">
        <v>562</v>
      </c>
      <c r="F73" s="498">
        <v>9</v>
      </c>
      <c r="G73" s="499"/>
      <c r="H73" s="481"/>
      <c r="I73" s="478" t="str">
        <f t="shared" si="10"/>
        <v>Organic</v>
      </c>
      <c r="J73" s="481">
        <v>959.60599567610006</v>
      </c>
      <c r="K73" s="481">
        <v>1990.8819275612</v>
      </c>
      <c r="L73" s="481">
        <v>824.48213145670002</v>
      </c>
      <c r="M73" s="498">
        <v>971.35541190469996</v>
      </c>
      <c r="N73" s="481">
        <v>437.7873828873</v>
      </c>
      <c r="O73" s="481">
        <v>-223.29308377859999</v>
      </c>
      <c r="P73" s="481">
        <v>384.22671732100002</v>
      </c>
      <c r="Q73" s="481">
        <v>669.80053356589997</v>
      </c>
      <c r="R73" s="481">
        <v>434.63272341010003</v>
      </c>
      <c r="S73" s="481">
        <v>-0.81910479560000005</v>
      </c>
      <c r="T73" s="481">
        <v>840.65223005590008</v>
      </c>
      <c r="U73" s="478"/>
      <c r="V73" s="478" t="str">
        <f t="shared" si="11"/>
        <v>Organic</v>
      </c>
      <c r="W73" s="481">
        <v>8</v>
      </c>
      <c r="X73" s="481">
        <v>17</v>
      </c>
      <c r="Y73" s="481">
        <v>7</v>
      </c>
      <c r="Z73" s="498">
        <v>8</v>
      </c>
      <c r="AA73" s="503">
        <v>3</v>
      </c>
      <c r="AB73" s="481">
        <v>-1</v>
      </c>
      <c r="AC73" s="481">
        <v>3</v>
      </c>
      <c r="AD73" s="481">
        <v>4</v>
      </c>
      <c r="AE73" s="481">
        <v>3</v>
      </c>
      <c r="AF73" s="481">
        <v>1</v>
      </c>
      <c r="AG73" s="481">
        <v>5</v>
      </c>
    </row>
    <row r="74" spans="1:33" ht="12.75" x14ac:dyDescent="0.2">
      <c r="A74" s="478" t="s">
        <v>563</v>
      </c>
      <c r="B74" s="481">
        <v>1482.4304642515001</v>
      </c>
      <c r="C74" s="481">
        <v>-1.7283348113588455</v>
      </c>
      <c r="D74" s="478"/>
      <c r="E74" s="478" t="s">
        <v>563</v>
      </c>
      <c r="F74" s="498">
        <v>2.9830988764633899</v>
      </c>
      <c r="G74" s="499"/>
      <c r="H74" s="481"/>
      <c r="I74" s="478" t="str">
        <f t="shared" si="10"/>
        <v>Currency</v>
      </c>
      <c r="J74" s="481">
        <v>756.23878696550003</v>
      </c>
      <c r="K74" s="481">
        <v>611.47373802239997</v>
      </c>
      <c r="L74" s="481">
        <v>186.7170932853</v>
      </c>
      <c r="M74" s="498">
        <v>-71.999154021699994</v>
      </c>
      <c r="N74" s="481">
        <v>-392.791041216</v>
      </c>
      <c r="O74" s="481">
        <v>-161.40865426880001</v>
      </c>
      <c r="P74" s="481">
        <v>-582.45530535119997</v>
      </c>
      <c r="Q74" s="481">
        <v>93.721826269999994</v>
      </c>
      <c r="R74" s="481">
        <v>-17.9791843454</v>
      </c>
      <c r="S74" s="481">
        <v>-1452.6655476011999</v>
      </c>
      <c r="T74" s="481">
        <v>-1324.3801902348</v>
      </c>
      <c r="U74" s="478"/>
      <c r="V74" s="478" t="str">
        <f t="shared" si="11"/>
        <v>Currency</v>
      </c>
      <c r="W74" s="481">
        <v>6.820091502941958</v>
      </c>
      <c r="X74" s="481">
        <v>5.1523897582150386</v>
      </c>
      <c r="Y74" s="481">
        <v>1.4585172323533697</v>
      </c>
      <c r="Z74" s="498">
        <v>-0.51663024286210291</v>
      </c>
      <c r="AA74" s="503">
        <v>-2.8324405013527345</v>
      </c>
      <c r="AB74" s="481">
        <v>-1.0145149806148728</v>
      </c>
      <c r="AC74" s="481">
        <v>-3.8837944046849113</v>
      </c>
      <c r="AD74" s="481">
        <v>0.60202927835950548</v>
      </c>
      <c r="AE74" s="481">
        <v>-0.12712580271469412</v>
      </c>
      <c r="AF74" s="481">
        <v>-8.7982982479601866</v>
      </c>
      <c r="AG74" s="481">
        <v>-8.4358434574416581</v>
      </c>
    </row>
    <row r="75" spans="1:33" ht="12.75" x14ac:dyDescent="0.2">
      <c r="A75" s="504" t="s">
        <v>564</v>
      </c>
      <c r="B75" s="505">
        <v>4420.3692099407999</v>
      </c>
      <c r="C75" s="505">
        <v>5.0325174558529788</v>
      </c>
      <c r="D75" s="478"/>
      <c r="E75" s="504" t="s">
        <v>564</v>
      </c>
      <c r="F75" s="506">
        <v>8.8951210473037321</v>
      </c>
      <c r="G75" s="499"/>
      <c r="H75" s="481"/>
      <c r="I75" s="504" t="str">
        <f t="shared" si="10"/>
        <v>Structure</v>
      </c>
      <c r="J75" s="505">
        <v>1064.0418582622999</v>
      </c>
      <c r="K75" s="505">
        <v>1439.8079345581</v>
      </c>
      <c r="L75" s="505">
        <v>1183.5257410189001</v>
      </c>
      <c r="M75" s="506">
        <v>732.9936761015</v>
      </c>
      <c r="N75" s="505">
        <v>230.24909478390001</v>
      </c>
      <c r="O75" s="505">
        <v>985.52458705749996</v>
      </c>
      <c r="P75" s="505">
        <v>901.0002339202</v>
      </c>
      <c r="Q75" s="505">
        <v>920.01002899100001</v>
      </c>
      <c r="R75" s="505">
        <v>976.62424782750008</v>
      </c>
      <c r="S75" s="505">
        <v>72.607350079599996</v>
      </c>
      <c r="T75" s="505">
        <v>26.298928545799999</v>
      </c>
      <c r="U75" s="478"/>
      <c r="V75" s="504" t="str">
        <f t="shared" si="11"/>
        <v>Structure</v>
      </c>
      <c r="W75" s="505">
        <v>9.5959939656471835</v>
      </c>
      <c r="X75" s="505">
        <v>12.132085475667877</v>
      </c>
      <c r="Y75" s="505">
        <v>9.2449633712552988</v>
      </c>
      <c r="Z75" s="506">
        <v>5.2595993112164932</v>
      </c>
      <c r="AA75" s="507">
        <v>1.6603404686796035</v>
      </c>
      <c r="AB75" s="505">
        <v>6.194398075267177</v>
      </c>
      <c r="AC75" s="505">
        <v>6.0078423785823611</v>
      </c>
      <c r="AD75" s="505">
        <v>5.9097543857214836</v>
      </c>
      <c r="AE75" s="505">
        <v>6.9054379259129357</v>
      </c>
      <c r="AF75" s="505">
        <v>0.43975787960915563</v>
      </c>
      <c r="AG75" s="505">
        <v>0.16751507304823102</v>
      </c>
    </row>
    <row r="76" spans="1:33" ht="12.75" x14ac:dyDescent="0.2">
      <c r="A76" s="478" t="s">
        <v>477</v>
      </c>
      <c r="B76" s="481">
        <v>10649.125140791</v>
      </c>
      <c r="C76" s="481">
        <v>5</v>
      </c>
      <c r="D76" s="478"/>
      <c r="E76" s="478" t="s">
        <v>477</v>
      </c>
      <c r="F76" s="498">
        <v>21</v>
      </c>
      <c r="G76" s="499"/>
      <c r="H76" s="481"/>
      <c r="I76" s="478" t="str">
        <f t="shared" si="10"/>
        <v>Total</v>
      </c>
      <c r="J76" s="481">
        <v>2779.8866409039001</v>
      </c>
      <c r="K76" s="481">
        <v>4042.1636001417</v>
      </c>
      <c r="L76" s="481">
        <v>2194.7249657609</v>
      </c>
      <c r="M76" s="498">
        <v>1632.3499339845</v>
      </c>
      <c r="N76" s="481">
        <v>275.24543645519998</v>
      </c>
      <c r="O76" s="481">
        <v>600.82284901009996</v>
      </c>
      <c r="P76" s="481">
        <v>702.77164589000006</v>
      </c>
      <c r="Q76" s="481">
        <v>1683.5323888268999</v>
      </c>
      <c r="R76" s="481">
        <v>1393.2777868922001</v>
      </c>
      <c r="S76" s="481">
        <v>-1380.8773023171998</v>
      </c>
      <c r="T76" s="481">
        <v>-457.42903163309995</v>
      </c>
      <c r="U76" s="478"/>
      <c r="V76" s="478" t="str">
        <f t="shared" si="11"/>
        <v>Total</v>
      </c>
      <c r="W76" s="481">
        <v>25</v>
      </c>
      <c r="X76" s="481">
        <v>34</v>
      </c>
      <c r="Y76" s="481">
        <v>17</v>
      </c>
      <c r="Z76" s="498">
        <v>12</v>
      </c>
      <c r="AA76" s="503">
        <v>2</v>
      </c>
      <c r="AB76" s="481">
        <v>4</v>
      </c>
      <c r="AC76" s="481">
        <v>5</v>
      </c>
      <c r="AD76" s="481">
        <v>11</v>
      </c>
      <c r="AE76" s="481">
        <v>10</v>
      </c>
      <c r="AF76" s="481">
        <v>-8</v>
      </c>
      <c r="AG76" s="481">
        <v>-3</v>
      </c>
    </row>
    <row r="77" spans="1:33" ht="12.75" x14ac:dyDescent="0.2">
      <c r="A77" s="491" t="s">
        <v>565</v>
      </c>
      <c r="B77" s="492">
        <v>60343.037184815308</v>
      </c>
      <c r="C77" s="492">
        <v>63603.609504997599</v>
      </c>
      <c r="D77" s="478"/>
      <c r="E77" s="491" t="s">
        <v>565</v>
      </c>
      <c r="F77" s="493">
        <v>60343.037184815308</v>
      </c>
      <c r="G77" s="494"/>
      <c r="H77" s="481"/>
      <c r="I77" s="491" t="str">
        <f t="shared" si="10"/>
        <v>Operational closing balance</v>
      </c>
      <c r="J77" s="492">
        <v>13868.283132934601</v>
      </c>
      <c r="K77" s="492">
        <v>15909.933056974001</v>
      </c>
      <c r="L77" s="492">
        <v>14996.568450601</v>
      </c>
      <c r="M77" s="493">
        <v>15568.2525443057</v>
      </c>
      <c r="N77" s="492">
        <v>14142.8285693898</v>
      </c>
      <c r="O77" s="492">
        <v>16510.755905984199</v>
      </c>
      <c r="P77" s="492">
        <v>15699.8400964908</v>
      </c>
      <c r="Q77" s="492">
        <v>17251.184933132801</v>
      </c>
      <c r="R77" s="492">
        <v>15536.1063562821</v>
      </c>
      <c r="S77" s="492">
        <v>15129.878603667101</v>
      </c>
      <c r="T77" s="492">
        <v>15242.011064857799</v>
      </c>
      <c r="U77" s="478"/>
      <c r="V77" s="491" t="str">
        <f t="shared" si="11"/>
        <v>Operational closing balance</v>
      </c>
      <c r="W77" s="492">
        <v>13868.283132934601</v>
      </c>
      <c r="X77" s="492">
        <v>15909.933056974001</v>
      </c>
      <c r="Y77" s="492">
        <v>14996.568450601</v>
      </c>
      <c r="Z77" s="493">
        <v>15568.2525443057</v>
      </c>
      <c r="AA77" s="495">
        <v>14142.8285693898</v>
      </c>
      <c r="AB77" s="492">
        <v>16510.755905984199</v>
      </c>
      <c r="AC77" s="492">
        <v>15699.8400964908</v>
      </c>
      <c r="AD77" s="492">
        <v>17251.184933132801</v>
      </c>
      <c r="AE77" s="492">
        <v>15536.1063562821</v>
      </c>
      <c r="AF77" s="492">
        <v>15129.878603667101</v>
      </c>
      <c r="AG77" s="492">
        <v>15242.011064857799</v>
      </c>
    </row>
    <row r="78" spans="1:33" ht="12.75" x14ac:dyDescent="0.2">
      <c r="A78" s="478" t="s">
        <v>567</v>
      </c>
      <c r="B78" s="481">
        <v>0</v>
      </c>
      <c r="C78" s="481">
        <v>0</v>
      </c>
      <c r="D78" s="478"/>
      <c r="E78" s="478" t="s">
        <v>567</v>
      </c>
      <c r="F78" s="498">
        <v>0</v>
      </c>
      <c r="G78" s="499"/>
      <c r="H78" s="481"/>
      <c r="I78" s="478" t="s">
        <v>567</v>
      </c>
      <c r="J78" s="481">
        <v>0</v>
      </c>
      <c r="K78" s="481">
        <v>0</v>
      </c>
      <c r="L78" s="481">
        <v>0</v>
      </c>
      <c r="M78" s="498">
        <v>0</v>
      </c>
      <c r="N78" s="481">
        <v>0</v>
      </c>
      <c r="O78" s="481">
        <v>0</v>
      </c>
      <c r="P78" s="481">
        <v>0</v>
      </c>
      <c r="Q78" s="481">
        <v>0</v>
      </c>
      <c r="R78" s="481">
        <v>0</v>
      </c>
      <c r="S78" s="481">
        <v>0</v>
      </c>
      <c r="T78" s="481">
        <v>0</v>
      </c>
      <c r="U78" s="478"/>
      <c r="V78" s="478" t="s">
        <v>567</v>
      </c>
      <c r="W78" s="481">
        <v>0</v>
      </c>
      <c r="X78" s="481">
        <v>0</v>
      </c>
      <c r="Y78" s="481">
        <v>0</v>
      </c>
      <c r="Z78" s="498">
        <v>0</v>
      </c>
      <c r="AA78" s="503">
        <v>0</v>
      </c>
      <c r="AB78" s="481">
        <v>0</v>
      </c>
      <c r="AC78" s="481">
        <v>0</v>
      </c>
      <c r="AD78" s="481">
        <v>0</v>
      </c>
      <c r="AE78" s="481">
        <v>0</v>
      </c>
      <c r="AF78" s="481">
        <v>0</v>
      </c>
      <c r="AG78" s="481">
        <v>0</v>
      </c>
    </row>
    <row r="79" spans="1:33" ht="12.75" x14ac:dyDescent="0.2">
      <c r="A79" s="508" t="s">
        <v>566</v>
      </c>
      <c r="B79" s="509">
        <v>60342.837184815304</v>
      </c>
      <c r="C79" s="509">
        <v>63603.609504997599</v>
      </c>
      <c r="D79" s="478"/>
      <c r="E79" s="508" t="s">
        <v>566</v>
      </c>
      <c r="F79" s="510">
        <v>60342.837184815304</v>
      </c>
      <c r="G79" s="494"/>
      <c r="H79" s="481"/>
      <c r="I79" s="508" t="str">
        <f>A79</f>
        <v>Reported closing balance</v>
      </c>
      <c r="J79" s="509">
        <v>13867.5831329346</v>
      </c>
      <c r="K79" s="509">
        <v>15909.933056974</v>
      </c>
      <c r="L79" s="509">
        <v>14997.068450601</v>
      </c>
      <c r="M79" s="510">
        <v>15568.2525443057</v>
      </c>
      <c r="N79" s="509">
        <v>14142.8285693898</v>
      </c>
      <c r="O79" s="509">
        <v>16510.755905984199</v>
      </c>
      <c r="P79" s="509">
        <v>15699.8400964908</v>
      </c>
      <c r="Q79" s="509">
        <v>17251.184933132801</v>
      </c>
      <c r="R79" s="509">
        <v>15536.1063562821</v>
      </c>
      <c r="S79" s="509">
        <v>15129.878603667101</v>
      </c>
      <c r="T79" s="509">
        <v>15242.3110648578</v>
      </c>
      <c r="U79" s="478"/>
      <c r="V79" s="508" t="str">
        <f>E79</f>
        <v>Reported closing balance</v>
      </c>
      <c r="W79" s="509">
        <v>13867.5831329346</v>
      </c>
      <c r="X79" s="509">
        <v>15909.933056974</v>
      </c>
      <c r="Y79" s="509">
        <v>14997.068450601</v>
      </c>
      <c r="Z79" s="510">
        <v>15568.2525443057</v>
      </c>
      <c r="AA79" s="511">
        <v>14142.8285693898</v>
      </c>
      <c r="AB79" s="509">
        <v>16510.755905984199</v>
      </c>
      <c r="AC79" s="509">
        <v>15699.8400964908</v>
      </c>
      <c r="AD79" s="509">
        <v>17251.184933132801</v>
      </c>
      <c r="AE79" s="509">
        <v>15536.1063562821</v>
      </c>
      <c r="AF79" s="509">
        <v>15129.878603667101</v>
      </c>
      <c r="AG79" s="509">
        <v>15242.3110648578</v>
      </c>
    </row>
    <row r="80" spans="1:33" ht="12.75" x14ac:dyDescent="0.2">
      <c r="A80" s="478"/>
      <c r="B80" s="478"/>
      <c r="C80" s="478"/>
      <c r="D80" s="478"/>
      <c r="E80" s="478"/>
      <c r="F80" s="512"/>
      <c r="G80" s="513"/>
      <c r="H80" s="481"/>
      <c r="I80" s="478"/>
      <c r="J80" s="478"/>
      <c r="K80" s="478"/>
      <c r="L80" s="478"/>
      <c r="M80" s="512"/>
      <c r="N80" s="478"/>
      <c r="O80" s="478"/>
      <c r="P80" s="478"/>
      <c r="Q80" s="478"/>
      <c r="R80" s="478"/>
      <c r="S80" s="478"/>
      <c r="T80" s="478"/>
      <c r="U80" s="478"/>
      <c r="V80" s="478"/>
      <c r="W80" s="478"/>
      <c r="X80" s="478"/>
      <c r="Y80" s="478"/>
      <c r="Z80" s="478"/>
      <c r="AA80" s="478"/>
      <c r="AB80" s="478"/>
      <c r="AC80" s="478"/>
      <c r="AD80" s="478"/>
      <c r="AE80" s="478"/>
      <c r="AF80" s="478"/>
    </row>
    <row r="81" spans="1:33" ht="12.75" x14ac:dyDescent="0.2">
      <c r="A81" s="520" t="s">
        <v>508</v>
      </c>
      <c r="B81" s="520"/>
      <c r="C81" s="520"/>
      <c r="D81" s="478"/>
      <c r="E81" s="520" t="s">
        <v>508</v>
      </c>
      <c r="F81" s="521"/>
      <c r="G81" s="487"/>
      <c r="H81" s="481"/>
      <c r="I81" s="520" t="str">
        <f>A81</f>
        <v xml:space="preserve">Revenues </v>
      </c>
      <c r="J81" s="520"/>
      <c r="K81" s="520"/>
      <c r="L81" s="520"/>
      <c r="M81" s="521"/>
      <c r="N81" s="520"/>
      <c r="O81" s="520"/>
      <c r="P81" s="520"/>
      <c r="Q81" s="520"/>
      <c r="R81" s="520"/>
      <c r="S81" s="520"/>
      <c r="T81" s="520"/>
      <c r="U81" s="478"/>
      <c r="V81" s="520" t="str">
        <f>E81</f>
        <v xml:space="preserve">Revenues </v>
      </c>
      <c r="W81" s="520"/>
      <c r="X81" s="520"/>
      <c r="Y81" s="520"/>
      <c r="Z81" s="521"/>
      <c r="AA81" s="522"/>
      <c r="AB81" s="520"/>
      <c r="AC81" s="520"/>
      <c r="AD81" s="520"/>
      <c r="AE81" s="520"/>
      <c r="AF81" s="520"/>
      <c r="AG81" s="520"/>
    </row>
    <row r="82" spans="1:33" ht="12.75" x14ac:dyDescent="0.2">
      <c r="A82" s="322" t="s">
        <v>493</v>
      </c>
      <c r="B82" s="322">
        <v>2023</v>
      </c>
      <c r="C82" s="322">
        <v>2024</v>
      </c>
      <c r="D82" s="478"/>
      <c r="E82" s="322" t="s">
        <v>493</v>
      </c>
      <c r="F82" s="489">
        <v>2023</v>
      </c>
      <c r="G82" s="487"/>
      <c r="H82" s="481"/>
      <c r="I82" s="322" t="str">
        <f>A82</f>
        <v>Equipment &amp; Services</v>
      </c>
      <c r="J82" s="322" t="s">
        <v>151</v>
      </c>
      <c r="K82" s="322" t="s">
        <v>152</v>
      </c>
      <c r="L82" s="322" t="s">
        <v>153</v>
      </c>
      <c r="M82" s="489" t="s">
        <v>154</v>
      </c>
      <c r="N82" s="322" t="s">
        <v>155</v>
      </c>
      <c r="O82" s="322" t="s">
        <v>156</v>
      </c>
      <c r="P82" s="322" t="s">
        <v>157</v>
      </c>
      <c r="Q82" s="322" t="s">
        <v>158</v>
      </c>
      <c r="R82" s="322" t="s">
        <v>159</v>
      </c>
      <c r="S82" s="322" t="s">
        <v>160</v>
      </c>
      <c r="T82" s="322" t="s">
        <v>161</v>
      </c>
      <c r="U82" s="478"/>
      <c r="V82" s="322" t="str">
        <f>E82</f>
        <v>Equipment &amp; Services</v>
      </c>
      <c r="W82" s="322" t="s">
        <v>151</v>
      </c>
      <c r="X82" s="322" t="s">
        <v>152</v>
      </c>
      <c r="Y82" s="322" t="s">
        <v>153</v>
      </c>
      <c r="Z82" s="489" t="s">
        <v>154</v>
      </c>
      <c r="AA82" s="490" t="s">
        <v>155</v>
      </c>
      <c r="AB82" s="322" t="s">
        <v>156</v>
      </c>
      <c r="AC82" s="322" t="s">
        <v>157</v>
      </c>
      <c r="AD82" s="322" t="s">
        <v>158</v>
      </c>
      <c r="AE82" s="322" t="s">
        <v>159</v>
      </c>
      <c r="AF82" s="322" t="s">
        <v>160</v>
      </c>
      <c r="AG82" s="322" t="s">
        <v>161</v>
      </c>
    </row>
    <row r="83" spans="1:33" ht="12.75" x14ac:dyDescent="0.2">
      <c r="A83" s="491" t="s">
        <v>559</v>
      </c>
      <c r="B83" s="492">
        <v>38903.659714152898</v>
      </c>
      <c r="C83" s="492">
        <v>47530.232350032296</v>
      </c>
      <c r="D83" s="478"/>
      <c r="E83" s="491" t="s">
        <v>559</v>
      </c>
      <c r="F83" s="493">
        <v>38903.659714152898</v>
      </c>
      <c r="G83" s="494"/>
      <c r="H83" s="481"/>
      <c r="I83" s="491" t="str">
        <f>A83</f>
        <v>Reported opening balance</v>
      </c>
      <c r="J83" s="492">
        <v>8485.0400528851005</v>
      </c>
      <c r="K83" s="492">
        <v>9059.9807295390001</v>
      </c>
      <c r="L83" s="492">
        <v>10069.6841372535</v>
      </c>
      <c r="M83" s="493">
        <v>11288.954794475299</v>
      </c>
      <c r="N83" s="492">
        <v>10733.1447077799</v>
      </c>
      <c r="O83" s="492">
        <v>12509.976531025301</v>
      </c>
      <c r="P83" s="492">
        <v>11729.224263104999</v>
      </c>
      <c r="Q83" s="492">
        <v>12557.8868481221</v>
      </c>
      <c r="R83" s="492">
        <v>11212.365580766</v>
      </c>
      <c r="S83" s="492">
        <v>12515.526100765101</v>
      </c>
      <c r="T83" s="492">
        <v>11875.4769268457</v>
      </c>
      <c r="U83" s="478"/>
      <c r="V83" s="491" t="str">
        <f>E83</f>
        <v>Reported opening balance</v>
      </c>
      <c r="W83" s="492">
        <v>8485.0400528851005</v>
      </c>
      <c r="X83" s="492">
        <v>9059.9807295390001</v>
      </c>
      <c r="Y83" s="492">
        <v>10069.6841372535</v>
      </c>
      <c r="Z83" s="493">
        <v>11288.954794475299</v>
      </c>
      <c r="AA83" s="495">
        <v>10733.1447077799</v>
      </c>
      <c r="AB83" s="492">
        <v>12509.976531025301</v>
      </c>
      <c r="AC83" s="492">
        <v>11729.224263104999</v>
      </c>
      <c r="AD83" s="492">
        <v>12557.8868481221</v>
      </c>
      <c r="AE83" s="492">
        <v>11212.365580766</v>
      </c>
      <c r="AF83" s="492">
        <v>12515.526100765101</v>
      </c>
      <c r="AG83" s="492">
        <v>11875.4769268457</v>
      </c>
    </row>
    <row r="84" spans="1:33" ht="12.75" x14ac:dyDescent="0.2">
      <c r="A84" s="478" t="s">
        <v>567</v>
      </c>
      <c r="B84" s="496">
        <v>0</v>
      </c>
      <c r="C84" s="496">
        <v>0</v>
      </c>
      <c r="D84" s="478"/>
      <c r="E84" s="478" t="s">
        <v>568</v>
      </c>
      <c r="F84" s="498">
        <v>0</v>
      </c>
      <c r="G84" s="499"/>
      <c r="H84" s="481"/>
      <c r="I84" s="478" t="s">
        <v>567</v>
      </c>
      <c r="J84" s="496">
        <v>0</v>
      </c>
      <c r="K84" s="496">
        <v>0</v>
      </c>
      <c r="L84" s="496">
        <v>0</v>
      </c>
      <c r="M84" s="500">
        <v>0</v>
      </c>
      <c r="N84" s="496">
        <v>0</v>
      </c>
      <c r="O84" s="496">
        <v>0</v>
      </c>
      <c r="P84" s="496">
        <v>0</v>
      </c>
      <c r="Q84" s="496">
        <v>0</v>
      </c>
      <c r="R84" s="496">
        <v>0</v>
      </c>
      <c r="S84" s="496">
        <v>0</v>
      </c>
      <c r="T84" s="496">
        <v>0</v>
      </c>
      <c r="U84" s="478"/>
      <c r="V84" s="478" t="s">
        <v>567</v>
      </c>
      <c r="W84" s="496">
        <v>0</v>
      </c>
      <c r="X84" s="496">
        <v>0</v>
      </c>
      <c r="Y84" s="496">
        <v>0</v>
      </c>
      <c r="Z84" s="500">
        <v>0</v>
      </c>
      <c r="AA84" s="514">
        <v>0</v>
      </c>
      <c r="AB84" s="496">
        <v>0</v>
      </c>
      <c r="AC84" s="496">
        <v>0</v>
      </c>
      <c r="AD84" s="496">
        <v>0</v>
      </c>
      <c r="AE84" s="496">
        <v>0</v>
      </c>
      <c r="AF84" s="496">
        <v>0</v>
      </c>
      <c r="AG84" s="496">
        <v>0</v>
      </c>
    </row>
    <row r="85" spans="1:33" ht="12.75" x14ac:dyDescent="0.2">
      <c r="A85" s="491" t="s">
        <v>561</v>
      </c>
      <c r="B85" s="492">
        <v>38903.659714152898</v>
      </c>
      <c r="C85" s="492">
        <v>47530.232350032296</v>
      </c>
      <c r="D85" s="478"/>
      <c r="E85" s="491" t="s">
        <v>561</v>
      </c>
      <c r="F85" s="493">
        <v>38903.659714152898</v>
      </c>
      <c r="G85" s="494"/>
      <c r="H85" s="481"/>
      <c r="I85" s="491" t="str">
        <f t="shared" ref="I85:I92" si="12">A85</f>
        <v>Adjusted opening balance</v>
      </c>
      <c r="J85" s="492">
        <v>8485.0400528851005</v>
      </c>
      <c r="K85" s="492">
        <v>9059.9807295390001</v>
      </c>
      <c r="L85" s="492">
        <v>10069.6841372535</v>
      </c>
      <c r="M85" s="493">
        <v>11288.954794475299</v>
      </c>
      <c r="N85" s="492">
        <v>10733.1447077799</v>
      </c>
      <c r="O85" s="492">
        <v>12509.976531025301</v>
      </c>
      <c r="P85" s="492">
        <v>11729.224263104999</v>
      </c>
      <c r="Q85" s="492">
        <v>12557.8868481221</v>
      </c>
      <c r="R85" s="492">
        <v>11212.365580766</v>
      </c>
      <c r="S85" s="492">
        <v>12515.526100765101</v>
      </c>
      <c r="T85" s="492">
        <v>11875.4769268457</v>
      </c>
      <c r="U85" s="478"/>
      <c r="V85" s="491" t="str">
        <f t="shared" ref="V85:V90" si="13">E85</f>
        <v>Adjusted opening balance</v>
      </c>
      <c r="W85" s="492">
        <v>8485.0400528851005</v>
      </c>
      <c r="X85" s="492">
        <v>9059.9807295390001</v>
      </c>
      <c r="Y85" s="492">
        <v>10069.6841372535</v>
      </c>
      <c r="Z85" s="493">
        <v>11288.954794475299</v>
      </c>
      <c r="AA85" s="495">
        <v>10733.1447077799</v>
      </c>
      <c r="AB85" s="492">
        <v>12509.976531025301</v>
      </c>
      <c r="AC85" s="492">
        <v>11729.224263104999</v>
      </c>
      <c r="AD85" s="492">
        <v>12557.8868481221</v>
      </c>
      <c r="AE85" s="492">
        <v>11212.365580766</v>
      </c>
      <c r="AF85" s="492">
        <v>12515.526100765101</v>
      </c>
      <c r="AG85" s="492">
        <v>11875.4769268457</v>
      </c>
    </row>
    <row r="86" spans="1:33" ht="12.75" x14ac:dyDescent="0.2">
      <c r="A86" s="478" t="s">
        <v>562</v>
      </c>
      <c r="B86" s="481">
        <v>4711</v>
      </c>
      <c r="C86" s="481">
        <v>5</v>
      </c>
      <c r="D86" s="478"/>
      <c r="E86" s="478" t="s">
        <v>562</v>
      </c>
      <c r="F86" s="498">
        <v>12</v>
      </c>
      <c r="G86" s="499"/>
      <c r="H86" s="481"/>
      <c r="I86" s="478" t="str">
        <f t="shared" si="12"/>
        <v>Organic</v>
      </c>
      <c r="J86" s="481">
        <v>880.46688210410002</v>
      </c>
      <c r="K86" s="481">
        <v>2033.4890719621999</v>
      </c>
      <c r="L86" s="481">
        <v>820.70020341990005</v>
      </c>
      <c r="M86" s="498">
        <v>975.57011813019994</v>
      </c>
      <c r="N86" s="481">
        <v>700.89773869160001</v>
      </c>
      <c r="O86" s="481">
        <v>128.69405315149999</v>
      </c>
      <c r="P86" s="481">
        <v>595.64917702119999</v>
      </c>
      <c r="Q86" s="481">
        <v>668.99228845549999</v>
      </c>
      <c r="R86" s="481">
        <v>484.43368677239999</v>
      </c>
      <c r="S86" s="481">
        <v>38.499359337900003</v>
      </c>
      <c r="T86" s="481">
        <v>665.58284346180005</v>
      </c>
      <c r="U86" s="478"/>
      <c r="V86" s="478" t="str">
        <f t="shared" si="13"/>
        <v>Organic</v>
      </c>
      <c r="W86" s="481">
        <v>10</v>
      </c>
      <c r="X86" s="481">
        <v>22</v>
      </c>
      <c r="Y86" s="481">
        <v>7</v>
      </c>
      <c r="Z86" s="498">
        <v>8</v>
      </c>
      <c r="AA86" s="503">
        <v>6</v>
      </c>
      <c r="AB86" s="481">
        <v>1</v>
      </c>
      <c r="AC86" s="481">
        <v>5</v>
      </c>
      <c r="AD86" s="481">
        <v>6</v>
      </c>
      <c r="AE86" s="481">
        <v>4.4443368677240001</v>
      </c>
      <c r="AF86" s="481">
        <v>1</v>
      </c>
      <c r="AG86" s="481">
        <v>6</v>
      </c>
    </row>
    <row r="87" spans="1:33" ht="12.75" x14ac:dyDescent="0.2">
      <c r="A87" s="478" t="s">
        <v>563</v>
      </c>
      <c r="B87" s="481">
        <v>1245.0817946023999</v>
      </c>
      <c r="C87" s="481">
        <v>-1.8766176490481512</v>
      </c>
      <c r="D87" s="478"/>
      <c r="E87" s="478" t="s">
        <v>563</v>
      </c>
      <c r="F87" s="498">
        <v>3.20042331171596</v>
      </c>
      <c r="G87" s="499"/>
      <c r="H87" s="481"/>
      <c r="I87" s="478" t="str">
        <f t="shared" si="12"/>
        <v>Currency</v>
      </c>
      <c r="J87" s="481">
        <v>607.7191944791</v>
      </c>
      <c r="K87" s="481">
        <v>517.72619009089999</v>
      </c>
      <c r="L87" s="481">
        <v>157.18374703649999</v>
      </c>
      <c r="M87" s="498">
        <v>-37.547337004100001</v>
      </c>
      <c r="N87" s="481">
        <v>-323.16262453299998</v>
      </c>
      <c r="O87" s="481">
        <v>-141.68469552689999</v>
      </c>
      <c r="P87" s="481">
        <v>-480.19960849850003</v>
      </c>
      <c r="Q87" s="481">
        <v>53.086199644099999</v>
      </c>
      <c r="R87" s="481">
        <v>-18.1434125253</v>
      </c>
      <c r="S87" s="481">
        <v>-1119.2314186942999</v>
      </c>
      <c r="T87" s="481">
        <v>-1027.8031305827001</v>
      </c>
      <c r="U87" s="478"/>
      <c r="V87" s="478" t="str">
        <f t="shared" si="13"/>
        <v>Currency</v>
      </c>
      <c r="W87" s="481">
        <v>7.1622430853754446</v>
      </c>
      <c r="X87" s="481">
        <v>5.714429263661839</v>
      </c>
      <c r="Y87" s="481">
        <v>1.5609600548937552</v>
      </c>
      <c r="Z87" s="498">
        <v>-0.33260242146133218</v>
      </c>
      <c r="AA87" s="503">
        <v>-3.0108848183026558</v>
      </c>
      <c r="AB87" s="481">
        <v>-1.1325736317371629</v>
      </c>
      <c r="AC87" s="481">
        <v>-4.0940440537828033</v>
      </c>
      <c r="AD87" s="481">
        <v>0.42273194754926846</v>
      </c>
      <c r="AE87" s="481">
        <v>-0.18143412525300001</v>
      </c>
      <c r="AF87" s="481">
        <v>-10</v>
      </c>
      <c r="AG87" s="481">
        <v>-8.6548366597323643</v>
      </c>
    </row>
    <row r="88" spans="1:33" ht="12.75" x14ac:dyDescent="0.2">
      <c r="A88" s="504" t="s">
        <v>564</v>
      </c>
      <c r="B88" s="505">
        <v>2670.0645656606002</v>
      </c>
      <c r="C88" s="505">
        <v>0.38233636540717764</v>
      </c>
      <c r="D88" s="478"/>
      <c r="E88" s="504" t="s">
        <v>564</v>
      </c>
      <c r="F88" s="506">
        <v>6.8632734947793299</v>
      </c>
      <c r="G88" s="499"/>
      <c r="H88" s="481"/>
      <c r="I88" s="504" t="str">
        <f t="shared" si="12"/>
        <v>Structure</v>
      </c>
      <c r="J88" s="505">
        <v>759.91857831159996</v>
      </c>
      <c r="K88" s="505">
        <v>898.58053943319999</v>
      </c>
      <c r="L88" s="505">
        <v>680.65617539519997</v>
      </c>
      <c r="M88" s="506">
        <v>330.90927252059998</v>
      </c>
      <c r="N88" s="505">
        <v>101.48575882740001</v>
      </c>
      <c r="O88" s="505">
        <v>18.540212115100001</v>
      </c>
      <c r="P88" s="505">
        <v>30.903095218099999</v>
      </c>
      <c r="Q88" s="505">
        <v>30.796296676099999</v>
      </c>
      <c r="R88" s="505">
        <v>25.068123790999998</v>
      </c>
      <c r="S88" s="505">
        <v>-4.0240000200000001E-2</v>
      </c>
      <c r="T88" s="505">
        <v>0.24340000019999999</v>
      </c>
      <c r="U88" s="478"/>
      <c r="V88" s="504" t="str">
        <f t="shared" si="13"/>
        <v>Structure</v>
      </c>
      <c r="W88" s="505">
        <v>8.9559810392787824</v>
      </c>
      <c r="X88" s="505">
        <v>9.9181285949481541</v>
      </c>
      <c r="Y88" s="505">
        <v>6.759459046754654</v>
      </c>
      <c r="Z88" s="506">
        <v>2.9312658128681996</v>
      </c>
      <c r="AA88" s="507">
        <v>0.94553610885203321</v>
      </c>
      <c r="AB88" s="505">
        <v>0.14820341244541463</v>
      </c>
      <c r="AC88" s="505">
        <v>0.26347092122117227</v>
      </c>
      <c r="AD88" s="505">
        <v>0.24523470428231531</v>
      </c>
      <c r="AE88" s="505">
        <v>0.25068123791000002</v>
      </c>
      <c r="AF88" s="505">
        <v>-3.2152064464585346E-4</v>
      </c>
      <c r="AG88" s="505">
        <v>2.0496018955648847E-3</v>
      </c>
    </row>
    <row r="89" spans="1:33" ht="12.75" x14ac:dyDescent="0.2">
      <c r="A89" s="478" t="s">
        <v>477</v>
      </c>
      <c r="B89" s="481">
        <v>8626</v>
      </c>
      <c r="C89" s="481">
        <v>3</v>
      </c>
      <c r="D89" s="478"/>
      <c r="E89" s="478" t="s">
        <v>477</v>
      </c>
      <c r="F89" s="498">
        <v>22</v>
      </c>
      <c r="G89" s="499"/>
      <c r="H89" s="481"/>
      <c r="I89" s="478" t="str">
        <f t="shared" si="12"/>
        <v>Total</v>
      </c>
      <c r="J89" s="481">
        <v>2248.1046548947998</v>
      </c>
      <c r="K89" s="481">
        <v>3449.7958014862998</v>
      </c>
      <c r="L89" s="481">
        <v>1658.5401258515999</v>
      </c>
      <c r="M89" s="498">
        <v>1268.9320536466998</v>
      </c>
      <c r="N89" s="481">
        <v>479.22087298600002</v>
      </c>
      <c r="O89" s="481">
        <v>5.5495697397000008</v>
      </c>
      <c r="P89" s="481">
        <v>146.35266374079995</v>
      </c>
      <c r="Q89" s="481">
        <v>752.87478477570005</v>
      </c>
      <c r="R89" s="481">
        <v>491.35839803810001</v>
      </c>
      <c r="S89" s="481">
        <v>-1080.7722993565999</v>
      </c>
      <c r="T89" s="481">
        <v>-361.97688712070004</v>
      </c>
      <c r="U89" s="478"/>
      <c r="V89" s="478" t="str">
        <f t="shared" si="13"/>
        <v>Total</v>
      </c>
      <c r="W89" s="481">
        <v>26</v>
      </c>
      <c r="X89" s="481">
        <v>38</v>
      </c>
      <c r="Y89" s="481">
        <v>16</v>
      </c>
      <c r="Z89" s="498">
        <v>11</v>
      </c>
      <c r="AA89" s="503">
        <v>4</v>
      </c>
      <c r="AB89" s="481">
        <v>0</v>
      </c>
      <c r="AC89" s="481">
        <v>1</v>
      </c>
      <c r="AD89" s="481">
        <v>6</v>
      </c>
      <c r="AE89" s="481">
        <v>4.9135839803810004</v>
      </c>
      <c r="AF89" s="481">
        <v>-9</v>
      </c>
      <c r="AG89" s="481">
        <v>-3</v>
      </c>
    </row>
    <row r="90" spans="1:33" ht="12.75" x14ac:dyDescent="0.2">
      <c r="A90" s="491" t="s">
        <v>565</v>
      </c>
      <c r="B90" s="492">
        <v>47530.032350032299</v>
      </c>
      <c r="C90" s="492">
        <v>48914.230241274505</v>
      </c>
      <c r="D90" s="478"/>
      <c r="E90" s="491" t="s">
        <v>565</v>
      </c>
      <c r="F90" s="493">
        <v>47530.032350032299</v>
      </c>
      <c r="G90" s="494"/>
      <c r="H90" s="481"/>
      <c r="I90" s="491" t="str">
        <f t="shared" si="12"/>
        <v>Operational closing balance</v>
      </c>
      <c r="J90" s="492">
        <v>10733.1447077799</v>
      </c>
      <c r="K90" s="492">
        <v>12509.7765310253</v>
      </c>
      <c r="L90" s="492">
        <v>11729.224263105099</v>
      </c>
      <c r="M90" s="493">
        <v>12557.886848122</v>
      </c>
      <c r="N90" s="492">
        <v>11212.3655807659</v>
      </c>
      <c r="O90" s="492">
        <v>12515.526100765001</v>
      </c>
      <c r="P90" s="492">
        <v>11875.576926845799</v>
      </c>
      <c r="Q90" s="492">
        <v>13310.7616328978</v>
      </c>
      <c r="R90" s="492">
        <v>11703.723978804101</v>
      </c>
      <c r="S90" s="492">
        <v>11434.7538014085</v>
      </c>
      <c r="T90" s="492">
        <v>11513.400039725</v>
      </c>
      <c r="U90" s="478"/>
      <c r="V90" s="491" t="str">
        <f t="shared" si="13"/>
        <v>Operational closing balance</v>
      </c>
      <c r="W90" s="492">
        <v>10733.1447077799</v>
      </c>
      <c r="X90" s="492">
        <v>12509.7765310253</v>
      </c>
      <c r="Y90" s="492">
        <v>11729.224263105099</v>
      </c>
      <c r="Z90" s="493">
        <v>12557.886848122</v>
      </c>
      <c r="AA90" s="495">
        <v>11212.3655807659</v>
      </c>
      <c r="AB90" s="492">
        <v>12515.526100765001</v>
      </c>
      <c r="AC90" s="492">
        <v>11875.576926845799</v>
      </c>
      <c r="AD90" s="492">
        <v>13310.7616328978</v>
      </c>
      <c r="AE90" s="492">
        <v>11703.723978804101</v>
      </c>
      <c r="AF90" s="492">
        <v>11434.7538014085</v>
      </c>
      <c r="AG90" s="492">
        <v>11513.400039725</v>
      </c>
    </row>
    <row r="91" spans="1:33" ht="12.75" x14ac:dyDescent="0.2">
      <c r="A91" s="478" t="s">
        <v>567</v>
      </c>
      <c r="B91" s="481">
        <v>0</v>
      </c>
      <c r="C91" s="481">
        <v>0</v>
      </c>
      <c r="D91" s="478"/>
      <c r="E91" s="478" t="s">
        <v>568</v>
      </c>
      <c r="F91" s="498">
        <v>0</v>
      </c>
      <c r="G91" s="499"/>
      <c r="H91" s="481"/>
      <c r="I91" s="478" t="str">
        <f t="shared" si="12"/>
        <v>Adjustment</v>
      </c>
      <c r="J91" s="481">
        <v>0</v>
      </c>
      <c r="K91" s="481">
        <v>0</v>
      </c>
      <c r="L91" s="481">
        <v>0</v>
      </c>
      <c r="M91" s="498">
        <v>0</v>
      </c>
      <c r="N91" s="481">
        <v>0</v>
      </c>
      <c r="O91" s="481">
        <v>0</v>
      </c>
      <c r="P91" s="481">
        <v>0</v>
      </c>
      <c r="Q91" s="481">
        <v>0</v>
      </c>
      <c r="R91" s="481">
        <v>0</v>
      </c>
      <c r="S91" s="481">
        <v>0</v>
      </c>
      <c r="T91" s="481">
        <v>0</v>
      </c>
      <c r="U91" s="478"/>
      <c r="V91" s="478" t="s">
        <v>567</v>
      </c>
      <c r="W91" s="481">
        <v>0</v>
      </c>
      <c r="X91" s="481">
        <v>0</v>
      </c>
      <c r="Y91" s="481">
        <v>0</v>
      </c>
      <c r="Z91" s="498">
        <v>0</v>
      </c>
      <c r="AA91" s="503">
        <v>0</v>
      </c>
      <c r="AB91" s="481">
        <v>0</v>
      </c>
      <c r="AC91" s="481">
        <v>0</v>
      </c>
      <c r="AD91" s="481">
        <v>0</v>
      </c>
      <c r="AE91" s="481">
        <v>0</v>
      </c>
      <c r="AF91" s="481">
        <v>0</v>
      </c>
      <c r="AG91" s="481">
        <v>0</v>
      </c>
    </row>
    <row r="92" spans="1:33" ht="12.75" x14ac:dyDescent="0.2">
      <c r="A92" s="508" t="s">
        <v>566</v>
      </c>
      <c r="B92" s="509">
        <v>47530.232350032296</v>
      </c>
      <c r="C92" s="509">
        <v>48914.230241274505</v>
      </c>
      <c r="D92" s="478"/>
      <c r="E92" s="508" t="s">
        <v>566</v>
      </c>
      <c r="F92" s="510">
        <v>47530.232350032296</v>
      </c>
      <c r="G92" s="494"/>
      <c r="H92" s="481"/>
      <c r="I92" s="508" t="str">
        <f t="shared" si="12"/>
        <v>Reported closing balance</v>
      </c>
      <c r="J92" s="509">
        <v>10733.1447077799</v>
      </c>
      <c r="K92" s="509">
        <v>12509.976531025301</v>
      </c>
      <c r="L92" s="509">
        <v>11729.224263105099</v>
      </c>
      <c r="M92" s="510">
        <v>12557.886848122</v>
      </c>
      <c r="N92" s="509">
        <v>11212.3655807659</v>
      </c>
      <c r="O92" s="509">
        <v>12515.526100765001</v>
      </c>
      <c r="P92" s="509">
        <v>11875.576926845801</v>
      </c>
      <c r="Q92" s="509">
        <v>13310.7616328978</v>
      </c>
      <c r="R92" s="509">
        <v>11703.723978804101</v>
      </c>
      <c r="S92" s="509">
        <v>11434.7538014085</v>
      </c>
      <c r="T92" s="509">
        <v>11512.600039725001</v>
      </c>
      <c r="U92" s="478"/>
      <c r="V92" s="508" t="str">
        <f>E92</f>
        <v>Reported closing balance</v>
      </c>
      <c r="W92" s="509">
        <v>10733.1447077799</v>
      </c>
      <c r="X92" s="509">
        <v>12509.976531025301</v>
      </c>
      <c r="Y92" s="509">
        <v>11729.224263105099</v>
      </c>
      <c r="Z92" s="510">
        <v>12557.886848122</v>
      </c>
      <c r="AA92" s="511">
        <v>11212.3655807659</v>
      </c>
      <c r="AB92" s="509">
        <v>12515.526100765001</v>
      </c>
      <c r="AC92" s="509">
        <v>11875.576926845801</v>
      </c>
      <c r="AD92" s="509">
        <v>13310.7616328978</v>
      </c>
      <c r="AE92" s="509">
        <v>11703.723978804101</v>
      </c>
      <c r="AF92" s="509">
        <v>11434.7538014085</v>
      </c>
      <c r="AG92" s="509">
        <v>11512.600039725001</v>
      </c>
    </row>
    <row r="93" spans="1:33" ht="12.75" x14ac:dyDescent="0.2">
      <c r="A93" s="478"/>
      <c r="B93" s="478"/>
      <c r="C93" s="478"/>
      <c r="D93" s="478"/>
      <c r="E93" s="478"/>
      <c r="F93" s="512"/>
      <c r="G93" s="513"/>
      <c r="H93" s="481"/>
      <c r="I93" s="478"/>
      <c r="J93" s="478"/>
      <c r="K93" s="478"/>
      <c r="L93" s="478"/>
      <c r="M93" s="512"/>
      <c r="N93" s="478"/>
      <c r="O93" s="478"/>
      <c r="P93" s="478"/>
      <c r="Q93" s="478"/>
      <c r="R93" s="478"/>
      <c r="S93" s="478"/>
      <c r="T93" s="478"/>
      <c r="U93" s="478"/>
      <c r="V93" s="478"/>
      <c r="W93" s="478"/>
      <c r="X93" s="478"/>
      <c r="Y93" s="478"/>
      <c r="Z93" s="478"/>
      <c r="AA93" s="478"/>
      <c r="AB93" s="478"/>
      <c r="AC93" s="478"/>
      <c r="AD93" s="478"/>
      <c r="AE93" s="478"/>
      <c r="AF93" s="478"/>
    </row>
    <row r="94" spans="1:33" ht="12.75" x14ac:dyDescent="0.2">
      <c r="A94" s="520" t="s">
        <v>508</v>
      </c>
      <c r="B94" s="520"/>
      <c r="C94" s="520"/>
      <c r="D94" s="478"/>
      <c r="E94" s="520" t="s">
        <v>508</v>
      </c>
      <c r="F94" s="521"/>
      <c r="G94" s="487"/>
      <c r="H94" s="481"/>
      <c r="I94" s="520" t="str">
        <f>A94</f>
        <v xml:space="preserve">Revenues </v>
      </c>
      <c r="J94" s="520"/>
      <c r="K94" s="520"/>
      <c r="L94" s="520"/>
      <c r="M94" s="521"/>
      <c r="N94" s="520"/>
      <c r="O94" s="520"/>
      <c r="P94" s="520"/>
      <c r="Q94" s="520"/>
      <c r="R94" s="520"/>
      <c r="S94" s="520"/>
      <c r="T94" s="520"/>
      <c r="U94" s="478"/>
      <c r="V94" s="520" t="str">
        <f>E94</f>
        <v xml:space="preserve">Revenues </v>
      </c>
      <c r="W94" s="520"/>
      <c r="X94" s="520"/>
      <c r="Y94" s="520"/>
      <c r="Z94" s="521"/>
      <c r="AA94" s="522"/>
      <c r="AB94" s="520"/>
      <c r="AC94" s="520"/>
      <c r="AD94" s="520"/>
      <c r="AE94" s="520"/>
      <c r="AF94" s="520"/>
      <c r="AG94" s="520"/>
    </row>
    <row r="95" spans="1:33" ht="12.75" x14ac:dyDescent="0.2">
      <c r="A95" s="322" t="s">
        <v>338</v>
      </c>
      <c r="B95" s="322">
        <v>2023</v>
      </c>
      <c r="C95" s="322">
        <v>2024</v>
      </c>
      <c r="D95" s="478"/>
      <c r="E95" s="322" t="s">
        <v>338</v>
      </c>
      <c r="F95" s="489">
        <v>2023</v>
      </c>
      <c r="G95" s="487"/>
      <c r="H95" s="481"/>
      <c r="I95" s="322" t="str">
        <f>A95</f>
        <v xml:space="preserve">Equipment </v>
      </c>
      <c r="J95" s="322" t="s">
        <v>151</v>
      </c>
      <c r="K95" s="322" t="s">
        <v>152</v>
      </c>
      <c r="L95" s="322" t="s">
        <v>153</v>
      </c>
      <c r="M95" s="489" t="s">
        <v>154</v>
      </c>
      <c r="N95" s="322" t="s">
        <v>155</v>
      </c>
      <c r="O95" s="322" t="s">
        <v>156</v>
      </c>
      <c r="P95" s="322" t="s">
        <v>157</v>
      </c>
      <c r="Q95" s="322" t="s">
        <v>158</v>
      </c>
      <c r="R95" s="322" t="s">
        <v>159</v>
      </c>
      <c r="S95" s="322" t="s">
        <v>160</v>
      </c>
      <c r="T95" s="322" t="s">
        <v>161</v>
      </c>
      <c r="U95" s="478"/>
      <c r="V95" s="322" t="str">
        <f>E95</f>
        <v xml:space="preserve">Equipment </v>
      </c>
      <c r="W95" s="322" t="s">
        <v>151</v>
      </c>
      <c r="X95" s="322" t="s">
        <v>152</v>
      </c>
      <c r="Y95" s="322" t="s">
        <v>153</v>
      </c>
      <c r="Z95" s="489" t="s">
        <v>154</v>
      </c>
      <c r="AA95" s="490" t="s">
        <v>155</v>
      </c>
      <c r="AB95" s="322" t="s">
        <v>156</v>
      </c>
      <c r="AC95" s="322" t="s">
        <v>157</v>
      </c>
      <c r="AD95" s="322" t="s">
        <v>158</v>
      </c>
      <c r="AE95" s="322" t="s">
        <v>159</v>
      </c>
      <c r="AF95" s="322" t="s">
        <v>160</v>
      </c>
      <c r="AG95" s="322" t="s">
        <v>161</v>
      </c>
    </row>
    <row r="96" spans="1:33" ht="12.75" x14ac:dyDescent="0.2">
      <c r="A96" s="491" t="s">
        <v>559</v>
      </c>
      <c r="B96" s="492">
        <v>17169.6134543972</v>
      </c>
      <c r="C96" s="492">
        <v>20410.1837982896</v>
      </c>
      <c r="D96" s="478"/>
      <c r="E96" s="491" t="s">
        <v>559</v>
      </c>
      <c r="F96" s="493">
        <v>17169.6134543972</v>
      </c>
      <c r="G96" s="494"/>
      <c r="H96" s="481"/>
      <c r="I96" s="491" t="str">
        <f>A96</f>
        <v>Reported opening balance</v>
      </c>
      <c r="J96" s="492">
        <v>3809.6257314947006</v>
      </c>
      <c r="K96" s="492">
        <v>3693.7341801234998</v>
      </c>
      <c r="L96" s="492">
        <v>4383.4352226832998</v>
      </c>
      <c r="M96" s="493">
        <v>5282.8183200957001</v>
      </c>
      <c r="N96" s="492">
        <v>4119.3110178055003</v>
      </c>
      <c r="O96" s="492">
        <v>5488.646848804301</v>
      </c>
      <c r="P96" s="492">
        <v>4871.4002468865992</v>
      </c>
      <c r="Q96" s="492">
        <v>5930.8256847931998</v>
      </c>
      <c r="R96" s="492">
        <v>4708.3182788562999</v>
      </c>
      <c r="S96" s="492">
        <v>5547.0454628759007</v>
      </c>
      <c r="T96" s="492">
        <v>5178.3339756837995</v>
      </c>
      <c r="U96" s="478"/>
      <c r="V96" s="491" t="str">
        <f>E96</f>
        <v>Reported opening balance</v>
      </c>
      <c r="W96" s="492">
        <v>3809.6257314947006</v>
      </c>
      <c r="X96" s="492">
        <v>3693.7341801234998</v>
      </c>
      <c r="Y96" s="492">
        <v>4383.4352226832998</v>
      </c>
      <c r="Z96" s="493">
        <v>5282.8183200957001</v>
      </c>
      <c r="AA96" s="495">
        <v>4119.3110178055003</v>
      </c>
      <c r="AB96" s="492">
        <v>5488.646848804301</v>
      </c>
      <c r="AC96" s="492">
        <v>4871.4002468865992</v>
      </c>
      <c r="AD96" s="492">
        <v>5930.8256847931998</v>
      </c>
      <c r="AE96" s="492">
        <v>4708.3182788562999</v>
      </c>
      <c r="AF96" s="492">
        <v>5547.0454628759007</v>
      </c>
      <c r="AG96" s="492">
        <v>5178.3339756837995</v>
      </c>
    </row>
    <row r="97" spans="1:33" ht="12.75" x14ac:dyDescent="0.2">
      <c r="A97" s="478" t="s">
        <v>567</v>
      </c>
      <c r="B97" s="496">
        <v>0</v>
      </c>
      <c r="C97" s="496">
        <v>0.82322629556173066</v>
      </c>
      <c r="D97" s="478"/>
      <c r="E97" s="478" t="s">
        <v>568</v>
      </c>
      <c r="F97" s="498">
        <v>0</v>
      </c>
      <c r="G97" s="499"/>
      <c r="H97" s="481"/>
      <c r="I97" s="478" t="s">
        <v>567</v>
      </c>
      <c r="J97" s="496">
        <v>0</v>
      </c>
      <c r="K97" s="496">
        <v>0</v>
      </c>
      <c r="L97" s="496">
        <v>0</v>
      </c>
      <c r="M97" s="500">
        <v>0</v>
      </c>
      <c r="N97" s="496">
        <v>0</v>
      </c>
      <c r="O97" s="496">
        <v>0</v>
      </c>
      <c r="P97" s="496">
        <v>101.5</v>
      </c>
      <c r="Q97" s="496">
        <v>0</v>
      </c>
      <c r="R97" s="496">
        <v>0</v>
      </c>
      <c r="S97" s="496">
        <v>0</v>
      </c>
      <c r="T97" s="496">
        <v>0</v>
      </c>
      <c r="U97" s="478"/>
      <c r="V97" s="478" t="s">
        <v>567</v>
      </c>
      <c r="W97" s="496">
        <v>0</v>
      </c>
      <c r="X97" s="496">
        <v>0</v>
      </c>
      <c r="Y97" s="496">
        <v>0</v>
      </c>
      <c r="Z97" s="500">
        <v>0</v>
      </c>
      <c r="AA97" s="514">
        <v>0</v>
      </c>
      <c r="AB97" s="496">
        <v>1.2119927157363346</v>
      </c>
      <c r="AC97" s="496">
        <v>2.083589827480723</v>
      </c>
      <c r="AD97" s="496">
        <v>0</v>
      </c>
      <c r="AE97" s="496">
        <v>0</v>
      </c>
      <c r="AF97" s="496">
        <v>0</v>
      </c>
      <c r="AG97" s="496">
        <v>0</v>
      </c>
    </row>
    <row r="98" spans="1:33" ht="12.75" x14ac:dyDescent="0.2">
      <c r="A98" s="491" t="s">
        <v>561</v>
      </c>
      <c r="B98" s="492">
        <v>17169.6134543972</v>
      </c>
      <c r="C98" s="492">
        <v>20578.2057982896</v>
      </c>
      <c r="D98" s="478"/>
      <c r="E98" s="491" t="s">
        <v>561</v>
      </c>
      <c r="F98" s="493">
        <v>17169.6134543972</v>
      </c>
      <c r="G98" s="494"/>
      <c r="H98" s="481"/>
      <c r="I98" s="491" t="str">
        <f t="shared" ref="I98:I103" si="14">A98</f>
        <v>Adjusted opening balance</v>
      </c>
      <c r="J98" s="492">
        <v>3809.6257314947006</v>
      </c>
      <c r="K98" s="492">
        <v>3693.7341801234998</v>
      </c>
      <c r="L98" s="492">
        <v>4383.4352226832998</v>
      </c>
      <c r="M98" s="493">
        <v>5282.8183200957001</v>
      </c>
      <c r="N98" s="492">
        <v>4119.3110178055003</v>
      </c>
      <c r="O98" s="492">
        <v>5488.646848804301</v>
      </c>
      <c r="P98" s="492">
        <v>4972.9002468865992</v>
      </c>
      <c r="Q98" s="492">
        <v>5930.8256847931998</v>
      </c>
      <c r="R98" s="492">
        <v>4708.3182788562999</v>
      </c>
      <c r="S98" s="492">
        <v>5547.0454628759007</v>
      </c>
      <c r="T98" s="492">
        <v>5178.3339756837995</v>
      </c>
      <c r="U98" s="478"/>
      <c r="V98" s="491" t="str">
        <f t="shared" ref="V98:V103" si="15">E98</f>
        <v>Adjusted opening balance</v>
      </c>
      <c r="W98" s="492">
        <v>3809.6257314947006</v>
      </c>
      <c r="X98" s="492">
        <v>3693.7341801234998</v>
      </c>
      <c r="Y98" s="492">
        <v>4383.4352226832998</v>
      </c>
      <c r="Z98" s="493">
        <v>5282.8183200957001</v>
      </c>
      <c r="AA98" s="495">
        <v>4119.3110178055003</v>
      </c>
      <c r="AB98" s="492">
        <v>5555.168848804301</v>
      </c>
      <c r="AC98" s="492">
        <v>4972.9002468865992</v>
      </c>
      <c r="AD98" s="492">
        <v>5930.8256847931998</v>
      </c>
      <c r="AE98" s="492">
        <v>4708.3182788562999</v>
      </c>
      <c r="AF98" s="492">
        <v>5547.0454628759007</v>
      </c>
      <c r="AG98" s="492">
        <v>5178.3339756837995</v>
      </c>
    </row>
    <row r="99" spans="1:33" ht="12.75" x14ac:dyDescent="0.2">
      <c r="A99" s="478" t="s">
        <v>562</v>
      </c>
      <c r="B99" s="515">
        <v>2070</v>
      </c>
      <c r="C99" s="515">
        <v>7</v>
      </c>
      <c r="D99" s="478"/>
      <c r="E99" s="478" t="s">
        <v>562</v>
      </c>
      <c r="F99" s="498">
        <v>12</v>
      </c>
      <c r="G99" s="499"/>
      <c r="H99" s="481"/>
      <c r="I99" s="478" t="str">
        <f t="shared" si="14"/>
        <v>Organic</v>
      </c>
      <c r="J99" s="515">
        <v>-40.893011010100054</v>
      </c>
      <c r="K99" s="515">
        <v>1330.5329992410998</v>
      </c>
      <c r="L99" s="515">
        <v>266.61012683410007</v>
      </c>
      <c r="M99" s="516">
        <v>513.01387571989994</v>
      </c>
      <c r="N99" s="515">
        <v>540.90212581790001</v>
      </c>
      <c r="O99" s="515">
        <v>20.660248122999974</v>
      </c>
      <c r="P99" s="515">
        <v>410.66868166949996</v>
      </c>
      <c r="Q99" s="515">
        <v>229.81908450899994</v>
      </c>
      <c r="R99" s="515">
        <v>369.44548477239999</v>
      </c>
      <c r="S99" s="523">
        <v>-78.7144999625</v>
      </c>
      <c r="T99" s="515">
        <v>525.53001285959999</v>
      </c>
      <c r="U99" s="478"/>
      <c r="V99" s="478" t="str">
        <f t="shared" si="15"/>
        <v>Organic</v>
      </c>
      <c r="W99" s="515">
        <v>-1</v>
      </c>
      <c r="X99" s="515">
        <v>37</v>
      </c>
      <c r="Y99" s="515">
        <v>6</v>
      </c>
      <c r="Z99" s="516">
        <v>10</v>
      </c>
      <c r="AA99" s="517">
        <v>13</v>
      </c>
      <c r="AB99" s="515">
        <v>1</v>
      </c>
      <c r="AC99" s="515">
        <v>8</v>
      </c>
      <c r="AD99" s="515">
        <v>4</v>
      </c>
      <c r="AE99" s="515">
        <v>8</v>
      </c>
      <c r="AF99" s="515">
        <v>-1</v>
      </c>
      <c r="AG99" s="515">
        <v>10</v>
      </c>
    </row>
    <row r="100" spans="1:33" ht="12.75" x14ac:dyDescent="0.2">
      <c r="A100" s="478" t="s">
        <v>563</v>
      </c>
      <c r="B100" s="515">
        <v>551.78256310959989</v>
      </c>
      <c r="C100" s="515">
        <v>-1.5681038466099941</v>
      </c>
      <c r="D100" s="478"/>
      <c r="E100" s="478" t="s">
        <v>563</v>
      </c>
      <c r="F100" s="498">
        <v>3.21371569939617</v>
      </c>
      <c r="G100" s="499"/>
      <c r="H100" s="481"/>
      <c r="I100" s="478" t="str">
        <f t="shared" si="14"/>
        <v>Currency</v>
      </c>
      <c r="J100" s="515">
        <v>226.82200943620001</v>
      </c>
      <c r="K100" s="515">
        <v>231.42486583649998</v>
      </c>
      <c r="L100" s="515">
        <v>73.153823182699995</v>
      </c>
      <c r="M100" s="516">
        <v>20.381864654199994</v>
      </c>
      <c r="N100" s="515">
        <v>-134.34641544620001</v>
      </c>
      <c r="O100" s="515">
        <v>-29.783478379399995</v>
      </c>
      <c r="P100" s="515">
        <v>-207.84390340740003</v>
      </c>
      <c r="Q100" s="515">
        <v>49.286160546699996</v>
      </c>
      <c r="R100" s="515">
        <v>-5.4918176283999998</v>
      </c>
      <c r="S100" s="515">
        <v>-455.82610105549998</v>
      </c>
      <c r="T100" s="515">
        <v>-478.83082264699999</v>
      </c>
      <c r="U100" s="478"/>
      <c r="V100" s="478" t="str">
        <f t="shared" si="15"/>
        <v>Currency</v>
      </c>
      <c r="W100" s="515">
        <v>5.9539184534856329</v>
      </c>
      <c r="X100" s="515">
        <v>6.2653362302525588</v>
      </c>
      <c r="Y100" s="515">
        <v>1.6688697212666741</v>
      </c>
      <c r="Z100" s="516">
        <v>0.38581422678625771</v>
      </c>
      <c r="AA100" s="517">
        <v>-3.26138072278337</v>
      </c>
      <c r="AB100" s="515">
        <v>-0.53613993003670113</v>
      </c>
      <c r="AC100" s="515">
        <v>-4.1795309193568801</v>
      </c>
      <c r="AD100" s="515">
        <v>0.83101684598606684</v>
      </c>
      <c r="AE100" s="515">
        <v>-0.11664074735691021</v>
      </c>
      <c r="AF100" s="515">
        <v>-9</v>
      </c>
      <c r="AG100" s="515">
        <v>-9.2468122932100059</v>
      </c>
    </row>
    <row r="101" spans="1:33" ht="12.75" x14ac:dyDescent="0.2">
      <c r="A101" s="504" t="s">
        <v>564</v>
      </c>
      <c r="B101" s="518">
        <v>618.12344221730007</v>
      </c>
      <c r="C101" s="518">
        <v>1.3067161254211483</v>
      </c>
      <c r="D101" s="478"/>
      <c r="E101" s="504" t="s">
        <v>564</v>
      </c>
      <c r="F101" s="506">
        <v>3.6001010963877955</v>
      </c>
      <c r="G101" s="499"/>
      <c r="H101" s="481"/>
      <c r="I101" s="504" t="str">
        <f t="shared" si="14"/>
        <v>Structure</v>
      </c>
      <c r="J101" s="518">
        <v>123.75645968000003</v>
      </c>
      <c r="K101" s="518">
        <v>232.75414403889999</v>
      </c>
      <c r="L101" s="518">
        <v>147.00121417510002</v>
      </c>
      <c r="M101" s="519">
        <v>114.61162432329999</v>
      </c>
      <c r="N101" s="518">
        <v>182.45155067900001</v>
      </c>
      <c r="O101" s="518">
        <v>66.521844327899998</v>
      </c>
      <c r="P101" s="518">
        <v>3.7089505351999961</v>
      </c>
      <c r="Q101" s="518">
        <v>82.738387946499998</v>
      </c>
      <c r="R101" s="518">
        <v>9.99982319171977E-11</v>
      </c>
      <c r="S101" s="518">
        <v>-2.0000000267028639E-10</v>
      </c>
      <c r="T101" s="518">
        <v>1.9999998879249858E-10</v>
      </c>
      <c r="U101" s="478"/>
      <c r="V101" s="504" t="str">
        <f t="shared" si="15"/>
        <v>Structure</v>
      </c>
      <c r="W101" s="518">
        <v>3.2485201540111497</v>
      </c>
      <c r="X101" s="518">
        <v>6.301323611519817</v>
      </c>
      <c r="Y101" s="518">
        <v>3.3535619145094584</v>
      </c>
      <c r="Z101" s="519">
        <v>2.1695166742214176</v>
      </c>
      <c r="AA101" s="524">
        <v>4.4291763814473581</v>
      </c>
      <c r="AB101" s="518">
        <v>-2.8022928599941476E-6</v>
      </c>
      <c r="AC101" s="518">
        <v>7.4583248226667564E-2</v>
      </c>
      <c r="AD101" s="518">
        <v>1.3950568157591194</v>
      </c>
      <c r="AE101" s="518">
        <v>2.123863043971792E-12</v>
      </c>
      <c r="AF101" s="518">
        <v>-3.6055230484192771E-12</v>
      </c>
      <c r="AG101" s="518">
        <v>3.86224584454479E-12</v>
      </c>
    </row>
    <row r="102" spans="1:33" ht="12.75" x14ac:dyDescent="0.2">
      <c r="A102" s="478" t="s">
        <v>477</v>
      </c>
      <c r="B102" s="515">
        <v>3240</v>
      </c>
      <c r="C102" s="515">
        <v>6</v>
      </c>
      <c r="D102" s="478"/>
      <c r="E102" s="478" t="s">
        <v>477</v>
      </c>
      <c r="F102" s="498">
        <v>19</v>
      </c>
      <c r="G102" s="499"/>
      <c r="H102" s="481"/>
      <c r="I102" s="478" t="str">
        <f t="shared" si="14"/>
        <v>Total</v>
      </c>
      <c r="J102" s="515">
        <v>309.68545810609999</v>
      </c>
      <c r="K102" s="515">
        <v>1794.7120091164998</v>
      </c>
      <c r="L102" s="515">
        <v>486.76516419190011</v>
      </c>
      <c r="M102" s="516">
        <v>648.00736469739991</v>
      </c>
      <c r="N102" s="515">
        <v>589.00726105069998</v>
      </c>
      <c r="O102" s="515">
        <v>57.398614071499978</v>
      </c>
      <c r="P102" s="515">
        <v>206.53372879729991</v>
      </c>
      <c r="Q102" s="515">
        <v>361.84363300219991</v>
      </c>
      <c r="R102" s="515">
        <v>363.9536671441</v>
      </c>
      <c r="S102" s="515">
        <v>-534.54060101820005</v>
      </c>
      <c r="T102" s="515">
        <v>46.699190212799998</v>
      </c>
      <c r="U102" s="478"/>
      <c r="V102" s="478" t="str">
        <f t="shared" si="15"/>
        <v>Total</v>
      </c>
      <c r="W102" s="515">
        <v>8</v>
      </c>
      <c r="X102" s="515">
        <v>49</v>
      </c>
      <c r="Y102" s="515">
        <v>11</v>
      </c>
      <c r="Z102" s="516">
        <v>12</v>
      </c>
      <c r="AA102" s="517">
        <v>14</v>
      </c>
      <c r="AB102" s="515">
        <v>0</v>
      </c>
      <c r="AC102" s="515">
        <v>4</v>
      </c>
      <c r="AD102" s="515">
        <v>6</v>
      </c>
      <c r="AE102" s="515">
        <v>8</v>
      </c>
      <c r="AF102" s="515">
        <v>-10</v>
      </c>
      <c r="AG102" s="515">
        <v>1</v>
      </c>
    </row>
    <row r="103" spans="1:33" ht="12.75" x14ac:dyDescent="0.2">
      <c r="A103" s="491" t="s">
        <v>565</v>
      </c>
      <c r="B103" s="492">
        <v>20410.183450509099</v>
      </c>
      <c r="C103" s="492">
        <v>21727.467035211303</v>
      </c>
      <c r="D103" s="478"/>
      <c r="E103" s="491" t="s">
        <v>565</v>
      </c>
      <c r="F103" s="493">
        <v>20410.183450509099</v>
      </c>
      <c r="G103" s="494"/>
      <c r="H103" s="481"/>
      <c r="I103" s="491" t="str">
        <f t="shared" si="14"/>
        <v>Operational closing balance</v>
      </c>
      <c r="J103" s="492">
        <v>4120.3111896008004</v>
      </c>
      <c r="K103" s="492">
        <v>5488.8461892399991</v>
      </c>
      <c r="L103" s="492">
        <v>4870.2003868751999</v>
      </c>
      <c r="M103" s="493">
        <v>5930.8256847930998</v>
      </c>
      <c r="N103" s="492">
        <v>4708.3182788562008</v>
      </c>
      <c r="O103" s="492">
        <v>5546.0454628758007</v>
      </c>
      <c r="P103" s="492">
        <v>5179.433975683899</v>
      </c>
      <c r="Q103" s="492">
        <v>6292.6693177953994</v>
      </c>
      <c r="R103" s="492">
        <v>5072.2719460004</v>
      </c>
      <c r="S103" s="492">
        <v>5012.204861857701</v>
      </c>
      <c r="T103" s="492">
        <v>5224.7831658965997</v>
      </c>
      <c r="U103" s="478"/>
      <c r="V103" s="491" t="str">
        <f t="shared" si="15"/>
        <v>Operational closing balance</v>
      </c>
      <c r="W103" s="492">
        <v>4120.3111896008004</v>
      </c>
      <c r="X103" s="492">
        <v>5488.8461892399991</v>
      </c>
      <c r="Y103" s="492">
        <v>4870.2003868751999</v>
      </c>
      <c r="Z103" s="493">
        <v>5930.8256847930998</v>
      </c>
      <c r="AA103" s="495">
        <v>4708.3182788562008</v>
      </c>
      <c r="AB103" s="492">
        <v>5547.0454628758007</v>
      </c>
      <c r="AC103" s="492">
        <v>5179.433975683899</v>
      </c>
      <c r="AD103" s="492">
        <v>6292.6693177953994</v>
      </c>
      <c r="AE103" s="492">
        <v>5072.2719460004</v>
      </c>
      <c r="AF103" s="492">
        <v>5012.204861857701</v>
      </c>
      <c r="AG103" s="492">
        <v>5224.7831658965997</v>
      </c>
    </row>
    <row r="104" spans="1:33" ht="12.75" x14ac:dyDescent="0.2">
      <c r="A104" s="478" t="s">
        <v>567</v>
      </c>
      <c r="B104" s="496">
        <v>0</v>
      </c>
      <c r="C104" s="496">
        <v>0</v>
      </c>
      <c r="D104" s="478"/>
      <c r="E104" s="478" t="s">
        <v>568</v>
      </c>
      <c r="F104" s="498">
        <v>0</v>
      </c>
      <c r="G104" s="499"/>
      <c r="H104" s="481"/>
      <c r="I104" s="478" t="s">
        <v>567</v>
      </c>
      <c r="J104" s="496">
        <v>0</v>
      </c>
      <c r="K104" s="496">
        <v>0</v>
      </c>
      <c r="L104" s="496">
        <v>0</v>
      </c>
      <c r="M104" s="500">
        <v>0</v>
      </c>
      <c r="N104" s="496">
        <v>0</v>
      </c>
      <c r="O104" s="496">
        <v>0</v>
      </c>
      <c r="P104" s="496">
        <v>0</v>
      </c>
      <c r="Q104" s="496">
        <v>0</v>
      </c>
      <c r="R104" s="496">
        <v>0</v>
      </c>
      <c r="S104" s="496">
        <v>0</v>
      </c>
      <c r="T104" s="496">
        <v>0</v>
      </c>
      <c r="U104" s="478"/>
      <c r="V104" s="478" t="s">
        <v>567</v>
      </c>
      <c r="W104" s="496">
        <v>0</v>
      </c>
      <c r="X104" s="496">
        <v>0</v>
      </c>
      <c r="Y104" s="496">
        <v>0</v>
      </c>
      <c r="Z104" s="500">
        <v>0</v>
      </c>
      <c r="AA104" s="514">
        <v>0</v>
      </c>
      <c r="AB104" s="496">
        <v>0</v>
      </c>
      <c r="AC104" s="496">
        <v>0</v>
      </c>
      <c r="AD104" s="496">
        <v>0</v>
      </c>
      <c r="AE104" s="496">
        <v>0</v>
      </c>
      <c r="AF104" s="496">
        <v>0</v>
      </c>
      <c r="AG104" s="496">
        <v>0</v>
      </c>
    </row>
    <row r="105" spans="1:33" ht="12.75" x14ac:dyDescent="0.2">
      <c r="A105" s="508" t="s">
        <v>566</v>
      </c>
      <c r="B105" s="509">
        <v>20410.183798289603</v>
      </c>
      <c r="C105" s="509">
        <v>21727.467035211303</v>
      </c>
      <c r="D105" s="478"/>
      <c r="E105" s="508" t="s">
        <v>566</v>
      </c>
      <c r="F105" s="510">
        <v>20410.183798289603</v>
      </c>
      <c r="G105" s="494"/>
      <c r="H105" s="481"/>
      <c r="I105" s="508" t="str">
        <f>A105</f>
        <v>Reported closing balance</v>
      </c>
      <c r="J105" s="509">
        <v>4120.3110178055003</v>
      </c>
      <c r="K105" s="509">
        <v>5488.646848804301</v>
      </c>
      <c r="L105" s="509">
        <v>4870.4002468866993</v>
      </c>
      <c r="M105" s="510">
        <v>5930.8256847930998</v>
      </c>
      <c r="N105" s="509">
        <v>4708.3182788561999</v>
      </c>
      <c r="O105" s="509">
        <v>5546.0454628758007</v>
      </c>
      <c r="P105" s="509">
        <v>5179.4339756838999</v>
      </c>
      <c r="Q105" s="509">
        <v>6292.6693177954003</v>
      </c>
      <c r="R105" s="509">
        <v>5072.2719460004009</v>
      </c>
      <c r="S105" s="509">
        <v>5012.2048618577001</v>
      </c>
      <c r="T105" s="509">
        <v>5224.8331658966017</v>
      </c>
      <c r="U105" s="478"/>
      <c r="V105" s="508" t="str">
        <f>E105</f>
        <v>Reported closing balance</v>
      </c>
      <c r="W105" s="509">
        <v>4120.3110178055003</v>
      </c>
      <c r="X105" s="509">
        <v>5488.646848804301</v>
      </c>
      <c r="Y105" s="509">
        <v>4870.4002468866993</v>
      </c>
      <c r="Z105" s="510">
        <v>5930.8256847930998</v>
      </c>
      <c r="AA105" s="511">
        <v>4708.3182788561999</v>
      </c>
      <c r="AB105" s="509">
        <v>5547.0454628758007</v>
      </c>
      <c r="AC105" s="509">
        <v>5179.4339756838999</v>
      </c>
      <c r="AD105" s="509">
        <v>6292.6693177954003</v>
      </c>
      <c r="AE105" s="509">
        <v>5072.2719460004009</v>
      </c>
      <c r="AF105" s="509">
        <v>5012.2048618577001</v>
      </c>
      <c r="AG105" s="509">
        <v>5224.8331658966017</v>
      </c>
    </row>
    <row r="106" spans="1:33" ht="12.75" x14ac:dyDescent="0.2">
      <c r="A106" s="478"/>
      <c r="B106" s="478"/>
      <c r="C106" s="478"/>
      <c r="D106" s="478"/>
      <c r="E106" s="478"/>
      <c r="F106" s="512"/>
      <c r="G106" s="513"/>
      <c r="H106" s="481"/>
      <c r="I106" s="478"/>
      <c r="J106" s="478"/>
      <c r="K106" s="478"/>
      <c r="L106" s="478"/>
      <c r="M106" s="512"/>
      <c r="N106" s="478"/>
      <c r="O106" s="478"/>
      <c r="P106" s="478"/>
      <c r="Q106" s="478"/>
      <c r="R106" s="478"/>
      <c r="S106" s="478"/>
      <c r="T106" s="478"/>
      <c r="U106" s="478"/>
      <c r="V106" s="478"/>
      <c r="W106" s="478"/>
      <c r="X106" s="478"/>
      <c r="Y106" s="478"/>
      <c r="Z106" s="478"/>
      <c r="AA106" s="478"/>
      <c r="AB106" s="478"/>
      <c r="AC106" s="478"/>
      <c r="AD106" s="478"/>
      <c r="AE106" s="478"/>
      <c r="AF106" s="478"/>
    </row>
    <row r="107" spans="1:33" ht="12.75" x14ac:dyDescent="0.2">
      <c r="A107" s="520" t="s">
        <v>508</v>
      </c>
      <c r="B107" s="520"/>
      <c r="C107" s="520"/>
      <c r="D107" s="478"/>
      <c r="E107" s="520" t="s">
        <v>508</v>
      </c>
      <c r="F107" s="521"/>
      <c r="G107" s="487"/>
      <c r="H107" s="481"/>
      <c r="I107" s="520" t="str">
        <f t="shared" ref="I107:I116" si="16">A107</f>
        <v xml:space="preserve">Revenues </v>
      </c>
      <c r="J107" s="520"/>
      <c r="K107" s="520"/>
      <c r="L107" s="520"/>
      <c r="M107" s="521"/>
      <c r="N107" s="520"/>
      <c r="O107" s="520"/>
      <c r="P107" s="520"/>
      <c r="Q107" s="520"/>
      <c r="R107" s="520"/>
      <c r="S107" s="520"/>
      <c r="T107" s="520"/>
      <c r="U107" s="478"/>
      <c r="V107" s="520" t="str">
        <f>E107</f>
        <v xml:space="preserve">Revenues </v>
      </c>
      <c r="W107" s="520"/>
      <c r="X107" s="520"/>
      <c r="Y107" s="520"/>
      <c r="Z107" s="521"/>
      <c r="AA107" s="522"/>
      <c r="AB107" s="520"/>
      <c r="AC107" s="520"/>
      <c r="AD107" s="520"/>
      <c r="AE107" s="520"/>
      <c r="AF107" s="520"/>
      <c r="AG107" s="520"/>
    </row>
    <row r="108" spans="1:33" ht="12.75" x14ac:dyDescent="0.2">
      <c r="A108" s="322" t="s">
        <v>298</v>
      </c>
      <c r="B108" s="322">
        <v>2023</v>
      </c>
      <c r="C108" s="322">
        <v>2024</v>
      </c>
      <c r="D108" s="478"/>
      <c r="E108" s="322" t="s">
        <v>298</v>
      </c>
      <c r="F108" s="489">
        <v>2023</v>
      </c>
      <c r="G108" s="487"/>
      <c r="H108" s="481"/>
      <c r="I108" s="322" t="str">
        <f t="shared" si="16"/>
        <v>Service</v>
      </c>
      <c r="J108" s="322" t="s">
        <v>151</v>
      </c>
      <c r="K108" s="322" t="s">
        <v>152</v>
      </c>
      <c r="L108" s="322" t="s">
        <v>153</v>
      </c>
      <c r="M108" s="489" t="s">
        <v>154</v>
      </c>
      <c r="N108" s="322" t="s">
        <v>155</v>
      </c>
      <c r="O108" s="322" t="s">
        <v>156</v>
      </c>
      <c r="P108" s="322" t="s">
        <v>157</v>
      </c>
      <c r="Q108" s="322" t="s">
        <v>158</v>
      </c>
      <c r="R108" s="322" t="s">
        <v>159</v>
      </c>
      <c r="S108" s="322" t="s">
        <v>160</v>
      </c>
      <c r="T108" s="322" t="s">
        <v>161</v>
      </c>
      <c r="U108" s="478"/>
      <c r="V108" s="322" t="str">
        <f>E108</f>
        <v>Service</v>
      </c>
      <c r="W108" s="322" t="s">
        <v>151</v>
      </c>
      <c r="X108" s="322" t="s">
        <v>152</v>
      </c>
      <c r="Y108" s="322" t="s">
        <v>153</v>
      </c>
      <c r="Z108" s="489" t="s">
        <v>154</v>
      </c>
      <c r="AA108" s="490" t="s">
        <v>155</v>
      </c>
      <c r="AB108" s="322" t="s">
        <v>156</v>
      </c>
      <c r="AC108" s="322" t="s">
        <v>157</v>
      </c>
      <c r="AD108" s="322" t="s">
        <v>158</v>
      </c>
      <c r="AE108" s="322" t="s">
        <v>159</v>
      </c>
      <c r="AF108" s="322" t="s">
        <v>160</v>
      </c>
      <c r="AG108" s="322" t="s">
        <v>161</v>
      </c>
    </row>
    <row r="109" spans="1:33" ht="12.75" x14ac:dyDescent="0.2">
      <c r="A109" s="491" t="s">
        <v>559</v>
      </c>
      <c r="B109" s="492">
        <v>21734.046259755698</v>
      </c>
      <c r="C109" s="492">
        <v>27120.048551742701</v>
      </c>
      <c r="D109" s="478"/>
      <c r="E109" s="491" t="s">
        <v>559</v>
      </c>
      <c r="F109" s="493">
        <v>21734.046259755698</v>
      </c>
      <c r="G109" s="494"/>
      <c r="H109" s="481"/>
      <c r="I109" s="491" t="str">
        <f t="shared" si="16"/>
        <v>Reported opening balance</v>
      </c>
      <c r="J109" s="492">
        <v>4675.4143213903999</v>
      </c>
      <c r="K109" s="492">
        <v>5366.2465494155003</v>
      </c>
      <c r="L109" s="492">
        <v>5686.2489145702002</v>
      </c>
      <c r="M109" s="493">
        <v>6006.1364743795993</v>
      </c>
      <c r="N109" s="492">
        <v>6613.8336899743999</v>
      </c>
      <c r="O109" s="492">
        <v>7021.3296822209995</v>
      </c>
      <c r="P109" s="492">
        <v>6857.8240162184002</v>
      </c>
      <c r="Q109" s="492">
        <v>6627.0611633289</v>
      </c>
      <c r="R109" s="492">
        <v>6504.0473019096999</v>
      </c>
      <c r="S109" s="492">
        <v>6969.4806378891999</v>
      </c>
      <c r="T109" s="492">
        <v>6697.1429511619008</v>
      </c>
      <c r="U109" s="478"/>
      <c r="V109" s="491" t="str">
        <f>E109</f>
        <v>Reported opening balance</v>
      </c>
      <c r="W109" s="492">
        <v>4675.4143213903999</v>
      </c>
      <c r="X109" s="492">
        <v>5366.2465494155003</v>
      </c>
      <c r="Y109" s="492">
        <v>5686.2489145702002</v>
      </c>
      <c r="Z109" s="493">
        <v>6006.1364743795993</v>
      </c>
      <c r="AA109" s="495">
        <v>6613.8336899743999</v>
      </c>
      <c r="AB109" s="492">
        <v>7021.3296822209995</v>
      </c>
      <c r="AC109" s="492">
        <v>6857.8240162184002</v>
      </c>
      <c r="AD109" s="492">
        <v>6627.0611633289</v>
      </c>
      <c r="AE109" s="492">
        <v>6504.0473019096999</v>
      </c>
      <c r="AF109" s="492">
        <v>6969.4806378891999</v>
      </c>
      <c r="AG109" s="492">
        <v>6697.1429511619008</v>
      </c>
    </row>
    <row r="110" spans="1:33" ht="12.75" x14ac:dyDescent="0.2">
      <c r="A110" s="478" t="s">
        <v>567</v>
      </c>
      <c r="B110" s="496">
        <v>0</v>
      </c>
      <c r="C110" s="496">
        <v>-0.61954903834124253</v>
      </c>
      <c r="D110" s="478"/>
      <c r="E110" s="478" t="s">
        <v>568</v>
      </c>
      <c r="F110" s="498">
        <v>0</v>
      </c>
      <c r="G110" s="499"/>
      <c r="H110" s="481"/>
      <c r="I110" s="478" t="str">
        <f t="shared" si="16"/>
        <v>Adjustment</v>
      </c>
      <c r="J110" s="496">
        <v>0</v>
      </c>
      <c r="K110" s="496">
        <v>0</v>
      </c>
      <c r="L110" s="496">
        <v>0</v>
      </c>
      <c r="M110" s="500">
        <v>0</v>
      </c>
      <c r="N110" s="496">
        <v>0</v>
      </c>
      <c r="O110" s="496">
        <v>0</v>
      </c>
      <c r="P110" s="496">
        <v>-101.5</v>
      </c>
      <c r="Q110" s="496">
        <v>0</v>
      </c>
      <c r="R110" s="496">
        <v>0</v>
      </c>
      <c r="S110" s="496">
        <v>0</v>
      </c>
      <c r="T110" s="496">
        <v>0</v>
      </c>
      <c r="U110" s="478"/>
      <c r="V110" s="478" t="s">
        <v>567</v>
      </c>
      <c r="W110" s="496">
        <v>0</v>
      </c>
      <c r="X110" s="496">
        <v>0</v>
      </c>
      <c r="Y110" s="496">
        <v>0</v>
      </c>
      <c r="Z110" s="500">
        <v>0</v>
      </c>
      <c r="AA110" s="514">
        <v>0</v>
      </c>
      <c r="AB110" s="496">
        <v>-0.94742738214448363</v>
      </c>
      <c r="AC110" s="496">
        <v>-1.4800613104092162</v>
      </c>
      <c r="AD110" s="496">
        <v>0</v>
      </c>
      <c r="AE110" s="496">
        <v>0</v>
      </c>
      <c r="AF110" s="496">
        <v>0</v>
      </c>
      <c r="AG110" s="496">
        <v>0</v>
      </c>
    </row>
    <row r="111" spans="1:33" ht="12.75" x14ac:dyDescent="0.2">
      <c r="A111" s="491" t="s">
        <v>561</v>
      </c>
      <c r="B111" s="492">
        <v>21734.046259755698</v>
      </c>
      <c r="C111" s="492">
        <v>26952.0265517427</v>
      </c>
      <c r="D111" s="478"/>
      <c r="E111" s="491" t="s">
        <v>561</v>
      </c>
      <c r="F111" s="493">
        <v>21734.046259755698</v>
      </c>
      <c r="G111" s="494"/>
      <c r="H111" s="481"/>
      <c r="I111" s="491" t="str">
        <f t="shared" si="16"/>
        <v>Adjusted opening balance</v>
      </c>
      <c r="J111" s="492">
        <v>4675.4143213903999</v>
      </c>
      <c r="K111" s="492">
        <v>5366.2465494155003</v>
      </c>
      <c r="L111" s="492">
        <v>5686.2489145702002</v>
      </c>
      <c r="M111" s="493">
        <v>6006.1364743795993</v>
      </c>
      <c r="N111" s="492">
        <v>6613.8336899743999</v>
      </c>
      <c r="O111" s="492">
        <v>7021.3296822209995</v>
      </c>
      <c r="P111" s="492">
        <v>6756.3240162184002</v>
      </c>
      <c r="Q111" s="492">
        <v>6627.0611633289</v>
      </c>
      <c r="R111" s="492">
        <v>6504.0473019096999</v>
      </c>
      <c r="S111" s="492">
        <v>6969.4806378891999</v>
      </c>
      <c r="T111" s="492">
        <v>6697.1429511619008</v>
      </c>
      <c r="U111" s="478"/>
      <c r="V111" s="491" t="str">
        <f t="shared" ref="V111:V116" si="17">E111</f>
        <v>Adjusted opening balance</v>
      </c>
      <c r="W111" s="492">
        <v>4675.4143213903999</v>
      </c>
      <c r="X111" s="492">
        <v>5366.2465494155003</v>
      </c>
      <c r="Y111" s="492">
        <v>5686.2489145702002</v>
      </c>
      <c r="Z111" s="493">
        <v>6006.1364743795993</v>
      </c>
      <c r="AA111" s="495">
        <v>6613.8336899743999</v>
      </c>
      <c r="AB111" s="492">
        <v>6954.8076822209996</v>
      </c>
      <c r="AC111" s="492">
        <v>6756.3240162184002</v>
      </c>
      <c r="AD111" s="492">
        <v>6627.0611633289</v>
      </c>
      <c r="AE111" s="492">
        <v>6504.0473019096999</v>
      </c>
      <c r="AF111" s="492">
        <v>6969.4806378891999</v>
      </c>
      <c r="AG111" s="492">
        <v>6697.1429511619008</v>
      </c>
    </row>
    <row r="112" spans="1:33" ht="12.75" x14ac:dyDescent="0.2">
      <c r="A112" s="478" t="s">
        <v>562</v>
      </c>
      <c r="B112" s="515">
        <v>2641</v>
      </c>
      <c r="C112" s="515">
        <v>3</v>
      </c>
      <c r="D112" s="478"/>
      <c r="E112" s="478" t="s">
        <v>562</v>
      </c>
      <c r="F112" s="498">
        <v>13</v>
      </c>
      <c r="G112" s="499"/>
      <c r="H112" s="481"/>
      <c r="I112" s="478" t="str">
        <f t="shared" si="16"/>
        <v>Organic</v>
      </c>
      <c r="J112" s="515">
        <v>921.35989311420008</v>
      </c>
      <c r="K112" s="515">
        <v>702.95607272109999</v>
      </c>
      <c r="L112" s="515">
        <v>554.89007658579999</v>
      </c>
      <c r="M112" s="516">
        <v>462.5562424103</v>
      </c>
      <c r="N112" s="515">
        <v>159.9956128737</v>
      </c>
      <c r="O112" s="515">
        <v>108.03380502850001</v>
      </c>
      <c r="P112" s="515">
        <v>184.9804953517</v>
      </c>
      <c r="Q112" s="515">
        <v>439.17320394650005</v>
      </c>
      <c r="R112" s="515">
        <v>114.988202</v>
      </c>
      <c r="S112" s="515">
        <v>118.0138593004</v>
      </c>
      <c r="T112" s="515">
        <v>190.0528306022</v>
      </c>
      <c r="U112" s="478"/>
      <c r="V112" s="478" t="str">
        <f t="shared" si="17"/>
        <v>Organic</v>
      </c>
      <c r="W112" s="515">
        <v>19</v>
      </c>
      <c r="X112" s="515">
        <v>14</v>
      </c>
      <c r="Y112" s="515">
        <v>11</v>
      </c>
      <c r="Z112" s="516">
        <v>7</v>
      </c>
      <c r="AA112" s="517">
        <v>2</v>
      </c>
      <c r="AB112" s="515">
        <v>2</v>
      </c>
      <c r="AC112" s="515">
        <v>3</v>
      </c>
      <c r="AD112" s="515">
        <v>7</v>
      </c>
      <c r="AE112" s="515">
        <v>2</v>
      </c>
      <c r="AF112" s="515">
        <v>2</v>
      </c>
      <c r="AG112" s="515">
        <v>3</v>
      </c>
    </row>
    <row r="113" spans="1:33" ht="12.75" x14ac:dyDescent="0.2">
      <c r="A113" s="478" t="s">
        <v>563</v>
      </c>
      <c r="B113" s="515">
        <v>693.2992314928</v>
      </c>
      <c r="C113" s="515">
        <v>-2.1121717550073842</v>
      </c>
      <c r="D113" s="478"/>
      <c r="E113" s="478" t="s">
        <v>563</v>
      </c>
      <c r="F113" s="498">
        <v>3.1899224985849144</v>
      </c>
      <c r="G113" s="499"/>
      <c r="H113" s="481"/>
      <c r="I113" s="478" t="str">
        <f t="shared" si="16"/>
        <v>Currency</v>
      </c>
      <c r="J113" s="515">
        <v>380.89718504289999</v>
      </c>
      <c r="K113" s="515">
        <v>286.30132425440001</v>
      </c>
      <c r="L113" s="515">
        <v>84.0299238538</v>
      </c>
      <c r="M113" s="516">
        <v>-57.929201658299995</v>
      </c>
      <c r="N113" s="515">
        <v>-188.81620908679997</v>
      </c>
      <c r="O113" s="515">
        <v>-111.90121714749999</v>
      </c>
      <c r="P113" s="515">
        <v>-272.35570509109999</v>
      </c>
      <c r="Q113" s="515">
        <v>3.8000390973999996</v>
      </c>
      <c r="R113" s="515">
        <v>-12.651594896900001</v>
      </c>
      <c r="S113" s="515">
        <v>-664.40531763880006</v>
      </c>
      <c r="T113" s="515">
        <v>-598.97230793570009</v>
      </c>
      <c r="U113" s="478"/>
      <c r="V113" s="478" t="str">
        <f t="shared" si="17"/>
        <v>Currency</v>
      </c>
      <c r="W113" s="515">
        <v>8.146811359589341</v>
      </c>
      <c r="X113" s="515">
        <v>5.3352249401508471</v>
      </c>
      <c r="Y113" s="515">
        <v>1.4777742781974479</v>
      </c>
      <c r="Z113" s="516">
        <v>-0.96450025578687437</v>
      </c>
      <c r="AA113" s="517">
        <v>-2.8548678109795471</v>
      </c>
      <c r="AB113" s="515">
        <v>-1.6089764413408572</v>
      </c>
      <c r="AC113" s="515">
        <v>-4.0311226110132727</v>
      </c>
      <c r="AD113" s="515">
        <v>5.7341240766384707E-2</v>
      </c>
      <c r="AE113" s="515">
        <v>-0.19451880205707109</v>
      </c>
      <c r="AF113" s="515">
        <v>-9.5287633633477338</v>
      </c>
      <c r="AG113" s="515">
        <v>-8.9436990117074213</v>
      </c>
    </row>
    <row r="114" spans="1:33" ht="12.75" x14ac:dyDescent="0.2">
      <c r="A114" s="504" t="s">
        <v>564</v>
      </c>
      <c r="B114" s="518">
        <v>2051.9411234432996</v>
      </c>
      <c r="C114" s="518">
        <v>-0.3234390203814318</v>
      </c>
      <c r="D114" s="478"/>
      <c r="E114" s="504" t="s">
        <v>564</v>
      </c>
      <c r="F114" s="506">
        <v>9.4411371859588762</v>
      </c>
      <c r="G114" s="499"/>
      <c r="H114" s="481"/>
      <c r="I114" s="504" t="str">
        <f t="shared" si="16"/>
        <v>Structure</v>
      </c>
      <c r="J114" s="518">
        <v>636.16211863159992</v>
      </c>
      <c r="K114" s="518">
        <v>665.82639539429999</v>
      </c>
      <c r="L114" s="518">
        <v>533.65496122009995</v>
      </c>
      <c r="M114" s="519">
        <v>216.29764819729999</v>
      </c>
      <c r="N114" s="518">
        <v>-80.965791851600002</v>
      </c>
      <c r="O114" s="518">
        <v>-47.981632212799994</v>
      </c>
      <c r="P114" s="518">
        <v>27.194144682900003</v>
      </c>
      <c r="Q114" s="518">
        <v>-51.942091270399999</v>
      </c>
      <c r="R114" s="518">
        <v>25.0681237909</v>
      </c>
      <c r="S114" s="518">
        <v>-4.0239999999999998E-2</v>
      </c>
      <c r="T114" s="518">
        <v>0.24340000000000001</v>
      </c>
      <c r="U114" s="478"/>
      <c r="V114" s="504" t="str">
        <f t="shared" si="17"/>
        <v>Structure</v>
      </c>
      <c r="W114" s="518">
        <v>13.6065399748875</v>
      </c>
      <c r="X114" s="518">
        <v>12.407674326235025</v>
      </c>
      <c r="Y114" s="518">
        <v>9.3850088034782537</v>
      </c>
      <c r="Z114" s="519">
        <v>3.601277611988368</v>
      </c>
      <c r="AA114" s="524">
        <v>-1.224188506196221</v>
      </c>
      <c r="AB114" s="518">
        <v>0.26658347195704474</v>
      </c>
      <c r="AC114" s="518">
        <v>0.40249911960440449</v>
      </c>
      <c r="AD114" s="518">
        <v>-0.78378771510097989</v>
      </c>
      <c r="AE114" s="518">
        <v>0.38542345446257087</v>
      </c>
      <c r="AF114" s="518">
        <v>-5.7737444281339182E-4</v>
      </c>
      <c r="AG114" s="518">
        <v>3.6343856145070346E-3</v>
      </c>
    </row>
    <row r="115" spans="1:33" ht="12.75" x14ac:dyDescent="0.2">
      <c r="A115" s="478" t="s">
        <v>477</v>
      </c>
      <c r="B115" s="515">
        <v>5386</v>
      </c>
      <c r="C115" s="515">
        <v>1</v>
      </c>
      <c r="D115" s="478"/>
      <c r="E115" s="478" t="s">
        <v>477</v>
      </c>
      <c r="F115" s="498">
        <v>25</v>
      </c>
      <c r="G115" s="499"/>
      <c r="H115" s="481"/>
      <c r="I115" s="478" t="str">
        <f t="shared" si="16"/>
        <v>Total</v>
      </c>
      <c r="J115" s="515">
        <v>1938.4191967887</v>
      </c>
      <c r="K115" s="515">
        <v>1655.0837923698</v>
      </c>
      <c r="L115" s="515">
        <v>1172.5749616597</v>
      </c>
      <c r="M115" s="516">
        <v>620.92468894930005</v>
      </c>
      <c r="N115" s="515">
        <v>-109.78638806469998</v>
      </c>
      <c r="O115" s="515">
        <v>-51.849044331799973</v>
      </c>
      <c r="P115" s="515">
        <v>-60.181065056499989</v>
      </c>
      <c r="Q115" s="515">
        <v>391.03115177350003</v>
      </c>
      <c r="R115" s="515">
        <v>127.404730894</v>
      </c>
      <c r="S115" s="515">
        <v>-546.4316983384</v>
      </c>
      <c r="T115" s="515">
        <v>-408.67607733350007</v>
      </c>
      <c r="U115" s="478"/>
      <c r="V115" s="478" t="str">
        <f t="shared" si="17"/>
        <v>Total</v>
      </c>
      <c r="W115" s="515">
        <v>41</v>
      </c>
      <c r="X115" s="515">
        <v>31</v>
      </c>
      <c r="Y115" s="515">
        <v>21</v>
      </c>
      <c r="Z115" s="516">
        <v>10</v>
      </c>
      <c r="AA115" s="517">
        <v>-2</v>
      </c>
      <c r="AB115" s="515">
        <v>0</v>
      </c>
      <c r="AC115" s="515">
        <v>-1</v>
      </c>
      <c r="AD115" s="515">
        <v>6</v>
      </c>
      <c r="AE115" s="515">
        <v>2</v>
      </c>
      <c r="AF115" s="515">
        <v>-8</v>
      </c>
      <c r="AG115" s="515">
        <v>-6</v>
      </c>
    </row>
    <row r="116" spans="1:33" ht="12.75" x14ac:dyDescent="0.2">
      <c r="A116" s="491" t="s">
        <v>565</v>
      </c>
      <c r="B116" s="492">
        <v>27120.048899523201</v>
      </c>
      <c r="C116" s="492">
        <v>27187.763206063199</v>
      </c>
      <c r="D116" s="478"/>
      <c r="E116" s="491" t="s">
        <v>565</v>
      </c>
      <c r="F116" s="493">
        <v>27120.048899523201</v>
      </c>
      <c r="G116" s="494"/>
      <c r="H116" s="481"/>
      <c r="I116" s="491" t="str">
        <f t="shared" si="16"/>
        <v>Operational closing balance</v>
      </c>
      <c r="J116" s="492">
        <v>6612.8335181790999</v>
      </c>
      <c r="K116" s="492">
        <v>7021.3303417853003</v>
      </c>
      <c r="L116" s="492">
        <v>6858.8238762299006</v>
      </c>
      <c r="M116" s="493">
        <v>6627.0611633288991</v>
      </c>
      <c r="N116" s="492">
        <v>6504.0473019096999</v>
      </c>
      <c r="O116" s="492">
        <v>6969.4806378891999</v>
      </c>
      <c r="P116" s="492">
        <v>6696.1429511618999</v>
      </c>
      <c r="Q116" s="492">
        <v>7018.0923151023999</v>
      </c>
      <c r="R116" s="492">
        <v>6631.5520328037001</v>
      </c>
      <c r="S116" s="492">
        <v>6422.5489395508002</v>
      </c>
      <c r="T116" s="492">
        <v>6288.4668738284008</v>
      </c>
      <c r="U116" s="478"/>
      <c r="V116" s="491" t="str">
        <f t="shared" si="17"/>
        <v>Operational closing balance</v>
      </c>
      <c r="W116" s="492">
        <v>6612.8335181790999</v>
      </c>
      <c r="X116" s="492">
        <v>7021.3303417853003</v>
      </c>
      <c r="Y116" s="492">
        <v>6858.8238762299006</v>
      </c>
      <c r="Z116" s="493">
        <v>6627.0611633288991</v>
      </c>
      <c r="AA116" s="495">
        <v>6504.0473019096999</v>
      </c>
      <c r="AB116" s="492">
        <v>6969.4806378891999</v>
      </c>
      <c r="AC116" s="492">
        <v>6696.1429511618999</v>
      </c>
      <c r="AD116" s="492">
        <v>7018.0923151023999</v>
      </c>
      <c r="AE116" s="492">
        <v>6631.5520328037001</v>
      </c>
      <c r="AF116" s="492">
        <v>6422.5489395508002</v>
      </c>
      <c r="AG116" s="492">
        <v>6288.4668738284008</v>
      </c>
    </row>
    <row r="117" spans="1:33" ht="12.75" x14ac:dyDescent="0.2">
      <c r="A117" s="478" t="s">
        <v>567</v>
      </c>
      <c r="B117" s="496">
        <v>0</v>
      </c>
      <c r="C117" s="496">
        <v>0</v>
      </c>
      <c r="D117" s="478"/>
      <c r="E117" s="478" t="s">
        <v>568</v>
      </c>
      <c r="F117" s="498">
        <v>0</v>
      </c>
      <c r="G117" s="499"/>
      <c r="H117" s="481"/>
      <c r="I117" s="478" t="s">
        <v>567</v>
      </c>
      <c r="J117" s="496">
        <v>0</v>
      </c>
      <c r="K117" s="496">
        <v>0</v>
      </c>
      <c r="L117" s="496">
        <v>0</v>
      </c>
      <c r="M117" s="500">
        <v>0</v>
      </c>
      <c r="N117" s="496">
        <v>0</v>
      </c>
      <c r="O117" s="496">
        <v>0</v>
      </c>
      <c r="P117" s="496">
        <v>0</v>
      </c>
      <c r="Q117" s="496">
        <v>0</v>
      </c>
      <c r="R117" s="496">
        <v>0</v>
      </c>
      <c r="S117" s="496">
        <v>0</v>
      </c>
      <c r="T117" s="496">
        <v>0</v>
      </c>
      <c r="U117" s="478"/>
      <c r="V117" s="478" t="s">
        <v>567</v>
      </c>
      <c r="W117" s="496">
        <v>0</v>
      </c>
      <c r="X117" s="496">
        <v>0</v>
      </c>
      <c r="Y117" s="496">
        <v>0</v>
      </c>
      <c r="Z117" s="500">
        <v>0</v>
      </c>
      <c r="AA117" s="514">
        <v>0</v>
      </c>
      <c r="AB117" s="496">
        <v>0</v>
      </c>
      <c r="AC117" s="496">
        <v>0</v>
      </c>
      <c r="AD117" s="496">
        <v>0</v>
      </c>
      <c r="AE117" s="496">
        <v>0</v>
      </c>
      <c r="AF117" s="496">
        <v>0</v>
      </c>
      <c r="AG117" s="496">
        <v>0</v>
      </c>
    </row>
    <row r="118" spans="1:33" ht="12.75" x14ac:dyDescent="0.2">
      <c r="A118" s="508" t="s">
        <v>566</v>
      </c>
      <c r="B118" s="509">
        <v>27120.048551742701</v>
      </c>
      <c r="C118" s="509">
        <v>27187.763206063199</v>
      </c>
      <c r="D118" s="478"/>
      <c r="E118" s="508" t="s">
        <v>566</v>
      </c>
      <c r="F118" s="510">
        <v>27120.048551742701</v>
      </c>
      <c r="G118" s="494"/>
      <c r="H118" s="481"/>
      <c r="I118" s="508" t="str">
        <f>A118</f>
        <v>Reported closing balance</v>
      </c>
      <c r="J118" s="509">
        <v>6612.8336899743999</v>
      </c>
      <c r="K118" s="509">
        <v>7021.3296822209995</v>
      </c>
      <c r="L118" s="509">
        <v>6858.8240162184002</v>
      </c>
      <c r="M118" s="510">
        <v>6627.0611633289</v>
      </c>
      <c r="N118" s="509">
        <v>6504.0473019096999</v>
      </c>
      <c r="O118" s="509">
        <v>6969.4806378891999</v>
      </c>
      <c r="P118" s="509">
        <v>6696.1429511619008</v>
      </c>
      <c r="Q118" s="509">
        <v>7018.0923151023999</v>
      </c>
      <c r="R118" s="509">
        <v>6631.5520328037001</v>
      </c>
      <c r="S118" s="509">
        <v>6422.5489395508002</v>
      </c>
      <c r="T118" s="509">
        <v>6287.7668738283992</v>
      </c>
      <c r="U118" s="478"/>
      <c r="V118" s="508" t="str">
        <f>E118</f>
        <v>Reported closing balance</v>
      </c>
      <c r="W118" s="509">
        <v>6612.8336899743999</v>
      </c>
      <c r="X118" s="509">
        <v>7021.3296822209995</v>
      </c>
      <c r="Y118" s="509">
        <v>6858.8240162184002</v>
      </c>
      <c r="Z118" s="510">
        <v>6627.0611633289</v>
      </c>
      <c r="AA118" s="511">
        <v>6504.0473019096999</v>
      </c>
      <c r="AB118" s="509">
        <v>6969.4806378891999</v>
      </c>
      <c r="AC118" s="509">
        <v>6696.1429511619008</v>
      </c>
      <c r="AD118" s="509">
        <v>7018.0923151023999</v>
      </c>
      <c r="AE118" s="509">
        <v>6631.5520328037001</v>
      </c>
      <c r="AF118" s="509">
        <v>6422.5489395508002</v>
      </c>
      <c r="AG118" s="509">
        <v>6287.7668738283992</v>
      </c>
    </row>
    <row r="119" spans="1:33" ht="12.75" x14ac:dyDescent="0.2">
      <c r="A119" s="478"/>
      <c r="B119" s="478"/>
      <c r="C119" s="478"/>
      <c r="D119" s="478"/>
      <c r="E119" s="478"/>
      <c r="F119" s="512"/>
      <c r="G119" s="513"/>
      <c r="H119" s="481"/>
      <c r="I119" s="478"/>
      <c r="J119" s="478"/>
      <c r="K119" s="478"/>
      <c r="L119" s="478"/>
      <c r="M119" s="512"/>
      <c r="N119" s="478"/>
      <c r="O119" s="478"/>
      <c r="P119" s="478"/>
      <c r="Q119" s="478"/>
      <c r="R119" s="478"/>
      <c r="S119" s="478"/>
      <c r="T119" s="478"/>
      <c r="U119" s="478"/>
      <c r="V119" s="478"/>
      <c r="W119" s="478"/>
      <c r="X119" s="478"/>
      <c r="Y119" s="478"/>
      <c r="Z119" s="478"/>
      <c r="AA119" s="478"/>
      <c r="AB119" s="478"/>
      <c r="AC119" s="478"/>
      <c r="AD119" s="478"/>
      <c r="AE119" s="478"/>
      <c r="AF119" s="478"/>
    </row>
    <row r="120" spans="1:33" ht="12.75" x14ac:dyDescent="0.2">
      <c r="A120" s="520" t="s">
        <v>508</v>
      </c>
      <c r="B120" s="520"/>
      <c r="C120" s="520"/>
      <c r="D120" s="478"/>
      <c r="E120" s="520" t="s">
        <v>508</v>
      </c>
      <c r="F120" s="521"/>
      <c r="G120" s="487"/>
      <c r="H120" s="481"/>
      <c r="I120" s="520" t="str">
        <f t="shared" ref="I120:I129" si="18">A120</f>
        <v xml:space="preserve">Revenues </v>
      </c>
      <c r="J120" s="520"/>
      <c r="K120" s="520"/>
      <c r="L120" s="520"/>
      <c r="M120" s="521"/>
      <c r="N120" s="520"/>
      <c r="O120" s="520"/>
      <c r="P120" s="520"/>
      <c r="Q120" s="520"/>
      <c r="R120" s="520"/>
      <c r="S120" s="520"/>
      <c r="T120" s="520"/>
      <c r="U120" s="478"/>
      <c r="V120" s="520" t="str">
        <f>E120</f>
        <v xml:space="preserve">Revenues </v>
      </c>
      <c r="W120" s="520"/>
      <c r="X120" s="520"/>
      <c r="Y120" s="520"/>
      <c r="Z120" s="521"/>
      <c r="AA120" s="522"/>
      <c r="AB120" s="520"/>
      <c r="AC120" s="520"/>
      <c r="AD120" s="520"/>
      <c r="AE120" s="520"/>
      <c r="AF120" s="520"/>
      <c r="AG120" s="520"/>
    </row>
    <row r="121" spans="1:33" ht="12.75" x14ac:dyDescent="0.2">
      <c r="A121" s="322" t="s">
        <v>299</v>
      </c>
      <c r="B121" s="322">
        <v>2023</v>
      </c>
      <c r="C121" s="322">
        <v>2024</v>
      </c>
      <c r="D121" s="478"/>
      <c r="E121" s="322" t="s">
        <v>299</v>
      </c>
      <c r="F121" s="489">
        <v>2023</v>
      </c>
      <c r="G121" s="487"/>
      <c r="H121" s="481"/>
      <c r="I121" s="322" t="str">
        <f t="shared" si="18"/>
        <v>Tools &amp; Attachments</v>
      </c>
      <c r="J121" s="322" t="s">
        <v>151</v>
      </c>
      <c r="K121" s="322" t="s">
        <v>152</v>
      </c>
      <c r="L121" s="322" t="s">
        <v>153</v>
      </c>
      <c r="M121" s="489" t="s">
        <v>154</v>
      </c>
      <c r="N121" s="322" t="s">
        <v>155</v>
      </c>
      <c r="O121" s="322" t="s">
        <v>156</v>
      </c>
      <c r="P121" s="322" t="s">
        <v>157</v>
      </c>
      <c r="Q121" s="322" t="s">
        <v>158</v>
      </c>
      <c r="R121" s="322" t="s">
        <v>159</v>
      </c>
      <c r="S121" s="322" t="s">
        <v>160</v>
      </c>
      <c r="T121" s="322" t="s">
        <v>161</v>
      </c>
      <c r="U121" s="478"/>
      <c r="V121" s="322" t="str">
        <f>E121</f>
        <v>Tools &amp; Attachments</v>
      </c>
      <c r="W121" s="322" t="s">
        <v>151</v>
      </c>
      <c r="X121" s="322" t="s">
        <v>152</v>
      </c>
      <c r="Y121" s="322" t="s">
        <v>153</v>
      </c>
      <c r="Z121" s="489" t="s">
        <v>154</v>
      </c>
      <c r="AA121" s="490" t="s">
        <v>155</v>
      </c>
      <c r="AB121" s="322" t="s">
        <v>156</v>
      </c>
      <c r="AC121" s="322" t="s">
        <v>157</v>
      </c>
      <c r="AD121" s="322" t="s">
        <v>158</v>
      </c>
      <c r="AE121" s="322" t="s">
        <v>159</v>
      </c>
      <c r="AF121" s="322" t="s">
        <v>160</v>
      </c>
      <c r="AG121" s="322" t="s">
        <v>161</v>
      </c>
    </row>
    <row r="122" spans="1:33" ht="12.75" x14ac:dyDescent="0.2">
      <c r="A122" s="491" t="s">
        <v>559</v>
      </c>
      <c r="B122" s="492">
        <v>10805.786807709101</v>
      </c>
      <c r="C122" s="492">
        <v>12723.131843975299</v>
      </c>
      <c r="D122" s="478"/>
      <c r="E122" s="491" t="s">
        <v>559</v>
      </c>
      <c r="F122" s="493">
        <v>10805.786807709101</v>
      </c>
      <c r="G122" s="494"/>
      <c r="H122" s="481"/>
      <c r="I122" s="491" t="str">
        <f t="shared" si="18"/>
        <v>Reported opening balance</v>
      </c>
      <c r="J122" s="492">
        <v>2587.5679193008</v>
      </c>
      <c r="K122" s="492">
        <v>2793.9343391415</v>
      </c>
      <c r="L122" s="492">
        <v>2711.2016151501998</v>
      </c>
      <c r="M122" s="493">
        <v>2713.0829341166</v>
      </c>
      <c r="N122" s="492">
        <v>3125.4963094281002</v>
      </c>
      <c r="O122" s="492">
        <v>3417.8026817412001</v>
      </c>
      <c r="P122" s="492">
        <v>3194.7805751239998</v>
      </c>
      <c r="Q122" s="492">
        <v>2985.0522776819998</v>
      </c>
      <c r="R122" s="492">
        <v>2948.8386474096001</v>
      </c>
      <c r="S122" s="492">
        <v>3991.2357640445998</v>
      </c>
      <c r="T122" s="492">
        <v>3809.3538564466999</v>
      </c>
      <c r="U122" s="478"/>
      <c r="V122" s="491" t="str">
        <f>E122</f>
        <v>Reported opening balance</v>
      </c>
      <c r="W122" s="492">
        <v>2587.5679193008</v>
      </c>
      <c r="X122" s="492">
        <v>2793.9343391415</v>
      </c>
      <c r="Y122" s="492">
        <v>2711.2016151501998</v>
      </c>
      <c r="Z122" s="493">
        <v>2713.0829341166</v>
      </c>
      <c r="AA122" s="495">
        <v>3125.4963094281002</v>
      </c>
      <c r="AB122" s="492">
        <v>3417.8026817412001</v>
      </c>
      <c r="AC122" s="492">
        <v>3194.7805751239998</v>
      </c>
      <c r="AD122" s="492">
        <v>2985.0522776819998</v>
      </c>
      <c r="AE122" s="492">
        <v>2948.8386474096001</v>
      </c>
      <c r="AF122" s="492">
        <v>3991.2357640445998</v>
      </c>
      <c r="AG122" s="492">
        <v>3809.3538564466999</v>
      </c>
    </row>
    <row r="123" spans="1:33" ht="12.75" x14ac:dyDescent="0.2">
      <c r="A123" s="478" t="s">
        <v>567</v>
      </c>
      <c r="B123" s="496">
        <v>0</v>
      </c>
      <c r="C123" s="496">
        <v>0</v>
      </c>
      <c r="D123" s="478"/>
      <c r="E123" s="478" t="s">
        <v>568</v>
      </c>
      <c r="F123" s="498">
        <v>0</v>
      </c>
      <c r="G123" s="499"/>
      <c r="H123" s="481"/>
      <c r="I123" s="478" t="str">
        <f t="shared" si="18"/>
        <v>Adjustment</v>
      </c>
      <c r="J123" s="496">
        <v>0</v>
      </c>
      <c r="K123" s="496">
        <v>0</v>
      </c>
      <c r="L123" s="496">
        <v>0</v>
      </c>
      <c r="M123" s="500">
        <v>0</v>
      </c>
      <c r="N123" s="496">
        <v>0</v>
      </c>
      <c r="O123" s="496">
        <v>0</v>
      </c>
      <c r="P123" s="496">
        <v>0</v>
      </c>
      <c r="Q123" s="496">
        <v>0</v>
      </c>
      <c r="R123" s="496">
        <v>0</v>
      </c>
      <c r="S123" s="496">
        <v>0</v>
      </c>
      <c r="T123" s="496">
        <v>0</v>
      </c>
      <c r="U123" s="478"/>
      <c r="V123" s="478" t="s">
        <v>567</v>
      </c>
      <c r="W123" s="496">
        <v>0</v>
      </c>
      <c r="X123" s="496">
        <v>0</v>
      </c>
      <c r="Y123" s="496">
        <v>0</v>
      </c>
      <c r="Z123" s="500">
        <v>0</v>
      </c>
      <c r="AA123" s="514">
        <v>0</v>
      </c>
      <c r="AB123" s="496">
        <v>0</v>
      </c>
      <c r="AC123" s="496">
        <v>0</v>
      </c>
      <c r="AD123" s="496">
        <v>0</v>
      </c>
      <c r="AE123" s="496">
        <v>0</v>
      </c>
      <c r="AF123" s="496">
        <v>0</v>
      </c>
      <c r="AG123" s="496">
        <v>0</v>
      </c>
    </row>
    <row r="124" spans="1:33" ht="12.75" x14ac:dyDescent="0.2">
      <c r="A124" s="491" t="s">
        <v>561</v>
      </c>
      <c r="B124" s="492">
        <v>10805.786807709101</v>
      </c>
      <c r="C124" s="492">
        <v>12723.131843975299</v>
      </c>
      <c r="D124" s="478"/>
      <c r="E124" s="491" t="s">
        <v>561</v>
      </c>
      <c r="F124" s="493">
        <v>10805.786807709101</v>
      </c>
      <c r="G124" s="494"/>
      <c r="H124" s="481"/>
      <c r="I124" s="491" t="str">
        <f t="shared" si="18"/>
        <v>Adjusted opening balance</v>
      </c>
      <c r="J124" s="492">
        <v>2587.5679193008</v>
      </c>
      <c r="K124" s="492">
        <v>2793.9343391415</v>
      </c>
      <c r="L124" s="492">
        <v>2711.2016151501998</v>
      </c>
      <c r="M124" s="493">
        <v>2713.0829341166</v>
      </c>
      <c r="N124" s="492">
        <v>3125.4963094281002</v>
      </c>
      <c r="O124" s="492">
        <v>3417.8026817412001</v>
      </c>
      <c r="P124" s="492">
        <v>3194.7805751239998</v>
      </c>
      <c r="Q124" s="492">
        <v>2985.0522776819998</v>
      </c>
      <c r="R124" s="492">
        <v>2948.8386474096001</v>
      </c>
      <c r="S124" s="492">
        <v>3991.2357640445998</v>
      </c>
      <c r="T124" s="492">
        <v>3809.3538564466999</v>
      </c>
      <c r="U124" s="478"/>
      <c r="V124" s="491" t="str">
        <f t="shared" ref="V124:V129" si="19">E124</f>
        <v>Adjusted opening balance</v>
      </c>
      <c r="W124" s="492">
        <v>2587.5679193008</v>
      </c>
      <c r="X124" s="492">
        <v>2793.9343391415</v>
      </c>
      <c r="Y124" s="492">
        <v>2711.2016151501998</v>
      </c>
      <c r="Z124" s="493">
        <v>2713.0829341166</v>
      </c>
      <c r="AA124" s="495">
        <v>3125.4963094281002</v>
      </c>
      <c r="AB124" s="492">
        <v>3417.8026817412001</v>
      </c>
      <c r="AC124" s="492">
        <v>3194.7805751239998</v>
      </c>
      <c r="AD124" s="492">
        <v>2985.0522776819998</v>
      </c>
      <c r="AE124" s="492">
        <v>2948.8386474096001</v>
      </c>
      <c r="AF124" s="492">
        <v>3991.2357640445998</v>
      </c>
      <c r="AG124" s="492">
        <v>3809.3538564466999</v>
      </c>
    </row>
    <row r="125" spans="1:33" ht="12.75" x14ac:dyDescent="0.2">
      <c r="A125" s="478" t="s">
        <v>562</v>
      </c>
      <c r="B125" s="515">
        <v>-69</v>
      </c>
      <c r="C125" s="515">
        <v>-6</v>
      </c>
      <c r="D125" s="478"/>
      <c r="E125" s="478" t="s">
        <v>562</v>
      </c>
      <c r="F125" s="498">
        <v>0</v>
      </c>
      <c r="G125" s="499"/>
      <c r="H125" s="481"/>
      <c r="I125" s="478" t="str">
        <f t="shared" si="18"/>
        <v>Organic</v>
      </c>
      <c r="J125" s="515">
        <v>86.165282994899997</v>
      </c>
      <c r="K125" s="515">
        <v>-14.984892716899999</v>
      </c>
      <c r="L125" s="515">
        <v>-45.382403568999997</v>
      </c>
      <c r="M125" s="516">
        <v>-95.495681736799995</v>
      </c>
      <c r="N125" s="515">
        <v>-234</v>
      </c>
      <c r="O125" s="515">
        <v>-373.57249128220002</v>
      </c>
      <c r="P125" s="515">
        <v>-152.75394726779999</v>
      </c>
      <c r="Q125" s="515">
        <v>-23.355023150299999</v>
      </c>
      <c r="R125" s="515">
        <v>-89.414978686300003</v>
      </c>
      <c r="S125" s="515">
        <v>-66.931086063600006</v>
      </c>
      <c r="T125" s="515">
        <v>163.67634967289999</v>
      </c>
      <c r="U125" s="478"/>
      <c r="V125" s="478" t="str">
        <f t="shared" si="19"/>
        <v>Organic</v>
      </c>
      <c r="W125" s="515">
        <v>3</v>
      </c>
      <c r="X125" s="515">
        <v>0</v>
      </c>
      <c r="Y125" s="515">
        <v>-2</v>
      </c>
      <c r="Z125" s="516">
        <v>-4</v>
      </c>
      <c r="AA125" s="517">
        <v>-8</v>
      </c>
      <c r="AB125" s="515">
        <v>-10</v>
      </c>
      <c r="AC125" s="515">
        <v>-5</v>
      </c>
      <c r="AD125" s="515">
        <v>-1</v>
      </c>
      <c r="AE125" s="515">
        <v>-3</v>
      </c>
      <c r="AF125" s="515">
        <v>-2</v>
      </c>
      <c r="AG125" s="515">
        <v>4</v>
      </c>
    </row>
    <row r="126" spans="1:33" ht="12.75" x14ac:dyDescent="0.2">
      <c r="A126" s="478" t="s">
        <v>563</v>
      </c>
      <c r="B126" s="515">
        <v>235.73808701370001</v>
      </c>
      <c r="C126" s="515">
        <v>-1.2039404326909797</v>
      </c>
      <c r="D126" s="478"/>
      <c r="E126" s="478" t="s">
        <v>563</v>
      </c>
      <c r="F126" s="498">
        <v>2.1815911345346826</v>
      </c>
      <c r="G126" s="499"/>
      <c r="H126" s="481"/>
      <c r="I126" s="478" t="str">
        <f t="shared" si="18"/>
        <v>Currency</v>
      </c>
      <c r="J126" s="515">
        <v>146.63982718170001</v>
      </c>
      <c r="K126" s="515">
        <v>97.625840191600005</v>
      </c>
      <c r="L126" s="515">
        <v>26.091797919200001</v>
      </c>
      <c r="M126" s="516">
        <v>-34.619378278799999</v>
      </c>
      <c r="N126" s="515">
        <v>-70.877295332399996</v>
      </c>
      <c r="O126" s="515">
        <v>-19.978801356799998</v>
      </c>
      <c r="P126" s="515">
        <v>-102.7699101118</v>
      </c>
      <c r="Q126" s="515">
        <v>40.447078226800002</v>
      </c>
      <c r="R126" s="515">
        <v>-7.6855830999999999E-2</v>
      </c>
      <c r="S126" s="515">
        <v>-331.95290564620001</v>
      </c>
      <c r="T126" s="515">
        <v>-294.73507745529997</v>
      </c>
      <c r="U126" s="478"/>
      <c r="V126" s="478" t="str">
        <f t="shared" si="19"/>
        <v>Currency</v>
      </c>
      <c r="W126" s="515">
        <v>5.6670909423442035</v>
      </c>
      <c r="X126" s="515">
        <v>3.4942066756514318</v>
      </c>
      <c r="Y126" s="515">
        <v>0.9623702558083097</v>
      </c>
      <c r="Z126" s="516">
        <v>-1.2760162191677464</v>
      </c>
      <c r="AA126" s="517">
        <v>-2.2677132946405254</v>
      </c>
      <c r="AB126" s="515">
        <v>-0.58455104689138448</v>
      </c>
      <c r="AC126" s="515">
        <v>-3.2168065284987897</v>
      </c>
      <c r="AD126" s="515">
        <v>1.3549872653556543</v>
      </c>
      <c r="AE126" s="515">
        <v>-2.6063084552799729E-3</v>
      </c>
      <c r="AF126" s="515">
        <v>-8.3170457790699093</v>
      </c>
      <c r="AG126" s="515">
        <v>-7.7371409578165</v>
      </c>
    </row>
    <row r="127" spans="1:33" ht="12.75" x14ac:dyDescent="0.2">
      <c r="A127" s="504" t="s">
        <v>564</v>
      </c>
      <c r="B127" s="518">
        <v>1750.3046442802001</v>
      </c>
      <c r="C127" s="518">
        <v>22.439904081225386</v>
      </c>
      <c r="D127" s="478"/>
      <c r="E127" s="504" t="s">
        <v>564</v>
      </c>
      <c r="F127" s="506">
        <v>16.197845426965966</v>
      </c>
      <c r="G127" s="499"/>
      <c r="H127" s="481"/>
      <c r="I127" s="504" t="str">
        <f t="shared" si="18"/>
        <v>Structure</v>
      </c>
      <c r="J127" s="518">
        <v>304.12327995070001</v>
      </c>
      <c r="K127" s="518">
        <v>541.2273951249</v>
      </c>
      <c r="L127" s="518">
        <v>502.8695656237</v>
      </c>
      <c r="M127" s="519">
        <v>402.08440358090002</v>
      </c>
      <c r="N127" s="518">
        <v>128.76333595649999</v>
      </c>
      <c r="O127" s="518">
        <v>966.9843749424</v>
      </c>
      <c r="P127" s="518">
        <v>870.09713870209998</v>
      </c>
      <c r="Q127" s="518">
        <v>889.21373231489997</v>
      </c>
      <c r="R127" s="518">
        <v>951.55612403650002</v>
      </c>
      <c r="S127" s="518">
        <v>72.647590079799997</v>
      </c>
      <c r="T127" s="518">
        <v>26.055528545600001</v>
      </c>
      <c r="U127" s="478"/>
      <c r="V127" s="504" t="str">
        <f t="shared" si="19"/>
        <v>Structure</v>
      </c>
      <c r="W127" s="518">
        <v>11.753248201998066</v>
      </c>
      <c r="X127" s="518">
        <v>19.371514482019091</v>
      </c>
      <c r="Y127" s="518">
        <v>18.547848408383349</v>
      </c>
      <c r="Z127" s="519">
        <v>14.82020319116495</v>
      </c>
      <c r="AA127" s="524">
        <v>4.1197724523968793</v>
      </c>
      <c r="AB127" s="518">
        <v>28.292574644764734</v>
      </c>
      <c r="AC127" s="518">
        <v>27.23495771437538</v>
      </c>
      <c r="AD127" s="518">
        <v>29.788883061217486</v>
      </c>
      <c r="AE127" s="518">
        <v>32.26884335880473</v>
      </c>
      <c r="AF127" s="518">
        <v>1.8201778690763455</v>
      </c>
      <c r="AG127" s="518">
        <v>0.68398813886783816</v>
      </c>
    </row>
    <row r="128" spans="1:33" ht="12.75" x14ac:dyDescent="0.2">
      <c r="A128" s="478" t="s">
        <v>477</v>
      </c>
      <c r="B128" s="515">
        <v>1917</v>
      </c>
      <c r="C128" s="515">
        <v>15</v>
      </c>
      <c r="D128" s="478"/>
      <c r="E128" s="478" t="s">
        <v>477</v>
      </c>
      <c r="F128" s="498">
        <v>18</v>
      </c>
      <c r="G128" s="499"/>
      <c r="H128" s="481"/>
      <c r="I128" s="478" t="str">
        <f t="shared" si="18"/>
        <v>Total</v>
      </c>
      <c r="J128" s="515">
        <v>536.92839012729996</v>
      </c>
      <c r="K128" s="515">
        <v>623.86834259960006</v>
      </c>
      <c r="L128" s="515">
        <v>483.5789599739</v>
      </c>
      <c r="M128" s="516">
        <v>271.96934356530005</v>
      </c>
      <c r="N128" s="515">
        <v>-176</v>
      </c>
      <c r="O128" s="515">
        <v>573.43308230339994</v>
      </c>
      <c r="P128" s="515">
        <v>614.57328132249995</v>
      </c>
      <c r="Q128" s="515">
        <v>906.30578739139992</v>
      </c>
      <c r="R128" s="515">
        <v>862.06428951919997</v>
      </c>
      <c r="S128" s="515">
        <v>-326.23640162999999</v>
      </c>
      <c r="T128" s="515">
        <v>-105.00319923679999</v>
      </c>
      <c r="U128" s="478"/>
      <c r="V128" s="478" t="str">
        <f t="shared" si="19"/>
        <v>Total</v>
      </c>
      <c r="W128" s="515">
        <v>21</v>
      </c>
      <c r="X128" s="515">
        <v>22</v>
      </c>
      <c r="Y128" s="515">
        <v>18</v>
      </c>
      <c r="Z128" s="516">
        <v>10</v>
      </c>
      <c r="AA128" s="517">
        <v>-6</v>
      </c>
      <c r="AB128" s="515">
        <v>17</v>
      </c>
      <c r="AC128" s="515">
        <v>19</v>
      </c>
      <c r="AD128" s="515">
        <v>30</v>
      </c>
      <c r="AE128" s="515">
        <v>29</v>
      </c>
      <c r="AF128" s="515">
        <v>-8</v>
      </c>
      <c r="AG128" s="515">
        <v>-3</v>
      </c>
    </row>
    <row r="129" spans="1:33" ht="12.75" x14ac:dyDescent="0.2">
      <c r="A129" s="491" t="s">
        <v>565</v>
      </c>
      <c r="B129" s="492">
        <v>12723.131843975199</v>
      </c>
      <c r="C129" s="492">
        <v>14640.786332974099</v>
      </c>
      <c r="D129" s="478"/>
      <c r="E129" s="491" t="s">
        <v>565</v>
      </c>
      <c r="F129" s="493">
        <v>12723.131843975199</v>
      </c>
      <c r="G129" s="494"/>
      <c r="H129" s="481"/>
      <c r="I129" s="491" t="str">
        <f t="shared" si="18"/>
        <v>Operational closing balance</v>
      </c>
      <c r="J129" s="492">
        <v>3125.4963094281002</v>
      </c>
      <c r="K129" s="492">
        <v>3417.8026817411001</v>
      </c>
      <c r="L129" s="492">
        <v>3194.7805751240999</v>
      </c>
      <c r="M129" s="493">
        <v>2985.0522776818998</v>
      </c>
      <c r="N129" s="492">
        <v>2948.8386474096001</v>
      </c>
      <c r="O129" s="492">
        <v>3991.2357640445998</v>
      </c>
      <c r="P129" s="492">
        <v>3809.3538564464998</v>
      </c>
      <c r="Q129" s="492">
        <v>3891.3580650733998</v>
      </c>
      <c r="R129" s="492">
        <v>3810.9029369288</v>
      </c>
      <c r="S129" s="492">
        <v>3664.9993624146</v>
      </c>
      <c r="T129" s="492">
        <v>3704.3506572099</v>
      </c>
      <c r="U129" s="478"/>
      <c r="V129" s="491" t="str">
        <f t="shared" si="19"/>
        <v>Operational closing balance</v>
      </c>
      <c r="W129" s="492">
        <v>3125.4963094281002</v>
      </c>
      <c r="X129" s="492">
        <v>3417.8026817411001</v>
      </c>
      <c r="Y129" s="492">
        <v>3194.7805751240999</v>
      </c>
      <c r="Z129" s="493">
        <v>2985.0522776818998</v>
      </c>
      <c r="AA129" s="495">
        <v>2948.8386474096001</v>
      </c>
      <c r="AB129" s="492">
        <v>3991.2357640445998</v>
      </c>
      <c r="AC129" s="492">
        <v>3809.3538564464998</v>
      </c>
      <c r="AD129" s="492">
        <v>3891.3580650733998</v>
      </c>
      <c r="AE129" s="492">
        <v>3810.9029369288</v>
      </c>
      <c r="AF129" s="492">
        <v>3664.9993624146</v>
      </c>
      <c r="AG129" s="492">
        <v>3704.3506572099</v>
      </c>
    </row>
    <row r="130" spans="1:33" ht="12.75" x14ac:dyDescent="0.2">
      <c r="A130" s="478" t="s">
        <v>567</v>
      </c>
      <c r="B130" s="496">
        <v>0</v>
      </c>
      <c r="C130" s="496">
        <v>0</v>
      </c>
      <c r="D130" s="478"/>
      <c r="E130" s="478" t="s">
        <v>568</v>
      </c>
      <c r="F130" s="498">
        <v>0</v>
      </c>
      <c r="G130" s="499"/>
      <c r="H130" s="481"/>
      <c r="I130" s="478" t="s">
        <v>567</v>
      </c>
      <c r="J130" s="496">
        <v>0</v>
      </c>
      <c r="K130" s="496">
        <v>0</v>
      </c>
      <c r="L130" s="496">
        <v>0</v>
      </c>
      <c r="M130" s="500">
        <v>0</v>
      </c>
      <c r="N130" s="496">
        <v>0</v>
      </c>
      <c r="O130" s="496">
        <v>0</v>
      </c>
      <c r="P130" s="496">
        <v>0</v>
      </c>
      <c r="Q130" s="496">
        <v>0</v>
      </c>
      <c r="R130" s="496">
        <v>0</v>
      </c>
      <c r="S130" s="496">
        <v>0</v>
      </c>
      <c r="T130" s="496">
        <v>0</v>
      </c>
      <c r="U130" s="478"/>
      <c r="V130" s="478" t="s">
        <v>567</v>
      </c>
      <c r="W130" s="496">
        <v>0</v>
      </c>
      <c r="X130" s="496">
        <v>0</v>
      </c>
      <c r="Y130" s="496">
        <v>0</v>
      </c>
      <c r="Z130" s="500">
        <v>0</v>
      </c>
      <c r="AA130" s="514">
        <v>0</v>
      </c>
      <c r="AB130" s="496">
        <v>0</v>
      </c>
      <c r="AC130" s="496">
        <v>0</v>
      </c>
      <c r="AD130" s="496">
        <v>0</v>
      </c>
      <c r="AE130" s="496">
        <v>0</v>
      </c>
      <c r="AF130" s="496">
        <v>0</v>
      </c>
      <c r="AG130" s="496">
        <v>0</v>
      </c>
    </row>
    <row r="131" spans="1:33" ht="12.75" x14ac:dyDescent="0.2">
      <c r="A131" s="508" t="s">
        <v>566</v>
      </c>
      <c r="B131" s="509">
        <v>12723.131843975199</v>
      </c>
      <c r="C131" s="509">
        <v>14640.786332974099</v>
      </c>
      <c r="D131" s="478"/>
      <c r="E131" s="508" t="s">
        <v>566</v>
      </c>
      <c r="F131" s="510">
        <v>12723.131843975199</v>
      </c>
      <c r="G131" s="494"/>
      <c r="H131" s="481"/>
      <c r="I131" s="508" t="str">
        <f>A131</f>
        <v>Reported closing balance</v>
      </c>
      <c r="J131" s="509">
        <v>3125.4963094281002</v>
      </c>
      <c r="K131" s="509">
        <v>3417.8026817411001</v>
      </c>
      <c r="L131" s="509">
        <v>3194.7805751240999</v>
      </c>
      <c r="M131" s="510">
        <v>2985.0522776818998</v>
      </c>
      <c r="N131" s="509">
        <v>2948.8386474096001</v>
      </c>
      <c r="O131" s="509">
        <v>3991.2357640445998</v>
      </c>
      <c r="P131" s="509">
        <v>3809.3538564464998</v>
      </c>
      <c r="Q131" s="509">
        <v>3891.3580650734002</v>
      </c>
      <c r="R131" s="509">
        <v>3810.9029369288</v>
      </c>
      <c r="S131" s="509">
        <v>3664.9993624146</v>
      </c>
      <c r="T131" s="509">
        <v>3704.3506572099</v>
      </c>
      <c r="U131" s="478"/>
      <c r="V131" s="508" t="str">
        <f>E131</f>
        <v>Reported closing balance</v>
      </c>
      <c r="W131" s="509">
        <v>3125.4963094281002</v>
      </c>
      <c r="X131" s="509">
        <v>3417.8026817411001</v>
      </c>
      <c r="Y131" s="509">
        <v>3194.7805751240999</v>
      </c>
      <c r="Z131" s="510">
        <v>2985.0522776818998</v>
      </c>
      <c r="AA131" s="511">
        <v>2948.8386474096001</v>
      </c>
      <c r="AB131" s="509">
        <v>3991.2357640445998</v>
      </c>
      <c r="AC131" s="509">
        <v>3809.3538564464998</v>
      </c>
      <c r="AD131" s="509">
        <v>3891.3580650734002</v>
      </c>
      <c r="AE131" s="509">
        <v>3810.9029369288</v>
      </c>
      <c r="AF131" s="509">
        <v>3664.9993624146</v>
      </c>
      <c r="AG131" s="509">
        <v>3704.3506572099</v>
      </c>
    </row>
    <row r="132" spans="1:33" ht="10.5" customHeight="1" x14ac:dyDescent="0.2">
      <c r="A132" s="478"/>
      <c r="B132" s="478"/>
      <c r="C132" s="478"/>
      <c r="D132" s="478"/>
      <c r="E132" s="478"/>
      <c r="F132" s="512"/>
      <c r="G132" s="513"/>
      <c r="H132" s="481"/>
      <c r="I132" s="478"/>
      <c r="J132" s="478"/>
      <c r="K132" s="478"/>
      <c r="L132" s="478"/>
      <c r="M132" s="512"/>
      <c r="N132" s="478"/>
      <c r="O132" s="478"/>
      <c r="P132" s="478"/>
      <c r="Q132" s="478"/>
      <c r="R132" s="478"/>
      <c r="S132" s="478"/>
      <c r="T132" s="478"/>
      <c r="U132" s="478"/>
      <c r="V132" s="478"/>
      <c r="W132" s="478"/>
      <c r="X132" s="478"/>
      <c r="Y132" s="478"/>
      <c r="Z132" s="478"/>
      <c r="AA132" s="478"/>
      <c r="AB132" s="478"/>
      <c r="AC132" s="478"/>
      <c r="AD132" s="478"/>
      <c r="AE132" s="478"/>
      <c r="AF132" s="478"/>
    </row>
    <row r="133" spans="1:33" ht="12.75" x14ac:dyDescent="0.2">
      <c r="A133" s="525" t="s">
        <v>192</v>
      </c>
      <c r="B133" s="525"/>
      <c r="C133" s="525"/>
      <c r="D133" s="478"/>
      <c r="E133" s="525" t="s">
        <v>192</v>
      </c>
      <c r="F133" s="526"/>
      <c r="G133" s="487"/>
      <c r="H133" s="481"/>
      <c r="I133" s="525" t="str">
        <f t="shared" ref="I133:I144" si="20">A133</f>
        <v>Operating profit</v>
      </c>
      <c r="J133" s="525"/>
      <c r="K133" s="525"/>
      <c r="L133" s="525"/>
      <c r="M133" s="526"/>
      <c r="N133" s="525"/>
      <c r="O133" s="525"/>
      <c r="P133" s="525"/>
      <c r="Q133" s="525"/>
      <c r="R133" s="525"/>
      <c r="S133" s="525"/>
      <c r="T133" s="525"/>
      <c r="U133" s="478"/>
      <c r="V133" s="525" t="str">
        <f t="shared" ref="V133:V144" si="21">E133</f>
        <v>Operating profit</v>
      </c>
      <c r="W133" s="525"/>
      <c r="X133" s="525"/>
      <c r="Y133" s="525"/>
      <c r="Z133" s="526"/>
      <c r="AA133" s="527"/>
      <c r="AB133" s="525"/>
      <c r="AC133" s="525"/>
      <c r="AD133" s="525"/>
      <c r="AE133" s="525"/>
      <c r="AF133" s="525"/>
      <c r="AG133" s="525"/>
    </row>
    <row r="134" spans="1:33" ht="12.75" x14ac:dyDescent="0.2">
      <c r="A134" s="322" t="s">
        <v>301</v>
      </c>
      <c r="B134" s="322">
        <v>2023</v>
      </c>
      <c r="C134" s="322">
        <v>2024</v>
      </c>
      <c r="D134" s="478"/>
      <c r="E134" s="322" t="s">
        <v>301</v>
      </c>
      <c r="F134" s="489">
        <v>2023</v>
      </c>
      <c r="G134" s="487"/>
      <c r="H134" s="481"/>
      <c r="I134" s="322" t="str">
        <f t="shared" si="20"/>
        <v>Epiroc Group</v>
      </c>
      <c r="J134" s="322" t="s">
        <v>151</v>
      </c>
      <c r="K134" s="322" t="s">
        <v>152</v>
      </c>
      <c r="L134" s="322" t="s">
        <v>153</v>
      </c>
      <c r="M134" s="489" t="s">
        <v>154</v>
      </c>
      <c r="N134" s="322" t="s">
        <v>155</v>
      </c>
      <c r="O134" s="322" t="s">
        <v>156</v>
      </c>
      <c r="P134" s="322" t="s">
        <v>157</v>
      </c>
      <c r="Q134" s="322" t="s">
        <v>158</v>
      </c>
      <c r="R134" s="322" t="s">
        <v>159</v>
      </c>
      <c r="S134" s="322" t="s">
        <v>160</v>
      </c>
      <c r="T134" s="322" t="s">
        <v>161</v>
      </c>
      <c r="U134" s="478"/>
      <c r="V134" s="322" t="str">
        <f t="shared" si="21"/>
        <v>Epiroc Group</v>
      </c>
      <c r="W134" s="322" t="s">
        <v>151</v>
      </c>
      <c r="X134" s="322" t="s">
        <v>152</v>
      </c>
      <c r="Y134" s="322" t="s">
        <v>153</v>
      </c>
      <c r="Z134" s="489" t="s">
        <v>154</v>
      </c>
      <c r="AA134" s="490" t="s">
        <v>155</v>
      </c>
      <c r="AB134" s="322" t="s">
        <v>156</v>
      </c>
      <c r="AC134" s="322" t="s">
        <v>157</v>
      </c>
      <c r="AD134" s="322" t="s">
        <v>158</v>
      </c>
      <c r="AE134" s="322" t="s">
        <v>159</v>
      </c>
      <c r="AF134" s="322" t="s">
        <v>160</v>
      </c>
      <c r="AG134" s="322" t="s">
        <v>161</v>
      </c>
    </row>
    <row r="135" spans="1:33" ht="12.75" x14ac:dyDescent="0.2">
      <c r="A135" s="491" t="s">
        <v>559</v>
      </c>
      <c r="B135" s="492">
        <v>11146.9612224087</v>
      </c>
      <c r="C135" s="492">
        <v>13182.824691603399</v>
      </c>
      <c r="D135" s="478"/>
      <c r="E135" s="491" t="s">
        <v>559</v>
      </c>
      <c r="F135" s="493">
        <v>11146.9612224087</v>
      </c>
      <c r="G135" s="494"/>
      <c r="H135" s="481"/>
      <c r="I135" s="491" t="str">
        <f t="shared" si="20"/>
        <v>Reported opening balance</v>
      </c>
      <c r="J135" s="492">
        <v>2631.1792427419</v>
      </c>
      <c r="K135" s="492">
        <v>2380.7958624020998</v>
      </c>
      <c r="L135" s="492">
        <v>2899.9799321402002</v>
      </c>
      <c r="M135" s="493">
        <v>3235.0061851245</v>
      </c>
      <c r="N135" s="492">
        <v>3161.4946645324999</v>
      </c>
      <c r="O135" s="492">
        <v>3412.7008393647998</v>
      </c>
      <c r="P135" s="492">
        <v>3260.0402711436</v>
      </c>
      <c r="Q135" s="492">
        <v>3348.5889165624999</v>
      </c>
      <c r="R135" s="492">
        <v>2760.2532162946</v>
      </c>
      <c r="S135" s="492">
        <v>2921.1358278078001</v>
      </c>
      <c r="T135" s="492">
        <v>3276.5083549020001</v>
      </c>
      <c r="U135" s="478"/>
      <c r="V135" s="491" t="str">
        <f t="shared" si="21"/>
        <v>Reported opening balance</v>
      </c>
      <c r="W135" s="492">
        <v>2631.1792427419</v>
      </c>
      <c r="X135" s="492">
        <v>2380.7958624020998</v>
      </c>
      <c r="Y135" s="492">
        <v>2899.9799321402002</v>
      </c>
      <c r="Z135" s="493">
        <v>3235.0061851245</v>
      </c>
      <c r="AA135" s="495">
        <v>3161.4946645324999</v>
      </c>
      <c r="AB135" s="492">
        <v>3412.7008393647998</v>
      </c>
      <c r="AC135" s="492">
        <v>3260.0402711436</v>
      </c>
      <c r="AD135" s="492">
        <v>3348.5889165624999</v>
      </c>
      <c r="AE135" s="492">
        <v>2760.2532162946</v>
      </c>
      <c r="AF135" s="492">
        <v>2921.1358278078001</v>
      </c>
      <c r="AG135" s="492">
        <v>3276.5083549020001</v>
      </c>
    </row>
    <row r="136" spans="1:33" ht="12.75" x14ac:dyDescent="0.2">
      <c r="A136" s="478" t="s">
        <v>568</v>
      </c>
      <c r="B136" s="497">
        <v>608</v>
      </c>
      <c r="C136" s="528">
        <v>-1.0937431115579602E-3</v>
      </c>
      <c r="D136" s="478"/>
      <c r="E136" s="478" t="s">
        <v>568</v>
      </c>
      <c r="F136" s="529">
        <v>1.2234800623889739E-2</v>
      </c>
      <c r="G136" s="530"/>
      <c r="H136" s="481"/>
      <c r="I136" s="478" t="str">
        <f t="shared" si="20"/>
        <v>Adjustment IAC</v>
      </c>
      <c r="J136" s="497">
        <v>-43</v>
      </c>
      <c r="K136" s="497">
        <v>420</v>
      </c>
      <c r="L136" s="497">
        <v>164</v>
      </c>
      <c r="M136" s="501">
        <v>67</v>
      </c>
      <c r="N136" s="497">
        <v>26</v>
      </c>
      <c r="O136" s="497">
        <v>16</v>
      </c>
      <c r="P136" s="497">
        <v>12</v>
      </c>
      <c r="Q136" s="497">
        <v>-120</v>
      </c>
      <c r="R136" s="497">
        <v>127.1</v>
      </c>
      <c r="S136" s="497">
        <v>325.10000000000002</v>
      </c>
      <c r="T136" s="497">
        <v>-191</v>
      </c>
      <c r="U136" s="478"/>
      <c r="V136" s="478" t="str">
        <f t="shared" si="21"/>
        <v>Adjustment IAC</v>
      </c>
      <c r="W136" s="528">
        <v>-3.8779277085649278E-3</v>
      </c>
      <c r="X136" s="528">
        <v>3.5389969574965506E-2</v>
      </c>
      <c r="Y136" s="528">
        <v>1.2810654980605587E-2</v>
      </c>
      <c r="Z136" s="531">
        <v>4.8075879143424979E-3</v>
      </c>
      <c r="AA136" s="532">
        <v>1.8748760869694522E-3</v>
      </c>
      <c r="AB136" s="528">
        <v>1.005661051036693E-3</v>
      </c>
      <c r="AC136" s="528">
        <v>8.0015637986364369E-4</v>
      </c>
      <c r="AD136" s="528">
        <v>-7.7082912570458021E-3</v>
      </c>
      <c r="AE136" s="528">
        <v>8.986886843491089E-3</v>
      </c>
      <c r="AF136" s="528">
        <v>1.9690194794907481E-2</v>
      </c>
      <c r="AG136" s="528">
        <v>-1.3166038968656712E-2</v>
      </c>
    </row>
    <row r="137" spans="1:33" ht="12.75" x14ac:dyDescent="0.2">
      <c r="A137" s="491" t="s">
        <v>561</v>
      </c>
      <c r="B137" s="492">
        <v>11754.9612224087</v>
      </c>
      <c r="C137" s="492">
        <v>13116.824691603399</v>
      </c>
      <c r="D137" s="478"/>
      <c r="E137" s="491" t="s">
        <v>561</v>
      </c>
      <c r="F137" s="493">
        <v>11754.9612224087</v>
      </c>
      <c r="G137" s="494"/>
      <c r="H137" s="481"/>
      <c r="I137" s="491" t="str">
        <f t="shared" si="20"/>
        <v>Adjusted opening balance</v>
      </c>
      <c r="J137" s="492">
        <v>2588.1792427419</v>
      </c>
      <c r="K137" s="492">
        <v>2800.7958624020998</v>
      </c>
      <c r="L137" s="492">
        <v>3063.9799321402002</v>
      </c>
      <c r="M137" s="493">
        <v>3302.0061851245</v>
      </c>
      <c r="N137" s="492">
        <v>3187.4946645324999</v>
      </c>
      <c r="O137" s="492">
        <v>3428.7008393647998</v>
      </c>
      <c r="P137" s="492">
        <v>3272.0402711436</v>
      </c>
      <c r="Q137" s="492">
        <v>3228.5889165624999</v>
      </c>
      <c r="R137" s="492">
        <v>2887.3532162945999</v>
      </c>
      <c r="S137" s="492">
        <v>3246.2358278078</v>
      </c>
      <c r="T137" s="492">
        <v>3085.5083549020001</v>
      </c>
      <c r="U137" s="478"/>
      <c r="V137" s="491" t="str">
        <f t="shared" si="21"/>
        <v>Adjusted opening balance</v>
      </c>
      <c r="W137" s="492">
        <v>2588.1792427419</v>
      </c>
      <c r="X137" s="492">
        <v>2800.7958624020998</v>
      </c>
      <c r="Y137" s="492">
        <v>3063.9799321402002</v>
      </c>
      <c r="Z137" s="493">
        <v>3302.0061851245</v>
      </c>
      <c r="AA137" s="495">
        <v>3187.4946645324999</v>
      </c>
      <c r="AB137" s="492">
        <v>3428.7008393647998</v>
      </c>
      <c r="AC137" s="492">
        <v>3272.0402711436</v>
      </c>
      <c r="AD137" s="492">
        <v>3228.5889165624999</v>
      </c>
      <c r="AE137" s="492">
        <v>2887.3532162945999</v>
      </c>
      <c r="AF137" s="492">
        <v>3246.2358278078</v>
      </c>
      <c r="AG137" s="492">
        <v>3085.5083549020001</v>
      </c>
    </row>
    <row r="138" spans="1:33" ht="12.75" x14ac:dyDescent="0.2">
      <c r="A138" s="478" t="s">
        <v>562</v>
      </c>
      <c r="B138" s="497">
        <v>394.4397764176</v>
      </c>
      <c r="C138" s="528">
        <v>-1.9847928149546362E-2</v>
      </c>
      <c r="D138" s="478"/>
      <c r="E138" s="478" t="s">
        <v>562</v>
      </c>
      <c r="F138" s="529">
        <v>-1.2067458389318836E-2</v>
      </c>
      <c r="G138" s="530"/>
      <c r="H138" s="481"/>
      <c r="I138" s="478" t="str">
        <f t="shared" si="20"/>
        <v>Organic</v>
      </c>
      <c r="J138" s="497">
        <v>321.33101647730001</v>
      </c>
      <c r="K138" s="497">
        <v>695.28635133880005</v>
      </c>
      <c r="L138" s="497">
        <v>-172.8638032689</v>
      </c>
      <c r="M138" s="501">
        <v>-449.31378812960003</v>
      </c>
      <c r="N138" s="497">
        <v>-362</v>
      </c>
      <c r="O138" s="497">
        <v>-630.63308106800002</v>
      </c>
      <c r="P138" s="497">
        <v>-130.03192564460002</v>
      </c>
      <c r="Q138" s="497">
        <v>136.78820656089999</v>
      </c>
      <c r="R138" s="497">
        <v>-97</v>
      </c>
      <c r="S138" s="497">
        <v>-3.5167453102000001</v>
      </c>
      <c r="T138" s="497">
        <v>42.357631963000003</v>
      </c>
      <c r="U138" s="478"/>
      <c r="V138" s="478" t="str">
        <f t="shared" si="21"/>
        <v>Organic</v>
      </c>
      <c r="W138" s="528">
        <v>7.0309415747142421E-3</v>
      </c>
      <c r="X138" s="528">
        <v>1.4106774348267277E-2</v>
      </c>
      <c r="Y138" s="528">
        <v>-2.4692554037496952E-2</v>
      </c>
      <c r="Z138" s="531">
        <v>-4.363801825583527E-2</v>
      </c>
      <c r="AA138" s="532">
        <v>-3.2783071558413666E-2</v>
      </c>
      <c r="AB138" s="528">
        <v>-3.5280751364306889E-2</v>
      </c>
      <c r="AC138" s="528">
        <v>-6.6877547700783593E-4</v>
      </c>
      <c r="AD138" s="528">
        <v>-1.2302372411341495E-4</v>
      </c>
      <c r="AE138" s="528">
        <v>-1.2046939214313254E-2</v>
      </c>
      <c r="AF138" s="528">
        <v>-1.2217928127941939E-3</v>
      </c>
      <c r="AG138" s="528">
        <v>-8.0644190843967151E-3</v>
      </c>
    </row>
    <row r="139" spans="1:33" ht="12.75" x14ac:dyDescent="0.2">
      <c r="A139" s="478" t="s">
        <v>563</v>
      </c>
      <c r="B139" s="497">
        <v>530.09652675270002</v>
      </c>
      <c r="C139" s="528">
        <v>1.0573685015900725E-2</v>
      </c>
      <c r="D139" s="478"/>
      <c r="E139" s="478" t="s">
        <v>563</v>
      </c>
      <c r="F139" s="529">
        <v>3.0067165834333411E-3</v>
      </c>
      <c r="G139" s="530"/>
      <c r="H139" s="481"/>
      <c r="I139" s="478" t="str">
        <f t="shared" si="20"/>
        <v>Currency</v>
      </c>
      <c r="J139" s="497">
        <v>204.990792809</v>
      </c>
      <c r="K139" s="497">
        <v>-242.78152914910001</v>
      </c>
      <c r="L139" s="497">
        <v>253.733037905</v>
      </c>
      <c r="M139" s="501">
        <v>314.15422518780002</v>
      </c>
      <c r="N139" s="497">
        <v>49.477742361200001</v>
      </c>
      <c r="O139" s="497">
        <v>392.6790066236</v>
      </c>
      <c r="P139" s="497">
        <v>-53.227047228899998</v>
      </c>
      <c r="Q139" s="497">
        <v>56.8921837344</v>
      </c>
      <c r="R139" s="497">
        <v>268.25713554020001</v>
      </c>
      <c r="S139" s="497">
        <v>-246.2696620959</v>
      </c>
      <c r="T139" s="497">
        <v>-229.79097633699999</v>
      </c>
      <c r="U139" s="478"/>
      <c r="V139" s="478" t="str">
        <f t="shared" si="21"/>
        <v>Currency</v>
      </c>
      <c r="W139" s="528">
        <v>2.0532173969126885E-3</v>
      </c>
      <c r="X139" s="528">
        <v>-2.4330048839667405E-2</v>
      </c>
      <c r="Y139" s="528">
        <v>1.3939479774155165E-2</v>
      </c>
      <c r="Z139" s="531">
        <v>2.1274923875928272E-2</v>
      </c>
      <c r="AA139" s="532">
        <v>9.8821555767401991E-3</v>
      </c>
      <c r="AB139" s="528">
        <v>2.589001331698525E-2</v>
      </c>
      <c r="AC139" s="528">
        <v>4.7040141356165452E-3</v>
      </c>
      <c r="AD139" s="528">
        <v>2.1711629273005531E-3</v>
      </c>
      <c r="AE139" s="528">
        <v>1.7502950884709139E-2</v>
      </c>
      <c r="AF139" s="528">
        <v>2.6004073725504687E-3</v>
      </c>
      <c r="AG139" s="528">
        <v>2.0008959591383607E-3</v>
      </c>
    </row>
    <row r="140" spans="1:33" ht="12.75" x14ac:dyDescent="0.2">
      <c r="A140" s="504" t="s">
        <v>564</v>
      </c>
      <c r="B140" s="533">
        <v>436.72716602449992</v>
      </c>
      <c r="C140" s="534">
        <v>-9.6042568011753555E-3</v>
      </c>
      <c r="D140" s="478"/>
      <c r="E140" s="504" t="s">
        <v>564</v>
      </c>
      <c r="F140" s="535">
        <v>-1.0126949061260425E-2</v>
      </c>
      <c r="G140" s="530"/>
      <c r="H140" s="481"/>
      <c r="I140" s="504" t="str">
        <f t="shared" si="20"/>
        <v>Structure</v>
      </c>
      <c r="J140" s="533">
        <v>72.593612503499998</v>
      </c>
      <c r="K140" s="533">
        <v>175.60026829759994</v>
      </c>
      <c r="L140" s="533">
        <v>126.79110525370004</v>
      </c>
      <c r="M140" s="536">
        <v>61.742179969699976</v>
      </c>
      <c r="N140" s="533">
        <v>13.399771887199989</v>
      </c>
      <c r="O140" s="533">
        <v>55.489062886099987</v>
      </c>
      <c r="P140" s="533">
        <v>-3.2693340572000125</v>
      </c>
      <c r="Q140" s="533">
        <v>-16.378407625200008</v>
      </c>
      <c r="R140" s="533">
        <v>41</v>
      </c>
      <c r="S140" s="533">
        <v>-12.236639865100045</v>
      </c>
      <c r="T140" s="533">
        <v>-2.084050863199991</v>
      </c>
      <c r="U140" s="478"/>
      <c r="V140" s="504" t="str">
        <f t="shared" si="21"/>
        <v>Structure</v>
      </c>
      <c r="W140" s="534">
        <v>-1.2674093091792269E-2</v>
      </c>
      <c r="X140" s="534">
        <v>-1.0320262136867922E-2</v>
      </c>
      <c r="Y140" s="534">
        <v>-1.0433901441566366E-2</v>
      </c>
      <c r="Z140" s="537">
        <v>-7.1896389322367582E-3</v>
      </c>
      <c r="AA140" s="538">
        <v>-2.7945959870134761E-3</v>
      </c>
      <c r="AB140" s="534">
        <v>-9.5027942274475818E-3</v>
      </c>
      <c r="AC140" s="534">
        <v>-1.2729324304132001E-2</v>
      </c>
      <c r="AD140" s="534">
        <v>-1.2009614616139086E-2</v>
      </c>
      <c r="AE140" s="534">
        <v>-1.0159708927420543E-2</v>
      </c>
      <c r="AF140" s="534">
        <v>-1.75230868687568E-3</v>
      </c>
      <c r="AG140" s="534">
        <v>-4.7583894323140695E-4</v>
      </c>
    </row>
    <row r="141" spans="1:33" ht="12.75" x14ac:dyDescent="0.2">
      <c r="A141" s="478" t="s">
        <v>477</v>
      </c>
      <c r="B141" s="497">
        <f>SUM(B138:B140)</f>
        <v>1361.2634691947999</v>
      </c>
      <c r="C141" s="528">
        <v>-1.8878499934820991E-2</v>
      </c>
      <c r="D141" s="478"/>
      <c r="E141" s="478" t="s">
        <v>477</v>
      </c>
      <c r="F141" s="529">
        <v>-1.9187690867145918E-2</v>
      </c>
      <c r="G141" s="530"/>
      <c r="H141" s="481"/>
      <c r="I141" s="478" t="str">
        <f t="shared" si="20"/>
        <v>Total</v>
      </c>
      <c r="J141" s="497">
        <v>598.91542178980001</v>
      </c>
      <c r="K141" s="497">
        <v>627.90509048729996</v>
      </c>
      <c r="L141" s="497">
        <v>207.66033988980004</v>
      </c>
      <c r="M141" s="501">
        <v>-73.417382972100029</v>
      </c>
      <c r="N141" s="497">
        <v>-300.14144823800007</v>
      </c>
      <c r="O141" s="497">
        <v>-182.46501155830003</v>
      </c>
      <c r="P141" s="497">
        <v>-186.52830693070004</v>
      </c>
      <c r="Q141" s="497">
        <v>177.30198267009999</v>
      </c>
      <c r="R141" s="497">
        <v>212</v>
      </c>
      <c r="S141" s="497">
        <v>-262.02304727120008</v>
      </c>
      <c r="T141" s="497">
        <v>-189.51739523719999</v>
      </c>
      <c r="U141" s="478"/>
      <c r="V141" s="478" t="str">
        <f t="shared" si="21"/>
        <v>Total</v>
      </c>
      <c r="W141" s="528">
        <v>-3.589934120165339E-3</v>
      </c>
      <c r="X141" s="528">
        <v>-2.0493253575716242E-2</v>
      </c>
      <c r="Y141" s="528">
        <v>-2.1186975704908156E-2</v>
      </c>
      <c r="Z141" s="531">
        <v>-2.9552733312143753E-2</v>
      </c>
      <c r="AA141" s="532">
        <v>-2.569551196868694E-2</v>
      </c>
      <c r="AB141" s="528">
        <v>-1.8893532274769226E-2</v>
      </c>
      <c r="AC141" s="528">
        <v>-8.6940856455232918E-3</v>
      </c>
      <c r="AD141" s="528">
        <v>-9.9614754129519478E-3</v>
      </c>
      <c r="AE141" s="528">
        <v>-4.7036972570246582E-3</v>
      </c>
      <c r="AF141" s="528">
        <v>-3.7369412711940522E-4</v>
      </c>
      <c r="AG141" s="528">
        <v>-5.5393620684897624E-3</v>
      </c>
    </row>
    <row r="142" spans="1:33" ht="12.75" x14ac:dyDescent="0.2">
      <c r="A142" s="491" t="s">
        <v>565</v>
      </c>
      <c r="B142" s="492">
        <v>13117</v>
      </c>
      <c r="C142" s="492">
        <v>12624.7919075465</v>
      </c>
      <c r="D142" s="478"/>
      <c r="E142" s="491" t="s">
        <v>565</v>
      </c>
      <c r="F142" s="493">
        <v>13117</v>
      </c>
      <c r="G142" s="494"/>
      <c r="H142" s="481"/>
      <c r="I142" s="491" t="str">
        <f t="shared" si="20"/>
        <v>Operational closing balance</v>
      </c>
      <c r="J142" s="492">
        <v>3187.0946645316999</v>
      </c>
      <c r="K142" s="492">
        <v>3428.7009528893996</v>
      </c>
      <c r="L142" s="492">
        <v>3271.6402720300002</v>
      </c>
      <c r="M142" s="493">
        <v>3228.5888021524001</v>
      </c>
      <c r="N142" s="492">
        <v>2887.3532162944998</v>
      </c>
      <c r="O142" s="492">
        <v>3246.2358278064999</v>
      </c>
      <c r="P142" s="492">
        <v>3085.5119642128998</v>
      </c>
      <c r="Q142" s="492">
        <v>3405.8908992326001</v>
      </c>
      <c r="R142" s="492">
        <v>3098.7230712768996</v>
      </c>
      <c r="S142" s="492">
        <v>2984.2127805365999</v>
      </c>
      <c r="T142" s="492">
        <v>2895.9909596647999</v>
      </c>
      <c r="U142" s="478"/>
      <c r="V142" s="491" t="str">
        <f t="shared" si="21"/>
        <v>Operational closing balance</v>
      </c>
      <c r="W142" s="492">
        <v>3187.0946645316999</v>
      </c>
      <c r="X142" s="492">
        <v>3428.7009528893996</v>
      </c>
      <c r="Y142" s="492">
        <v>3271.6402720300002</v>
      </c>
      <c r="Z142" s="493">
        <v>3228.5888021524001</v>
      </c>
      <c r="AA142" s="495">
        <v>2887.3532162944998</v>
      </c>
      <c r="AB142" s="492">
        <v>3246.2358278064999</v>
      </c>
      <c r="AC142" s="492">
        <v>3085.3119642129</v>
      </c>
      <c r="AD142" s="492">
        <v>3405.8908992326001</v>
      </c>
      <c r="AE142" s="492">
        <v>3098.7230712768996</v>
      </c>
      <c r="AF142" s="492">
        <v>2984.2127805365999</v>
      </c>
      <c r="AG142" s="492">
        <v>2895.9909596647999</v>
      </c>
    </row>
    <row r="143" spans="1:33" ht="12.75" x14ac:dyDescent="0.2">
      <c r="A143" s="478" t="s">
        <v>568</v>
      </c>
      <c r="B143" s="497">
        <v>66</v>
      </c>
      <c r="C143" s="528">
        <v>-3.7655095656352893E-3</v>
      </c>
      <c r="D143" s="478"/>
      <c r="E143" s="478" t="s">
        <v>568</v>
      </c>
      <c r="F143" s="529">
        <v>1.0937503617514403E-3</v>
      </c>
      <c r="G143" s="530"/>
      <c r="H143" s="481"/>
      <c r="I143" s="478" t="str">
        <f t="shared" si="20"/>
        <v>Adjustment IAC</v>
      </c>
      <c r="J143" s="497">
        <v>-26</v>
      </c>
      <c r="K143" s="497">
        <v>-16</v>
      </c>
      <c r="L143" s="497">
        <v>-12</v>
      </c>
      <c r="M143" s="501">
        <v>120</v>
      </c>
      <c r="N143" s="497">
        <v>-127.1</v>
      </c>
      <c r="O143" s="497">
        <v>-325.10000000000002</v>
      </c>
      <c r="P143" s="497">
        <v>191</v>
      </c>
      <c r="Q143" s="497">
        <v>21.7</v>
      </c>
      <c r="R143" s="497">
        <v>-11.173999999999999</v>
      </c>
      <c r="S143" s="497">
        <v>-152.6</v>
      </c>
      <c r="T143" s="497">
        <v>-94</v>
      </c>
      <c r="U143" s="478"/>
      <c r="V143" s="478" t="str">
        <f t="shared" si="21"/>
        <v>Adjustment IAC</v>
      </c>
      <c r="W143" s="528">
        <v>-1.8748760869694522E-3</v>
      </c>
      <c r="X143" s="528">
        <v>-1.0056610510366993E-3</v>
      </c>
      <c r="Y143" s="528">
        <v>-8.0015637986363295E-4</v>
      </c>
      <c r="Z143" s="531">
        <v>7.7079941797251758E-3</v>
      </c>
      <c r="AA143" s="532">
        <v>-8.9868868434911531E-3</v>
      </c>
      <c r="AB143" s="528">
        <v>-1.9690194794907603E-2</v>
      </c>
      <c r="AC143" s="528">
        <v>1.2165729002723537E-2</v>
      </c>
      <c r="AD143" s="528">
        <v>1.257884608165249E-3</v>
      </c>
      <c r="AE143" s="528">
        <v>-7.192278260557697E-4</v>
      </c>
      <c r="AF143" s="528">
        <v>-1.0086002934816252E-2</v>
      </c>
      <c r="AG143" s="528">
        <v>-6.1670438032670446E-3</v>
      </c>
    </row>
    <row r="144" spans="1:33" ht="12.75" x14ac:dyDescent="0.2">
      <c r="A144" s="508" t="s">
        <v>566</v>
      </c>
      <c r="B144" s="509">
        <v>13182.8246916035</v>
      </c>
      <c r="C144" s="509">
        <v>12385.2919075465</v>
      </c>
      <c r="D144" s="478"/>
      <c r="E144" s="508" t="s">
        <v>566</v>
      </c>
      <c r="F144" s="510">
        <v>13182.8246916035</v>
      </c>
      <c r="G144" s="494"/>
      <c r="H144" s="481"/>
      <c r="I144" s="508" t="str">
        <f t="shared" si="20"/>
        <v>Reported closing balance</v>
      </c>
      <c r="J144" s="509">
        <v>3161.4946645317</v>
      </c>
      <c r="K144" s="509">
        <v>3412.7009528894</v>
      </c>
      <c r="L144" s="509">
        <v>3260.0402720299999</v>
      </c>
      <c r="M144" s="510">
        <v>3348.5888021524001</v>
      </c>
      <c r="N144" s="509">
        <v>2760.2532162944999</v>
      </c>
      <c r="O144" s="509">
        <v>2921.1358278064999</v>
      </c>
      <c r="P144" s="509">
        <v>3277.3119642129</v>
      </c>
      <c r="Q144" s="509">
        <v>3427.5908992325999</v>
      </c>
      <c r="R144" s="509">
        <v>3087.5490712769001</v>
      </c>
      <c r="S144" s="509">
        <v>2830.6127805366</v>
      </c>
      <c r="T144" s="509">
        <v>2801.8809596647998</v>
      </c>
      <c r="U144" s="478"/>
      <c r="V144" s="508" t="str">
        <f t="shared" si="21"/>
        <v>Reported closing balance</v>
      </c>
      <c r="W144" s="509">
        <v>3161.4946645317</v>
      </c>
      <c r="X144" s="509">
        <v>3412.7009528894</v>
      </c>
      <c r="Y144" s="509">
        <v>3260.0402720299999</v>
      </c>
      <c r="Z144" s="510">
        <v>3348.5888021524001</v>
      </c>
      <c r="AA144" s="511">
        <v>2760.2532162944999</v>
      </c>
      <c r="AB144" s="509">
        <v>2921.1358278064999</v>
      </c>
      <c r="AC144" s="509">
        <v>3276.3119642129</v>
      </c>
      <c r="AD144" s="509">
        <v>3427.5908992325999</v>
      </c>
      <c r="AE144" s="509">
        <v>3087.5490712769001</v>
      </c>
      <c r="AF144" s="509">
        <v>2830.6127805366</v>
      </c>
      <c r="AG144" s="509">
        <v>2801.8809596647998</v>
      </c>
    </row>
    <row r="145" spans="1:33" ht="12.75" x14ac:dyDescent="0.2">
      <c r="A145" s="478"/>
      <c r="B145" s="478"/>
      <c r="C145" s="478"/>
      <c r="D145" s="478"/>
      <c r="E145" s="478"/>
      <c r="F145" s="512"/>
      <c r="G145" s="513"/>
      <c r="H145" s="481"/>
      <c r="I145" s="478"/>
      <c r="J145" s="478"/>
      <c r="K145" s="478"/>
      <c r="L145" s="478"/>
      <c r="M145" s="512"/>
      <c r="N145" s="478"/>
      <c r="O145" s="478"/>
      <c r="P145" s="478"/>
      <c r="Q145" s="478"/>
      <c r="R145" s="478"/>
      <c r="S145" s="478"/>
      <c r="T145" s="478"/>
      <c r="U145" s="478"/>
      <c r="V145" s="478"/>
      <c r="W145" s="478"/>
      <c r="X145" s="478"/>
      <c r="Y145" s="478"/>
      <c r="Z145" s="478"/>
      <c r="AA145" s="478"/>
      <c r="AB145" s="478"/>
      <c r="AC145" s="478"/>
      <c r="AD145" s="478"/>
      <c r="AE145" s="478"/>
      <c r="AF145" s="478"/>
    </row>
    <row r="146" spans="1:33" ht="12.75" x14ac:dyDescent="0.2">
      <c r="A146" s="539" t="s">
        <v>563</v>
      </c>
      <c r="B146" s="540">
        <v>530.09652675270002</v>
      </c>
      <c r="C146" s="541"/>
      <c r="D146" s="541"/>
      <c r="E146" s="541"/>
      <c r="F146" s="542"/>
      <c r="G146" s="543"/>
      <c r="H146" s="544"/>
      <c r="I146" s="539" t="str">
        <f>A146</f>
        <v>Currency</v>
      </c>
      <c r="J146" s="540">
        <v>204.990792809</v>
      </c>
      <c r="K146" s="540">
        <v>-242.78152914910001</v>
      </c>
      <c r="L146" s="540">
        <v>253.73303790499997</v>
      </c>
      <c r="M146" s="545">
        <v>314.15422518780002</v>
      </c>
      <c r="N146" s="540">
        <v>49.477742361200001</v>
      </c>
      <c r="O146" s="540">
        <v>392.6790066236</v>
      </c>
      <c r="P146" s="540">
        <v>-53.227047228900005</v>
      </c>
      <c r="Q146" s="540">
        <v>56.892183734399964</v>
      </c>
      <c r="R146" s="540">
        <v>268.25713554020001</v>
      </c>
      <c r="S146" s="540">
        <v>-246.2696620959</v>
      </c>
      <c r="T146" s="540">
        <v>-229.690976337</v>
      </c>
      <c r="U146" s="541"/>
      <c r="V146" s="541"/>
      <c r="W146" s="541"/>
      <c r="X146" s="541"/>
      <c r="Y146" s="541"/>
      <c r="Z146" s="541"/>
      <c r="AA146" s="541"/>
      <c r="AB146" s="541"/>
      <c r="AC146" s="541"/>
      <c r="AD146" s="541"/>
      <c r="AE146" s="541"/>
      <c r="AF146" s="541"/>
    </row>
    <row r="147" spans="1:33" ht="12.75" x14ac:dyDescent="0.2">
      <c r="A147" s="546" t="s">
        <v>569</v>
      </c>
      <c r="B147" s="547">
        <v>844.91843250570003</v>
      </c>
      <c r="C147" s="546"/>
      <c r="D147" s="541"/>
      <c r="E147" s="546"/>
      <c r="F147" s="548"/>
      <c r="G147" s="549"/>
      <c r="H147" s="544"/>
      <c r="I147" s="546" t="str">
        <f>A147</f>
        <v>of which translation</v>
      </c>
      <c r="J147" s="547">
        <v>267.743647662</v>
      </c>
      <c r="K147" s="547">
        <v>33.513242707800003</v>
      </c>
      <c r="L147" s="547">
        <v>401.84492321509998</v>
      </c>
      <c r="M147" s="550">
        <v>143.81661892080001</v>
      </c>
      <c r="N147" s="547">
        <v>-156.14056118139999</v>
      </c>
      <c r="O147" s="547">
        <v>254.63613257899999</v>
      </c>
      <c r="P147" s="547">
        <v>-100.26691766170001</v>
      </c>
      <c r="Q147" s="547">
        <v>-451.52245214560003</v>
      </c>
      <c r="R147" s="547">
        <v>516.30921949319998</v>
      </c>
      <c r="S147" s="547">
        <v>-91.953771991599993</v>
      </c>
      <c r="T147" s="547">
        <v>-267.7787513728</v>
      </c>
      <c r="U147" s="541"/>
      <c r="V147" s="546"/>
      <c r="W147" s="546"/>
      <c r="X147" s="546"/>
      <c r="Y147" s="546"/>
      <c r="Z147" s="546"/>
      <c r="AA147" s="546"/>
      <c r="AB147" s="546"/>
      <c r="AC147" s="546"/>
      <c r="AD147" s="546"/>
      <c r="AE147" s="546"/>
      <c r="AF147" s="546"/>
    </row>
    <row r="148" spans="1:33" ht="12.75" x14ac:dyDescent="0.2">
      <c r="A148" s="546" t="s">
        <v>570</v>
      </c>
      <c r="B148" s="547">
        <v>-314.82190575299995</v>
      </c>
      <c r="C148" s="546"/>
      <c r="D148" s="541"/>
      <c r="E148" s="546"/>
      <c r="F148" s="548"/>
      <c r="G148" s="549"/>
      <c r="H148" s="544"/>
      <c r="I148" s="546" t="str">
        <f>A148</f>
        <v>of which transaction</v>
      </c>
      <c r="J148" s="547">
        <v>-62.752854853000002</v>
      </c>
      <c r="K148" s="547">
        <v>-277.29477185690001</v>
      </c>
      <c r="L148" s="547">
        <v>-148.11188531010001</v>
      </c>
      <c r="M148" s="550">
        <v>170.33760626700001</v>
      </c>
      <c r="N148" s="547">
        <v>205</v>
      </c>
      <c r="O148" s="547">
        <v>138.04287404460001</v>
      </c>
      <c r="P148" s="547">
        <v>47.039870432800001</v>
      </c>
      <c r="Q148" s="547">
        <v>508.41463587999999</v>
      </c>
      <c r="R148" s="547">
        <v>-248.05208395299999</v>
      </c>
      <c r="S148" s="547">
        <v>-154.3158901043</v>
      </c>
      <c r="T148" s="547">
        <v>38.0877750358</v>
      </c>
      <c r="U148" s="541"/>
      <c r="V148" s="546"/>
      <c r="W148" s="546"/>
      <c r="X148" s="546"/>
      <c r="Y148" s="546"/>
      <c r="Z148" s="546"/>
      <c r="AA148" s="546"/>
      <c r="AB148" s="546"/>
      <c r="AC148" s="546"/>
      <c r="AD148" s="546"/>
      <c r="AE148" s="546"/>
      <c r="AF148" s="546"/>
    </row>
    <row r="149" spans="1:33" ht="12.75" x14ac:dyDescent="0.2">
      <c r="A149" s="478"/>
      <c r="B149" s="478"/>
      <c r="C149" s="478"/>
      <c r="D149" s="478"/>
      <c r="E149" s="478"/>
      <c r="F149" s="512"/>
      <c r="G149" s="513"/>
      <c r="H149" s="481"/>
      <c r="I149" s="478"/>
      <c r="J149" s="478"/>
      <c r="K149" s="478"/>
      <c r="L149" s="478"/>
      <c r="M149" s="512"/>
      <c r="N149" s="478"/>
      <c r="O149" s="478"/>
      <c r="P149" s="478"/>
      <c r="Q149" s="478"/>
      <c r="R149" s="478"/>
      <c r="S149" s="478"/>
      <c r="T149" s="478"/>
      <c r="U149" s="478"/>
      <c r="V149" s="478"/>
      <c r="W149" s="478"/>
      <c r="X149" s="478"/>
      <c r="Y149" s="478"/>
      <c r="Z149" s="478"/>
      <c r="AA149" s="478"/>
      <c r="AB149" s="478"/>
      <c r="AC149" s="478"/>
      <c r="AD149" s="478"/>
      <c r="AE149" s="478"/>
      <c r="AF149" s="478"/>
    </row>
    <row r="150" spans="1:33" ht="12.75" x14ac:dyDescent="0.2">
      <c r="A150" s="525" t="s">
        <v>192</v>
      </c>
      <c r="B150" s="525"/>
      <c r="C150" s="525"/>
      <c r="D150" s="478"/>
      <c r="E150" s="525" t="s">
        <v>192</v>
      </c>
      <c r="F150" s="526"/>
      <c r="G150" s="487"/>
      <c r="H150" s="481"/>
      <c r="I150" s="525" t="str">
        <f t="shared" ref="I150:I161" si="22">A150</f>
        <v>Operating profit</v>
      </c>
      <c r="J150" s="525"/>
      <c r="K150" s="525"/>
      <c r="L150" s="525"/>
      <c r="M150" s="526"/>
      <c r="N150" s="525"/>
      <c r="O150" s="525"/>
      <c r="P150" s="525"/>
      <c r="Q150" s="525"/>
      <c r="R150" s="525"/>
      <c r="S150" s="525"/>
      <c r="T150" s="525"/>
      <c r="U150" s="478"/>
      <c r="V150" s="525" t="str">
        <f t="shared" ref="V150:V161" si="23">E150</f>
        <v>Operating profit</v>
      </c>
      <c r="W150" s="525"/>
      <c r="X150" s="525"/>
      <c r="Y150" s="525"/>
      <c r="Z150" s="526"/>
      <c r="AA150" s="527"/>
      <c r="AB150" s="525"/>
      <c r="AC150" s="525"/>
      <c r="AD150" s="525"/>
      <c r="AE150" s="525"/>
      <c r="AF150" s="525"/>
      <c r="AG150" s="525"/>
    </row>
    <row r="151" spans="1:33" ht="12.75" x14ac:dyDescent="0.2">
      <c r="A151" s="322" t="s">
        <v>493</v>
      </c>
      <c r="B151" s="322">
        <v>2023</v>
      </c>
      <c r="C151" s="322">
        <v>2024</v>
      </c>
      <c r="D151" s="478"/>
      <c r="E151" s="322" t="s">
        <v>493</v>
      </c>
      <c r="F151" s="489">
        <v>2023</v>
      </c>
      <c r="G151" s="487"/>
      <c r="H151" s="481"/>
      <c r="I151" s="322" t="str">
        <f t="shared" si="22"/>
        <v>Equipment &amp; Services</v>
      </c>
      <c r="J151" s="322" t="s">
        <v>151</v>
      </c>
      <c r="K151" s="322" t="s">
        <v>152</v>
      </c>
      <c r="L151" s="322" t="s">
        <v>153</v>
      </c>
      <c r="M151" s="489" t="s">
        <v>154</v>
      </c>
      <c r="N151" s="322" t="s">
        <v>155</v>
      </c>
      <c r="O151" s="322" t="s">
        <v>156</v>
      </c>
      <c r="P151" s="322" t="s">
        <v>157</v>
      </c>
      <c r="Q151" s="322" t="s">
        <v>158</v>
      </c>
      <c r="R151" s="322" t="s">
        <v>159</v>
      </c>
      <c r="S151" s="322" t="s">
        <v>160</v>
      </c>
      <c r="T151" s="322" t="s">
        <v>161</v>
      </c>
      <c r="U151" s="478"/>
      <c r="V151" s="322" t="str">
        <f t="shared" si="23"/>
        <v>Equipment &amp; Services</v>
      </c>
      <c r="W151" s="322" t="s">
        <v>151</v>
      </c>
      <c r="X151" s="322" t="s">
        <v>152</v>
      </c>
      <c r="Y151" s="322" t="s">
        <v>153</v>
      </c>
      <c r="Z151" s="489" t="s">
        <v>154</v>
      </c>
      <c r="AA151" s="490" t="s">
        <v>155</v>
      </c>
      <c r="AB151" s="322" t="s">
        <v>156</v>
      </c>
      <c r="AC151" s="322" t="s">
        <v>157</v>
      </c>
      <c r="AD151" s="322" t="s">
        <v>158</v>
      </c>
      <c r="AE151" s="322" t="s">
        <v>159</v>
      </c>
      <c r="AF151" s="322" t="s">
        <v>160</v>
      </c>
      <c r="AG151" s="322" t="s">
        <v>161</v>
      </c>
    </row>
    <row r="152" spans="1:33" ht="12.75" x14ac:dyDescent="0.2">
      <c r="A152" s="491" t="s">
        <v>559</v>
      </c>
      <c r="B152" s="492">
        <v>9491</v>
      </c>
      <c r="C152" s="492">
        <v>11790.602364836101</v>
      </c>
      <c r="D152" s="478"/>
      <c r="E152" s="491" t="s">
        <v>559</v>
      </c>
      <c r="F152" s="493">
        <v>9491</v>
      </c>
      <c r="G152" s="494"/>
      <c r="H152" s="481"/>
      <c r="I152" s="491" t="str">
        <f t="shared" si="22"/>
        <v>Reported opening balance</v>
      </c>
      <c r="J152" s="492">
        <v>2188.3146530745998</v>
      </c>
      <c r="K152" s="492">
        <v>1954.9106386141</v>
      </c>
      <c r="L152" s="492">
        <v>2474.4195921902001</v>
      </c>
      <c r="M152" s="493">
        <v>2873.8614655842998</v>
      </c>
      <c r="N152" s="492">
        <v>2717.7185640002999</v>
      </c>
      <c r="O152" s="492">
        <v>2995.0726880968</v>
      </c>
      <c r="P152" s="492">
        <v>2867.8915204700002</v>
      </c>
      <c r="Q152" s="492">
        <v>3210.7543447920002</v>
      </c>
      <c r="R152" s="492">
        <v>2502.9210640535998</v>
      </c>
      <c r="S152" s="492">
        <v>2762.8398705186</v>
      </c>
      <c r="T152" s="492">
        <v>2923.4408328248001</v>
      </c>
      <c r="U152" s="478"/>
      <c r="V152" s="491" t="str">
        <f t="shared" si="23"/>
        <v>Reported opening balance</v>
      </c>
      <c r="W152" s="492">
        <v>2188.3146530745998</v>
      </c>
      <c r="X152" s="492">
        <v>1954.9106386141</v>
      </c>
      <c r="Y152" s="492">
        <v>2474.4195921902001</v>
      </c>
      <c r="Z152" s="493">
        <v>2873.8614655842998</v>
      </c>
      <c r="AA152" s="495">
        <v>2717.7185640002999</v>
      </c>
      <c r="AB152" s="492">
        <v>2995.0726880968</v>
      </c>
      <c r="AC152" s="492">
        <v>2866.8915204700002</v>
      </c>
      <c r="AD152" s="492">
        <v>3210.7543447920002</v>
      </c>
      <c r="AE152" s="492">
        <f>2502.9210640536</f>
        <v>2502.9210640535998</v>
      </c>
      <c r="AF152" s="492">
        <v>2762.8398705186</v>
      </c>
      <c r="AG152" s="492">
        <v>2923.4408328248001</v>
      </c>
    </row>
    <row r="153" spans="1:33" ht="12.75" x14ac:dyDescent="0.2">
      <c r="A153" s="478" t="s">
        <v>568</v>
      </c>
      <c r="B153" s="497">
        <v>560</v>
      </c>
      <c r="C153" s="528">
        <v>-6.0382620873050494E-3</v>
      </c>
      <c r="D153" s="478"/>
      <c r="E153" s="478" t="s">
        <v>568</v>
      </c>
      <c r="F153" s="529">
        <v>1.4394532651031688E-2</v>
      </c>
      <c r="G153" s="530"/>
      <c r="H153" s="481"/>
      <c r="I153" s="478" t="str">
        <f t="shared" si="22"/>
        <v>Adjustment IAC</v>
      </c>
      <c r="J153" s="497">
        <v>0</v>
      </c>
      <c r="K153" s="497">
        <v>422</v>
      </c>
      <c r="L153" s="497">
        <v>138</v>
      </c>
      <c r="M153" s="501">
        <v>0</v>
      </c>
      <c r="N153" s="497">
        <v>0</v>
      </c>
      <c r="O153" s="497">
        <v>0</v>
      </c>
      <c r="P153" s="497">
        <v>-7</v>
      </c>
      <c r="Q153" s="497">
        <v>-280</v>
      </c>
      <c r="R153" s="497">
        <v>0</v>
      </c>
      <c r="S153" s="497">
        <v>141.81</v>
      </c>
      <c r="T153" s="497">
        <v>-207.5</v>
      </c>
      <c r="U153" s="497"/>
      <c r="V153" s="478" t="str">
        <f t="shared" si="23"/>
        <v>Adjustment IAC</v>
      </c>
      <c r="W153" s="528">
        <v>0</v>
      </c>
      <c r="X153" s="528">
        <v>4.6578465517494831E-2</v>
      </c>
      <c r="Y153" s="528">
        <v>1.3704501364591899E-2</v>
      </c>
      <c r="Z153" s="531">
        <v>0</v>
      </c>
      <c r="AA153" s="532">
        <v>0</v>
      </c>
      <c r="AB153" s="528">
        <v>0</v>
      </c>
      <c r="AC153" s="528">
        <v>-5.9679991131373733E-4</v>
      </c>
      <c r="AD153" s="528">
        <v>-2.2296744936977281E-2</v>
      </c>
      <c r="AE153" s="528">
        <v>0</v>
      </c>
      <c r="AF153" s="528">
        <v>1.1273996703292741E-2</v>
      </c>
      <c r="AG153" s="528">
        <v>-1.7220361022950357E-2</v>
      </c>
    </row>
    <row r="154" spans="1:33" ht="12.75" x14ac:dyDescent="0.2">
      <c r="A154" s="491" t="s">
        <v>561</v>
      </c>
      <c r="B154" s="492">
        <v>10051</v>
      </c>
      <c r="C154" s="492">
        <v>11503.602364836101</v>
      </c>
      <c r="D154" s="478"/>
      <c r="E154" s="491" t="s">
        <v>561</v>
      </c>
      <c r="F154" s="493">
        <v>10051</v>
      </c>
      <c r="G154" s="494"/>
      <c r="H154" s="481"/>
      <c r="I154" s="491" t="str">
        <f t="shared" si="22"/>
        <v>Adjusted opening balance</v>
      </c>
      <c r="J154" s="492">
        <v>2188.3146530745998</v>
      </c>
      <c r="K154" s="492">
        <v>2376.9106386141002</v>
      </c>
      <c r="L154" s="492">
        <v>2612.4195921902001</v>
      </c>
      <c r="M154" s="493">
        <v>2873.8614655842998</v>
      </c>
      <c r="N154" s="492">
        <v>2717.7185640002999</v>
      </c>
      <c r="O154" s="492">
        <v>2995.0726880968</v>
      </c>
      <c r="P154" s="492">
        <v>2860.8915204700002</v>
      </c>
      <c r="Q154" s="492">
        <v>2930.7543447920002</v>
      </c>
      <c r="R154" s="492">
        <v>2502.9210640535998</v>
      </c>
      <c r="S154" s="492">
        <v>2904.6398705186002</v>
      </c>
      <c r="T154" s="492">
        <v>2715.4408328248001</v>
      </c>
      <c r="U154" s="497"/>
      <c r="V154" s="491" t="str">
        <f t="shared" si="23"/>
        <v>Adjusted opening balance</v>
      </c>
      <c r="W154" s="492">
        <v>2188.3146530745998</v>
      </c>
      <c r="X154" s="492">
        <v>2376.9106386141002</v>
      </c>
      <c r="Y154" s="492">
        <v>2612.4195921902001</v>
      </c>
      <c r="Z154" s="493">
        <v>2873.8614655842998</v>
      </c>
      <c r="AA154" s="495">
        <v>2717.7185640002999</v>
      </c>
      <c r="AB154" s="492">
        <v>2995.0726880968</v>
      </c>
      <c r="AC154" s="492">
        <v>2859.8915204700002</v>
      </c>
      <c r="AD154" s="492">
        <v>2930.7543447920002</v>
      </c>
      <c r="AE154" s="492">
        <f>2502.9210640536</f>
        <v>2502.9210640535998</v>
      </c>
      <c r="AF154" s="492">
        <v>2904.6398705186002</v>
      </c>
      <c r="AG154" s="492">
        <v>2718.4408328248001</v>
      </c>
    </row>
    <row r="155" spans="1:33" ht="12.75" x14ac:dyDescent="0.2">
      <c r="A155" s="478" t="s">
        <v>562</v>
      </c>
      <c r="B155" s="497">
        <v>788.49995592679988</v>
      </c>
      <c r="C155" s="528">
        <v>-2.5072024240270052E-2</v>
      </c>
      <c r="D155" s="478"/>
      <c r="E155" s="478" t="s">
        <v>562</v>
      </c>
      <c r="F155" s="529">
        <v>-8.9190984746422113E-3</v>
      </c>
      <c r="G155" s="530"/>
      <c r="H155" s="481"/>
      <c r="I155" s="478" t="str">
        <f t="shared" si="22"/>
        <v>Organic</v>
      </c>
      <c r="J155" s="497">
        <v>302.92298092940001</v>
      </c>
      <c r="K155" s="497">
        <v>734.38571453819998</v>
      </c>
      <c r="L155" s="497">
        <v>7.4498953192999995</v>
      </c>
      <c r="M155" s="501">
        <v>-256.25863486010002</v>
      </c>
      <c r="N155" s="497">
        <v>-273</v>
      </c>
      <c r="O155" s="497">
        <v>-440.20773906710002</v>
      </c>
      <c r="P155" s="497">
        <v>-137.05957749250001</v>
      </c>
      <c r="Q155" s="497">
        <v>125.86896479399999</v>
      </c>
      <c r="R155" s="497">
        <v>15.529210604299999</v>
      </c>
      <c r="S155" s="497">
        <v>-55.595021463800002</v>
      </c>
      <c r="T155" s="497">
        <v>17.5762123053</v>
      </c>
      <c r="U155" s="478"/>
      <c r="V155" s="478" t="str">
        <f t="shared" si="23"/>
        <v>Organic</v>
      </c>
      <c r="W155" s="528">
        <v>7.099021749764239E-3</v>
      </c>
      <c r="X155" s="528">
        <v>1.6029402700462339E-2</v>
      </c>
      <c r="Y155" s="528">
        <v>-1.7566687270267833E-2</v>
      </c>
      <c r="Z155" s="531">
        <v>-4.0184007162975204E-2</v>
      </c>
      <c r="AA155" s="532">
        <v>-4.0125934071297886E-2</v>
      </c>
      <c r="AB155" s="528">
        <v>-3.7674723988010902E-2</v>
      </c>
      <c r="AC155" s="528">
        <v>-6.6844552529510166E-3</v>
      </c>
      <c r="AD155" s="528">
        <v>-2.2733615568974689E-3</v>
      </c>
      <c r="AE155" s="528">
        <v>-8.0911572111738283E-3</v>
      </c>
      <c r="AF155" s="528">
        <v>-5.5819227157229701E-3</v>
      </c>
      <c r="AG155" s="528">
        <v>-1.0706819352067957E-2</v>
      </c>
    </row>
    <row r="156" spans="1:33" ht="12.75" x14ac:dyDescent="0.2">
      <c r="A156" s="478" t="s">
        <v>563</v>
      </c>
      <c r="B156" s="497">
        <v>450.06143431370003</v>
      </c>
      <c r="C156" s="528">
        <v>1.3276446960648601E-2</v>
      </c>
      <c r="D156" s="478"/>
      <c r="E156" s="478" t="s">
        <v>563</v>
      </c>
      <c r="F156" s="529">
        <v>2.7637126574095545E-3</v>
      </c>
      <c r="G156" s="530"/>
      <c r="H156" s="481"/>
      <c r="I156" s="478" t="str">
        <f t="shared" si="22"/>
        <v>Currency</v>
      </c>
      <c r="J156" s="497">
        <v>165</v>
      </c>
      <c r="K156" s="497">
        <v>-198.69543488119999</v>
      </c>
      <c r="L156" s="497">
        <v>193.5567584803</v>
      </c>
      <c r="M156" s="501">
        <v>290.64828018679998</v>
      </c>
      <c r="N156" s="497">
        <v>58.909050984300002</v>
      </c>
      <c r="O156" s="497">
        <v>338.17772439340001</v>
      </c>
      <c r="P156" s="497">
        <v>-18.485287893999999</v>
      </c>
      <c r="Q156" s="497">
        <v>56.093102130799998</v>
      </c>
      <c r="R156" s="497">
        <v>202.62132979520001</v>
      </c>
      <c r="S156" s="497">
        <v>-210.1131844654</v>
      </c>
      <c r="T156" s="497">
        <v>-208.84451874979999</v>
      </c>
      <c r="U156" s="478"/>
      <c r="V156" s="478" t="str">
        <f t="shared" si="23"/>
        <v>Currency</v>
      </c>
      <c r="W156" s="528">
        <v>7.2509729754223864E-4</v>
      </c>
      <c r="X156" s="528">
        <v>-2.6747427463048597E-2</v>
      </c>
      <c r="Y156" s="528">
        <v>1.3026770747538914E-2</v>
      </c>
      <c r="Z156" s="531">
        <v>2.3905880978030748E-2</v>
      </c>
      <c r="AA156" s="532">
        <v>1.2551894211637406E-2</v>
      </c>
      <c r="AB156" s="528">
        <v>2.9731001710539485E-2</v>
      </c>
      <c r="AC156" s="528">
        <v>8.3027486960693866E-3</v>
      </c>
      <c r="AD156" s="528">
        <v>3.2833483474875727E-3</v>
      </c>
      <c r="AE156" s="528">
        <v>1.7658883249833692E-2</v>
      </c>
      <c r="AF156" s="528">
        <v>4.3357920489492507E-3</v>
      </c>
      <c r="AG156" s="528">
        <v>2.2957679687542537E-3</v>
      </c>
    </row>
    <row r="157" spans="1:33" ht="12.75" x14ac:dyDescent="0.2">
      <c r="A157" s="504" t="s">
        <v>564</v>
      </c>
      <c r="B157" s="533">
        <v>215.44777700280005</v>
      </c>
      <c r="C157" s="534">
        <v>2.3677731862530354E-6</v>
      </c>
      <c r="D157" s="478"/>
      <c r="E157" s="504" t="s">
        <v>564</v>
      </c>
      <c r="F157" s="535">
        <v>-1.0149679481664425E-2</v>
      </c>
      <c r="G157" s="530"/>
      <c r="H157" s="481"/>
      <c r="I157" s="504" t="str">
        <f t="shared" si="22"/>
        <v>Structure</v>
      </c>
      <c r="J157" s="533">
        <v>62</v>
      </c>
      <c r="K157" s="533">
        <v>83.036309634199995</v>
      </c>
      <c r="L157" s="533">
        <v>48.48921752710001</v>
      </c>
      <c r="M157" s="536">
        <v>22.342286164000029</v>
      </c>
      <c r="N157" s="533">
        <v>-1.0864622346999999</v>
      </c>
      <c r="O157" s="533">
        <v>12.2971970941</v>
      </c>
      <c r="P157" s="533">
        <v>9.1859797275999995</v>
      </c>
      <c r="Q157" s="533">
        <v>23.701558388399974</v>
      </c>
      <c r="R157" s="533">
        <v>3.2475806445000002</v>
      </c>
      <c r="S157" s="533">
        <v>-13.249580641700007</v>
      </c>
      <c r="T157" s="533">
        <v>2.9698815309000111</v>
      </c>
      <c r="U157" s="497"/>
      <c r="V157" s="504" t="str">
        <f t="shared" si="23"/>
        <v>Structure</v>
      </c>
      <c r="W157" s="534">
        <v>-1.2526724781975274E-2</v>
      </c>
      <c r="X157" s="534">
        <v>-1.2378407759267136E-2</v>
      </c>
      <c r="Y157" s="534">
        <v>-1.0915214770697427E-2</v>
      </c>
      <c r="Z157" s="537">
        <v>-4.9294081910392319E-3</v>
      </c>
      <c r="AA157" s="538">
        <v>-2.3887441415791095E-3</v>
      </c>
      <c r="AB157" s="534">
        <v>6.2789187620643401E-4</v>
      </c>
      <c r="AC157" s="534">
        <v>1.3902458826730956E-4</v>
      </c>
      <c r="AD157" s="534">
        <v>1.2406751839723971E-3</v>
      </c>
      <c r="AE157" s="534">
        <v>-2.0103122136229257E-4</v>
      </c>
      <c r="AF157" s="534">
        <v>-1.1578949669976534E-3</v>
      </c>
      <c r="AG157" s="534">
        <v>-7.4552854624363494E-6</v>
      </c>
    </row>
    <row r="158" spans="1:33" ht="12.75" x14ac:dyDescent="0.2">
      <c r="A158" s="478" t="s">
        <v>477</v>
      </c>
      <c r="B158" s="497">
        <v>1454.0091672433</v>
      </c>
      <c r="C158" s="528">
        <v>-1.1793209506435198E-2</v>
      </c>
      <c r="D158" s="478"/>
      <c r="E158" s="478" t="s">
        <v>477</v>
      </c>
      <c r="F158" s="529">
        <v>-1.6305065298897081E-2</v>
      </c>
      <c r="G158" s="530"/>
      <c r="H158" s="481"/>
      <c r="I158" s="478" t="str">
        <f t="shared" si="22"/>
        <v>Total</v>
      </c>
      <c r="J158" s="497">
        <v>529.80391092460002</v>
      </c>
      <c r="K158" s="497">
        <v>617.72658929120007</v>
      </c>
      <c r="L158" s="497">
        <v>249.24442322589999</v>
      </c>
      <c r="M158" s="501">
        <v>57.069147379500066</v>
      </c>
      <c r="N158" s="497">
        <v>-214.61110874610003</v>
      </c>
      <c r="O158" s="497">
        <v>-89.73281757960001</v>
      </c>
      <c r="P158" s="497">
        <v>-146.35888565890002</v>
      </c>
      <c r="Q158" s="497">
        <v>205.66362531319996</v>
      </c>
      <c r="R158" s="497">
        <v>221.39812104399999</v>
      </c>
      <c r="S158" s="497">
        <v>-278.85778657089998</v>
      </c>
      <c r="T158" s="497">
        <v>-188.29842491359997</v>
      </c>
      <c r="U158" s="478"/>
      <c r="V158" s="478" t="str">
        <f t="shared" si="23"/>
        <v>Total</v>
      </c>
      <c r="W158" s="528">
        <v>-4.6573793594469892E-3</v>
      </c>
      <c r="X158" s="528">
        <v>-2.2943672860306796E-2</v>
      </c>
      <c r="Y158" s="528">
        <v>-1.5490956307785964E-2</v>
      </c>
      <c r="Z158" s="531">
        <v>-2.1179240827892326E-2</v>
      </c>
      <c r="AA158" s="532">
        <v>-2.9962784001239584E-2</v>
      </c>
      <c r="AB158" s="528">
        <v>-7.3158304012649888E-3</v>
      </c>
      <c r="AC158" s="528">
        <v>1.7573180313856795E-3</v>
      </c>
      <c r="AD158" s="528">
        <v>2.2506619745625012E-3</v>
      </c>
      <c r="AE158" s="528">
        <v>9.3666948172975717E-3</v>
      </c>
      <c r="AF158" s="528">
        <v>-2.4040256337713728E-3</v>
      </c>
      <c r="AG158" s="528">
        <v>-9.4185066687761387E-3</v>
      </c>
    </row>
    <row r="159" spans="1:33" ht="12.75" x14ac:dyDescent="0.2">
      <c r="A159" s="491" t="s">
        <v>565</v>
      </c>
      <c r="B159" s="492">
        <v>11505.314823931698</v>
      </c>
      <c r="C159" s="492">
        <v>11261.7115394877</v>
      </c>
      <c r="D159" s="478"/>
      <c r="E159" s="491" t="s">
        <v>565</v>
      </c>
      <c r="F159" s="493">
        <v>11505.314823931698</v>
      </c>
      <c r="G159" s="494"/>
      <c r="H159" s="481"/>
      <c r="I159" s="491" t="str">
        <f t="shared" si="22"/>
        <v>Operational closing balance</v>
      </c>
      <c r="J159" s="492">
        <v>2718.1185639992</v>
      </c>
      <c r="K159" s="492">
        <v>2995.0016315526</v>
      </c>
      <c r="L159" s="492">
        <v>2861.2640154160999</v>
      </c>
      <c r="M159" s="493">
        <v>2930.9306129637998</v>
      </c>
      <c r="N159" s="492">
        <v>2503.1074552542</v>
      </c>
      <c r="O159" s="492">
        <v>2904.8398705171999</v>
      </c>
      <c r="P159" s="492">
        <v>2714.5326348111003</v>
      </c>
      <c r="Q159" s="492">
        <v>3136.4179701052003</v>
      </c>
      <c r="R159" s="492">
        <v>2724.3191850976</v>
      </c>
      <c r="S159" s="492">
        <v>2625.6820839477</v>
      </c>
      <c r="T159" s="492">
        <v>2526.9424079112005</v>
      </c>
      <c r="U159" s="478"/>
      <c r="V159" s="491" t="str">
        <f t="shared" si="23"/>
        <v>Operational closing balance</v>
      </c>
      <c r="W159" s="492">
        <v>2718.1185639992</v>
      </c>
      <c r="X159" s="492">
        <v>2995.0016315526</v>
      </c>
      <c r="Y159" s="492">
        <v>2861.2640154160999</v>
      </c>
      <c r="Z159" s="493">
        <v>2930.9306129637998</v>
      </c>
      <c r="AA159" s="495">
        <v>2503.1074552542</v>
      </c>
      <c r="AB159" s="492">
        <v>2904.8398705171999</v>
      </c>
      <c r="AC159" s="492">
        <v>2715.5326348111003</v>
      </c>
      <c r="AD159" s="492">
        <v>3136.4179701052003</v>
      </c>
      <c r="AE159" s="492">
        <v>2724.3191850976</v>
      </c>
      <c r="AF159" s="492">
        <v>2625.6820839477</v>
      </c>
      <c r="AG159" s="492">
        <v>2526.9424079112005</v>
      </c>
    </row>
    <row r="160" spans="1:33" ht="12.75" x14ac:dyDescent="0.2">
      <c r="A160" s="478" t="s">
        <v>568</v>
      </c>
      <c r="B160" s="497">
        <v>287</v>
      </c>
      <c r="C160" s="528">
        <v>1.0324193951515442E-3</v>
      </c>
      <c r="D160" s="478"/>
      <c r="E160" s="478" t="s">
        <v>568</v>
      </c>
      <c r="F160" s="529">
        <v>6.0382620873050494E-3</v>
      </c>
      <c r="G160" s="530"/>
      <c r="H160" s="481"/>
      <c r="I160" s="478" t="str">
        <f t="shared" si="22"/>
        <v>Adjustment IAC</v>
      </c>
      <c r="J160" s="497">
        <v>0</v>
      </c>
      <c r="K160" s="497">
        <v>0</v>
      </c>
      <c r="L160" s="497">
        <v>7</v>
      </c>
      <c r="M160" s="501">
        <v>280</v>
      </c>
      <c r="N160" s="497">
        <v>0</v>
      </c>
      <c r="O160" s="497">
        <v>-142</v>
      </c>
      <c r="P160" s="497">
        <v>208</v>
      </c>
      <c r="Q160" s="497">
        <v>-15.5</v>
      </c>
      <c r="R160" s="497">
        <v>0</v>
      </c>
      <c r="S160" s="497">
        <v>-49.3</v>
      </c>
      <c r="T160" s="497">
        <v>-101</v>
      </c>
      <c r="U160" s="478"/>
      <c r="V160" s="478" t="str">
        <f t="shared" si="23"/>
        <v>Adjustment IAC</v>
      </c>
      <c r="W160" s="528">
        <v>0</v>
      </c>
      <c r="X160" s="528">
        <v>0</v>
      </c>
      <c r="Y160" s="528">
        <v>5.9679991131373223E-4</v>
      </c>
      <c r="Z160" s="531">
        <v>2.2296744936977458E-2</v>
      </c>
      <c r="AA160" s="532">
        <v>0</v>
      </c>
      <c r="AB160" s="528">
        <v>-1.1345907383894982E-2</v>
      </c>
      <c r="AC160" s="528">
        <v>1.7514938539937158E-2</v>
      </c>
      <c r="AD160" s="528">
        <v>-1.1644713073135841E-3</v>
      </c>
      <c r="AE160" s="528">
        <v>0</v>
      </c>
      <c r="AF160" s="528">
        <v>-4.3114177057250996E-3</v>
      </c>
      <c r="AG160" s="528">
        <v>-8.7729965126463784E-3</v>
      </c>
    </row>
    <row r="161" spans="1:33" ht="12.75" x14ac:dyDescent="0.2">
      <c r="A161" s="508" t="s">
        <v>566</v>
      </c>
      <c r="B161" s="509">
        <v>11792.114823931701</v>
      </c>
      <c r="C161" s="509">
        <v>11312.2115394877</v>
      </c>
      <c r="D161" s="478"/>
      <c r="E161" s="508" t="s">
        <v>566</v>
      </c>
      <c r="F161" s="510">
        <v>11792.114823931701</v>
      </c>
      <c r="G161" s="494"/>
      <c r="H161" s="481"/>
      <c r="I161" s="508" t="str">
        <f t="shared" si="22"/>
        <v>Reported closing balance</v>
      </c>
      <c r="J161" s="509">
        <v>2717.7185639991999</v>
      </c>
      <c r="K161" s="509">
        <v>2995.0016315526</v>
      </c>
      <c r="L161" s="509">
        <v>2868.0640154161001</v>
      </c>
      <c r="M161" s="510">
        <v>3211.3306129637999</v>
      </c>
      <c r="N161" s="509">
        <v>2503.1074552542</v>
      </c>
      <c r="O161" s="509">
        <v>2762.8398705171999</v>
      </c>
      <c r="P161" s="509">
        <v>2922.5326348110998</v>
      </c>
      <c r="Q161" s="509">
        <v>3120.9179701051999</v>
      </c>
      <c r="R161" s="509">
        <v>2724.3191850976</v>
      </c>
      <c r="S161" s="509">
        <v>2577.3820839476998</v>
      </c>
      <c r="T161" s="509">
        <v>2425.9424079112</v>
      </c>
      <c r="U161" s="478"/>
      <c r="V161" s="508" t="str">
        <f t="shared" si="23"/>
        <v>Reported closing balance</v>
      </c>
      <c r="W161" s="509">
        <v>2717.7185639991999</v>
      </c>
      <c r="X161" s="509">
        <v>2995.0016315526</v>
      </c>
      <c r="Y161" s="509">
        <v>2868.0640154161001</v>
      </c>
      <c r="Z161" s="510">
        <v>3211.3306129637999</v>
      </c>
      <c r="AA161" s="511">
        <v>2503.1074552542</v>
      </c>
      <c r="AB161" s="509">
        <v>2762.8398705171999</v>
      </c>
      <c r="AC161" s="509">
        <v>2923.5326348110998</v>
      </c>
      <c r="AD161" s="509">
        <v>3120.9179701051999</v>
      </c>
      <c r="AE161" s="509">
        <v>2724.3191850976</v>
      </c>
      <c r="AF161" s="509">
        <v>2577.3820839476998</v>
      </c>
      <c r="AG161" s="509">
        <v>2425.9424079112</v>
      </c>
    </row>
    <row r="162" spans="1:33" ht="12.75" x14ac:dyDescent="0.2">
      <c r="A162" s="478"/>
      <c r="B162" s="478"/>
      <c r="C162" s="478"/>
      <c r="D162" s="478"/>
      <c r="E162" s="478"/>
      <c r="F162" s="512"/>
      <c r="G162" s="513"/>
      <c r="H162" s="481"/>
      <c r="I162" s="478"/>
      <c r="J162" s="478"/>
      <c r="K162" s="478"/>
      <c r="L162" s="478"/>
      <c r="M162" s="512"/>
      <c r="N162" s="478"/>
      <c r="O162" s="478"/>
      <c r="P162" s="478"/>
      <c r="Q162" s="478"/>
      <c r="R162" s="478"/>
      <c r="S162" s="478"/>
      <c r="T162" s="478"/>
      <c r="U162" s="478"/>
      <c r="V162" s="478"/>
      <c r="W162" s="478"/>
      <c r="X162" s="478"/>
      <c r="Y162" s="478"/>
      <c r="Z162" s="478"/>
      <c r="AA162" s="478"/>
      <c r="AB162" s="478"/>
      <c r="AC162" s="478"/>
      <c r="AD162" s="478"/>
      <c r="AE162" s="478"/>
      <c r="AF162" s="478"/>
    </row>
    <row r="163" spans="1:33" ht="12.75" x14ac:dyDescent="0.2">
      <c r="A163" s="539" t="s">
        <v>563</v>
      </c>
      <c r="B163" s="540">
        <v>450.05010439969999</v>
      </c>
      <c r="C163" s="541"/>
      <c r="D163" s="541"/>
      <c r="E163" s="541"/>
      <c r="F163" s="542"/>
      <c r="G163" s="543"/>
      <c r="H163" s="544"/>
      <c r="I163" s="539" t="str">
        <f>A163</f>
        <v>Currency</v>
      </c>
      <c r="J163" s="540">
        <v>164.60216404420001</v>
      </c>
      <c r="K163" s="540">
        <v>-198.73967112450001</v>
      </c>
      <c r="L163" s="540">
        <v>193.56116887799999</v>
      </c>
      <c r="M163" s="545">
        <v>290.626442602</v>
      </c>
      <c r="N163" s="540">
        <v>58.909050984299995</v>
      </c>
      <c r="O163" s="540">
        <v>338.17772439340001</v>
      </c>
      <c r="P163" s="540">
        <v>-18.48528789400001</v>
      </c>
      <c r="Q163" s="540">
        <v>56.093102130799991</v>
      </c>
      <c r="R163" s="540">
        <v>202.62132979520001</v>
      </c>
      <c r="S163" s="540">
        <v>-210.1131844654</v>
      </c>
      <c r="T163" s="540">
        <v>-208.84451874979999</v>
      </c>
      <c r="U163" s="541"/>
      <c r="V163" s="541"/>
      <c r="W163" s="541"/>
      <c r="X163" s="541"/>
      <c r="Y163" s="541"/>
      <c r="Z163" s="541"/>
      <c r="AA163" s="541"/>
      <c r="AB163" s="541"/>
      <c r="AC163" s="541"/>
      <c r="AD163" s="541"/>
      <c r="AE163" s="541"/>
      <c r="AF163" s="541"/>
    </row>
    <row r="164" spans="1:33" ht="12.75" x14ac:dyDescent="0.2">
      <c r="A164" s="546" t="s">
        <v>569</v>
      </c>
      <c r="B164" s="547">
        <v>720.08672053359999</v>
      </c>
      <c r="C164" s="546"/>
      <c r="D164" s="541"/>
      <c r="E164" s="546"/>
      <c r="F164" s="548"/>
      <c r="G164" s="549"/>
      <c r="H164" s="544"/>
      <c r="I164" s="546" t="str">
        <f>A164</f>
        <v>of which translation</v>
      </c>
      <c r="J164" s="547">
        <v>227.5713980742</v>
      </c>
      <c r="K164" s="547">
        <v>16.237125569900002</v>
      </c>
      <c r="L164" s="547">
        <v>340.3001750359</v>
      </c>
      <c r="M164" s="550">
        <v>138.97802185360001</v>
      </c>
      <c r="N164" s="547">
        <v>-126.0210852841</v>
      </c>
      <c r="O164" s="547">
        <v>205.80409588079999</v>
      </c>
      <c r="P164" s="547">
        <v>-92.430372352800006</v>
      </c>
      <c r="Q164" s="547">
        <v>-353.57050310720001</v>
      </c>
      <c r="R164" s="547">
        <v>416.07654550270001</v>
      </c>
      <c r="S164" s="547">
        <v>-73.833586081899995</v>
      </c>
      <c r="T164" s="547">
        <v>-211.11935454549999</v>
      </c>
      <c r="U164" s="541"/>
      <c r="V164" s="546"/>
      <c r="W164" s="546"/>
      <c r="X164" s="546"/>
      <c r="Y164" s="546"/>
      <c r="Z164" s="546"/>
      <c r="AA164" s="546"/>
      <c r="AB164" s="546"/>
      <c r="AC164" s="546"/>
      <c r="AD164" s="546"/>
      <c r="AE164" s="546"/>
      <c r="AF164" s="546"/>
    </row>
    <row r="165" spans="1:33" ht="12.75" x14ac:dyDescent="0.2">
      <c r="A165" s="546" t="s">
        <v>570</v>
      </c>
      <c r="B165" s="547">
        <v>-270.0366161339</v>
      </c>
      <c r="C165" s="546"/>
      <c r="D165" s="541"/>
      <c r="E165" s="546"/>
      <c r="F165" s="548"/>
      <c r="G165" s="549"/>
      <c r="H165" s="544"/>
      <c r="I165" s="546" t="str">
        <f>A165</f>
        <v>of which transaction</v>
      </c>
      <c r="J165" s="547">
        <v>-62.969234030000003</v>
      </c>
      <c r="K165" s="547">
        <v>-214.97679669440001</v>
      </c>
      <c r="L165" s="547">
        <v>-145.73900615790001</v>
      </c>
      <c r="M165" s="550">
        <v>151.64842074840001</v>
      </c>
      <c r="N165" s="547">
        <v>184.93013626839999</v>
      </c>
      <c r="O165" s="547">
        <v>132.37362851259999</v>
      </c>
      <c r="P165" s="547">
        <v>73.945084458799997</v>
      </c>
      <c r="Q165" s="547">
        <v>409.663605238</v>
      </c>
      <c r="R165" s="547">
        <v>-213.4552157075</v>
      </c>
      <c r="S165" s="547">
        <v>-136.2795983835</v>
      </c>
      <c r="T165" s="547">
        <v>2.2748357957000001</v>
      </c>
      <c r="U165" s="541"/>
      <c r="V165" s="546"/>
      <c r="W165" s="546"/>
      <c r="X165" s="546"/>
      <c r="Y165" s="546"/>
      <c r="Z165" s="546"/>
      <c r="AA165" s="546"/>
      <c r="AB165" s="546"/>
      <c r="AC165" s="546"/>
      <c r="AD165" s="546"/>
      <c r="AE165" s="546"/>
      <c r="AF165" s="546"/>
    </row>
    <row r="166" spans="1:33" ht="12.75" x14ac:dyDescent="0.2">
      <c r="A166" s="478"/>
      <c r="B166" s="481"/>
      <c r="C166" s="481"/>
      <c r="D166" s="478"/>
      <c r="E166" s="478"/>
      <c r="F166" s="498"/>
      <c r="G166" s="499"/>
      <c r="H166" s="481"/>
      <c r="I166" s="478"/>
      <c r="J166" s="481"/>
      <c r="K166" s="481"/>
      <c r="L166" s="481"/>
      <c r="M166" s="481"/>
      <c r="N166" s="481"/>
      <c r="O166" s="481"/>
      <c r="P166" s="481"/>
      <c r="Q166" s="481"/>
      <c r="R166" s="481"/>
      <c r="S166" s="481"/>
      <c r="T166" s="481"/>
      <c r="U166" s="478"/>
      <c r="V166" s="478"/>
      <c r="W166" s="481"/>
      <c r="X166" s="481"/>
      <c r="Y166" s="481"/>
      <c r="Z166" s="481"/>
      <c r="AA166" s="481"/>
      <c r="AB166" s="481"/>
      <c r="AC166" s="481"/>
      <c r="AD166" s="481"/>
      <c r="AE166" s="481"/>
      <c r="AF166" s="478"/>
    </row>
    <row r="167" spans="1:33" ht="12.75" x14ac:dyDescent="0.2">
      <c r="A167" s="478"/>
      <c r="B167" s="481"/>
      <c r="C167" s="478"/>
      <c r="D167" s="478"/>
      <c r="E167" s="478"/>
      <c r="F167" s="512"/>
      <c r="G167" s="513"/>
      <c r="H167" s="481"/>
      <c r="I167" s="478"/>
      <c r="J167" s="481"/>
      <c r="K167" s="481"/>
      <c r="L167" s="481"/>
      <c r="M167" s="481"/>
      <c r="N167" s="481"/>
      <c r="O167" s="481"/>
      <c r="P167" s="481"/>
      <c r="Q167" s="481"/>
      <c r="R167" s="481"/>
      <c r="S167" s="481"/>
      <c r="T167" s="481"/>
      <c r="U167" s="478"/>
      <c r="V167" s="478"/>
      <c r="W167" s="478"/>
      <c r="X167" s="478"/>
      <c r="Y167" s="478"/>
      <c r="Z167" s="478"/>
      <c r="AA167" s="478"/>
      <c r="AB167" s="478"/>
      <c r="AC167" s="478"/>
      <c r="AD167" s="478"/>
      <c r="AE167" s="478"/>
      <c r="AF167" s="478"/>
    </row>
    <row r="168" spans="1:33" ht="12.75" x14ac:dyDescent="0.2">
      <c r="A168" s="525" t="s">
        <v>192</v>
      </c>
      <c r="B168" s="525"/>
      <c r="C168" s="525"/>
      <c r="D168" s="478"/>
      <c r="E168" s="525" t="s">
        <v>192</v>
      </c>
      <c r="F168" s="526"/>
      <c r="G168" s="487"/>
      <c r="H168" s="481"/>
      <c r="I168" s="525" t="str">
        <f t="shared" ref="I168:I179" si="24">A168</f>
        <v>Operating profit</v>
      </c>
      <c r="J168" s="525"/>
      <c r="K168" s="525"/>
      <c r="L168" s="525"/>
      <c r="M168" s="526"/>
      <c r="N168" s="525"/>
      <c r="O168" s="525"/>
      <c r="P168" s="525"/>
      <c r="Q168" s="525"/>
      <c r="R168" s="525"/>
      <c r="S168" s="525"/>
      <c r="T168" s="525"/>
      <c r="U168" s="478"/>
      <c r="V168" s="525" t="str">
        <f t="shared" ref="V168:V179" si="25">E168</f>
        <v>Operating profit</v>
      </c>
      <c r="W168" s="525"/>
      <c r="X168" s="525"/>
      <c r="Y168" s="525"/>
      <c r="Z168" s="526"/>
      <c r="AA168" s="527"/>
      <c r="AB168" s="525"/>
      <c r="AC168" s="525"/>
      <c r="AD168" s="525"/>
      <c r="AE168" s="525"/>
      <c r="AF168" s="525"/>
      <c r="AG168" s="525"/>
    </row>
    <row r="169" spans="1:33" ht="12.75" x14ac:dyDescent="0.2">
      <c r="A169" s="551" t="s">
        <v>299</v>
      </c>
      <c r="B169" s="551">
        <v>2023</v>
      </c>
      <c r="C169" s="551">
        <v>2024</v>
      </c>
      <c r="D169" s="478"/>
      <c r="E169" s="551" t="s">
        <v>299</v>
      </c>
      <c r="F169" s="552">
        <v>2023</v>
      </c>
      <c r="G169" s="487"/>
      <c r="H169" s="481"/>
      <c r="I169" s="551" t="str">
        <f t="shared" si="24"/>
        <v>Tools &amp; Attachments</v>
      </c>
      <c r="J169" s="551" t="s">
        <v>151</v>
      </c>
      <c r="K169" s="551" t="s">
        <v>152</v>
      </c>
      <c r="L169" s="551" t="s">
        <v>153</v>
      </c>
      <c r="M169" s="552" t="s">
        <v>154</v>
      </c>
      <c r="N169" s="551" t="s">
        <v>155</v>
      </c>
      <c r="O169" s="551" t="s">
        <v>156</v>
      </c>
      <c r="P169" s="551" t="s">
        <v>157</v>
      </c>
      <c r="Q169" s="551" t="s">
        <v>158</v>
      </c>
      <c r="R169" s="551" t="s">
        <v>159</v>
      </c>
      <c r="S169" s="322" t="s">
        <v>160</v>
      </c>
      <c r="T169" s="551" t="s">
        <v>161</v>
      </c>
      <c r="U169" s="478"/>
      <c r="V169" s="551" t="str">
        <f t="shared" si="25"/>
        <v>Tools &amp; Attachments</v>
      </c>
      <c r="W169" s="551" t="s">
        <v>151</v>
      </c>
      <c r="X169" s="551" t="s">
        <v>152</v>
      </c>
      <c r="Y169" s="551" t="s">
        <v>153</v>
      </c>
      <c r="Z169" s="552" t="s">
        <v>154</v>
      </c>
      <c r="AA169" s="553" t="s">
        <v>155</v>
      </c>
      <c r="AB169" s="551" t="s">
        <v>156</v>
      </c>
      <c r="AC169" s="551" t="s">
        <v>157</v>
      </c>
      <c r="AD169" s="551" t="s">
        <v>158</v>
      </c>
      <c r="AE169" s="322" t="s">
        <v>159</v>
      </c>
      <c r="AF169" s="322" t="s">
        <v>160</v>
      </c>
      <c r="AG169" s="322" t="s">
        <v>161</v>
      </c>
    </row>
    <row r="170" spans="1:33" ht="12.75" x14ac:dyDescent="0.2">
      <c r="A170" s="491" t="s">
        <v>559</v>
      </c>
      <c r="B170" s="492">
        <v>1899.9060779325</v>
      </c>
      <c r="C170" s="492">
        <v>1781.3340408305999</v>
      </c>
      <c r="D170" s="478"/>
      <c r="E170" s="491" t="s">
        <v>559</v>
      </c>
      <c r="F170" s="493">
        <v>1899.9060779325</v>
      </c>
      <c r="G170" s="494"/>
      <c r="H170" s="481"/>
      <c r="I170" s="491" t="str">
        <f t="shared" si="24"/>
        <v>Reported opening balance</v>
      </c>
      <c r="J170" s="492">
        <v>474.07123835089999</v>
      </c>
      <c r="K170" s="492">
        <v>436.40084296420002</v>
      </c>
      <c r="L170" s="492">
        <v>513.86995469329997</v>
      </c>
      <c r="M170" s="493">
        <v>475.58798497110001</v>
      </c>
      <c r="N170" s="492">
        <v>531.69128043830005</v>
      </c>
      <c r="O170" s="492">
        <v>523.54780306999999</v>
      </c>
      <c r="P170" s="492">
        <v>480.77041976430002</v>
      </c>
      <c r="Q170" s="492">
        <v>243.48978503500001</v>
      </c>
      <c r="R170" s="492">
        <v>334.93100653929997</v>
      </c>
      <c r="S170" s="492">
        <v>283.30967780169999</v>
      </c>
      <c r="T170" s="492">
        <v>428.84343180370001</v>
      </c>
      <c r="U170" s="478"/>
      <c r="V170" s="491" t="str">
        <f t="shared" si="25"/>
        <v>Reported opening balance</v>
      </c>
      <c r="W170" s="492">
        <v>474.07123835089999</v>
      </c>
      <c r="X170" s="492">
        <v>436.40084296420002</v>
      </c>
      <c r="Y170" s="492">
        <v>513.84601164629998</v>
      </c>
      <c r="Z170" s="493">
        <v>475.58798497110001</v>
      </c>
      <c r="AA170" s="495">
        <v>332.93100653929997</v>
      </c>
      <c r="AB170" s="492">
        <v>523.54780306999999</v>
      </c>
      <c r="AC170" s="492">
        <v>480.77041976430002</v>
      </c>
      <c r="AD170" s="492">
        <v>243.48978503500001</v>
      </c>
      <c r="AE170" s="492">
        <v>334.93100653929997</v>
      </c>
      <c r="AF170" s="492">
        <v>283.30967780169999</v>
      </c>
      <c r="AG170" s="492">
        <v>428.84343180370001</v>
      </c>
    </row>
    <row r="171" spans="1:33" ht="12.75" x14ac:dyDescent="0.2">
      <c r="A171" s="478" t="s">
        <v>568</v>
      </c>
      <c r="B171" s="497">
        <v>85</v>
      </c>
      <c r="C171" s="528">
        <v>1.241832608021088E-2</v>
      </c>
      <c r="D171" s="478"/>
      <c r="E171" s="478" t="s">
        <v>568</v>
      </c>
      <c r="F171" s="529">
        <v>7.86615556206967E-3</v>
      </c>
      <c r="G171" s="530"/>
      <c r="H171" s="481"/>
      <c r="I171" s="478" t="str">
        <f t="shared" si="24"/>
        <v>Adjustment IAC</v>
      </c>
      <c r="J171" s="497">
        <v>0</v>
      </c>
      <c r="K171" s="497">
        <v>73</v>
      </c>
      <c r="L171" s="497">
        <v>11.8</v>
      </c>
      <c r="M171" s="501">
        <v>0</v>
      </c>
      <c r="N171" s="497">
        <v>0</v>
      </c>
      <c r="O171" s="497">
        <v>0</v>
      </c>
      <c r="P171" s="497">
        <v>0</v>
      </c>
      <c r="Q171" s="497">
        <v>158</v>
      </c>
      <c r="R171" s="497">
        <v>125.3</v>
      </c>
      <c r="S171" s="497">
        <v>164.7</v>
      </c>
      <c r="T171" s="497">
        <v>0</v>
      </c>
      <c r="U171" s="478"/>
      <c r="V171" s="478" t="str">
        <f t="shared" si="25"/>
        <v>Adjustment IAC</v>
      </c>
      <c r="W171" s="528">
        <v>0</v>
      </c>
      <c r="X171" s="528">
        <v>2.6128029917278198E-2</v>
      </c>
      <c r="Y171" s="528">
        <v>4.4260817539145654E-3</v>
      </c>
      <c r="Z171" s="531">
        <v>0</v>
      </c>
      <c r="AA171" s="532">
        <v>4.2491304198712082E-2</v>
      </c>
      <c r="AB171" s="528">
        <v>0</v>
      </c>
      <c r="AC171" s="528">
        <v>0</v>
      </c>
      <c r="AD171" s="528">
        <v>5.2930396288634739E-2</v>
      </c>
      <c r="AE171" s="528">
        <v>4.2491304198712082E-2</v>
      </c>
      <c r="AF171" s="528">
        <v>4.1265414958373166E-2</v>
      </c>
      <c r="AG171" s="528">
        <v>0</v>
      </c>
    </row>
    <row r="172" spans="1:33" ht="12.75" x14ac:dyDescent="0.2">
      <c r="A172" s="491" t="s">
        <v>561</v>
      </c>
      <c r="B172" s="554">
        <v>1984.9060779325</v>
      </c>
      <c r="C172" s="554">
        <v>1939.3340408305999</v>
      </c>
      <c r="D172" s="478"/>
      <c r="E172" s="491" t="s">
        <v>561</v>
      </c>
      <c r="F172" s="493">
        <v>1984.9060779325</v>
      </c>
      <c r="G172" s="494"/>
      <c r="H172" s="481"/>
      <c r="I172" s="491" t="str">
        <f t="shared" si="24"/>
        <v>Adjusted opening balance</v>
      </c>
      <c r="J172" s="554">
        <v>474.07123835089999</v>
      </c>
      <c r="K172" s="554">
        <v>509.40084296420002</v>
      </c>
      <c r="L172" s="554">
        <v>525.66995469329993</v>
      </c>
      <c r="M172" s="555">
        <v>475.58798497110001</v>
      </c>
      <c r="N172" s="554">
        <v>531.69128043830005</v>
      </c>
      <c r="O172" s="554">
        <v>523.54780306999999</v>
      </c>
      <c r="P172" s="554">
        <v>480.77041976430002</v>
      </c>
      <c r="Q172" s="554">
        <v>401.48978503500001</v>
      </c>
      <c r="R172" s="554">
        <v>460.23100653929998</v>
      </c>
      <c r="S172" s="554">
        <v>448.00967780169998</v>
      </c>
      <c r="T172" s="554">
        <v>428.94343180370004</v>
      </c>
      <c r="U172" s="478"/>
      <c r="V172" s="491" t="str">
        <f t="shared" si="25"/>
        <v>Adjusted opening balance</v>
      </c>
      <c r="W172" s="492">
        <v>474.07123835089999</v>
      </c>
      <c r="X172" s="492">
        <v>509.40084296420002</v>
      </c>
      <c r="Y172" s="492">
        <v>525.84601164629998</v>
      </c>
      <c r="Z172" s="493">
        <v>475.58798497110001</v>
      </c>
      <c r="AA172" s="495">
        <v>458.23100653929998</v>
      </c>
      <c r="AB172" s="492">
        <v>523.54780306999999</v>
      </c>
      <c r="AC172" s="554">
        <v>480.77041976430002</v>
      </c>
      <c r="AD172" s="554">
        <v>401.48978503500001</v>
      </c>
      <c r="AE172" s="554">
        <v>460.23100653929998</v>
      </c>
      <c r="AF172" s="554">
        <v>448.00967780169998</v>
      </c>
      <c r="AG172" s="554">
        <v>428.94343180370004</v>
      </c>
    </row>
    <row r="173" spans="1:33" ht="12.75" x14ac:dyDescent="0.2">
      <c r="A173" s="478" t="s">
        <v>562</v>
      </c>
      <c r="B173" s="497">
        <v>-348.77099661049999</v>
      </c>
      <c r="C173" s="528">
        <v>-1.2879107328521607E-2</v>
      </c>
      <c r="D173" s="478"/>
      <c r="E173" s="478" t="s">
        <v>562</v>
      </c>
      <c r="F173" s="529">
        <v>-2.6138130713656813E-2</v>
      </c>
      <c r="G173" s="530"/>
      <c r="H173" s="481"/>
      <c r="I173" s="478" t="str">
        <f t="shared" si="24"/>
        <v>Organic</v>
      </c>
      <c r="J173" s="497">
        <v>15.1813301342</v>
      </c>
      <c r="K173" s="497">
        <v>-27.977695242500001</v>
      </c>
      <c r="L173" s="497">
        <v>-185.4132886854</v>
      </c>
      <c r="M173" s="501">
        <v>-150.56134281679999</v>
      </c>
      <c r="N173" s="497">
        <v>-73</v>
      </c>
      <c r="O173" s="497">
        <v>-183.64027944809999</v>
      </c>
      <c r="P173" s="497">
        <v>-5.5927333704000004</v>
      </c>
      <c r="Q173" s="497">
        <v>-41.625719387700002</v>
      </c>
      <c r="R173" s="497">
        <v>-101.47495675730001</v>
      </c>
      <c r="S173" s="497">
        <v>67.932452469300003</v>
      </c>
      <c r="T173" s="497">
        <v>58.558962671099998</v>
      </c>
      <c r="U173" s="478"/>
      <c r="V173" s="478" t="str">
        <f t="shared" si="25"/>
        <v>Organic</v>
      </c>
      <c r="W173" s="528">
        <v>-2.4667829924794604E-4</v>
      </c>
      <c r="X173" s="528">
        <v>-7.3887503992180288E-3</v>
      </c>
      <c r="Y173" s="528">
        <v>-5.4969088734367413E-2</v>
      </c>
      <c r="Z173" s="531">
        <v>-4.4832433861540108E-2</v>
      </c>
      <c r="AA173" s="532">
        <v>-2.2456733228033463E-2</v>
      </c>
      <c r="AB173" s="528">
        <v>-3.1648214268672377E-2</v>
      </c>
      <c r="AC173" s="528">
        <v>5.5662938743079801E-3</v>
      </c>
      <c r="AD173" s="528">
        <v>-1.0146706144451609E-2</v>
      </c>
      <c r="AE173" s="528">
        <v>-3.05478859255289E-2</v>
      </c>
      <c r="AF173" s="528">
        <v>2.1021929240306225E-2</v>
      </c>
      <c r="AG173" s="528">
        <v>9.8328211021338763E-3</v>
      </c>
    </row>
    <row r="174" spans="1:33" ht="12.75" x14ac:dyDescent="0.2">
      <c r="A174" s="478" t="s">
        <v>563</v>
      </c>
      <c r="B174" s="497">
        <v>81.641692189699995</v>
      </c>
      <c r="C174" s="528">
        <v>3.2809774534112357E-3</v>
      </c>
      <c r="D174" s="478"/>
      <c r="E174" s="478" t="s">
        <v>563</v>
      </c>
      <c r="F174" s="529">
        <v>3.0152063357957878E-3</v>
      </c>
      <c r="G174" s="530"/>
      <c r="H174" s="481"/>
      <c r="I174" s="478" t="str">
        <f t="shared" si="24"/>
        <v>Currency</v>
      </c>
      <c r="J174" s="497">
        <v>32.873405908099997</v>
      </c>
      <c r="K174" s="497">
        <v>-50.032321365900003</v>
      </c>
      <c r="L174" s="497">
        <v>61.881205862599998</v>
      </c>
      <c r="M174" s="501">
        <v>36.919401784900003</v>
      </c>
      <c r="N174" s="497">
        <v>-14.3078845149</v>
      </c>
      <c r="O174" s="497">
        <v>63.7445785779</v>
      </c>
      <c r="P174" s="497">
        <v>-33.370733480799998</v>
      </c>
      <c r="Q174" s="497">
        <v>7.4556641838999997</v>
      </c>
      <c r="R174" s="497">
        <v>64.197016544199997</v>
      </c>
      <c r="S174" s="497">
        <v>-42.208929125099999</v>
      </c>
      <c r="T174" s="497">
        <v>-52.651157263899997</v>
      </c>
      <c r="U174" s="478"/>
      <c r="V174" s="478" t="str">
        <f t="shared" si="25"/>
        <v>Currency</v>
      </c>
      <c r="W174" s="528">
        <v>1.9313759061482044E-3</v>
      </c>
      <c r="X174" s="528">
        <v>-1.9831947011694714E-2</v>
      </c>
      <c r="Y174" s="528">
        <v>1.7785983493624886E-2</v>
      </c>
      <c r="Z174" s="531">
        <v>1.4400393658750258E-2</v>
      </c>
      <c r="AA174" s="532">
        <v>1.6848752256443989E-2</v>
      </c>
      <c r="AB174" s="528">
        <v>1.6737919454305635E-2</v>
      </c>
      <c r="AC174" s="528">
        <v>-5.7003454930893817E-3</v>
      </c>
      <c r="AD174" s="528">
        <v>5.1794995250172135E-4</v>
      </c>
      <c r="AE174" s="528">
        <v>2.3455831973347899E-2</v>
      </c>
      <c r="AF174" s="528">
        <v>-1.3500027253508969E-3</v>
      </c>
      <c r="AG174" s="528">
        <v>-5.2541460344933504E-3</v>
      </c>
    </row>
    <row r="175" spans="1:33" ht="12.75" x14ac:dyDescent="0.2">
      <c r="A175" s="504" t="s">
        <v>564</v>
      </c>
      <c r="B175" s="533">
        <v>219.9441154486</v>
      </c>
      <c r="C175" s="534">
        <v>-2.9356144452572647E-2</v>
      </c>
      <c r="D175" s="478"/>
      <c r="E175" s="504" t="s">
        <v>564</v>
      </c>
      <c r="F175" s="535">
        <v>-8.1420092329235021E-3</v>
      </c>
      <c r="G175" s="530"/>
      <c r="H175" s="481"/>
      <c r="I175" s="504" t="str">
        <f t="shared" si="24"/>
        <v>Structure</v>
      </c>
      <c r="J175" s="533">
        <v>10.3144418353</v>
      </c>
      <c r="K175" s="533">
        <v>93.292436906299997</v>
      </c>
      <c r="L175" s="533">
        <v>77.632547894300004</v>
      </c>
      <c r="M175" s="536">
        <v>38.704688812699999</v>
      </c>
      <c r="N175" s="533">
        <v>14.884524311899995</v>
      </c>
      <c r="O175" s="533">
        <v>43.557575602</v>
      </c>
      <c r="P175" s="533">
        <v>-12.941713784800001</v>
      </c>
      <c r="Q175" s="533">
        <v>-40.112726042200009</v>
      </c>
      <c r="R175" s="533">
        <v>38.323484963300004</v>
      </c>
      <c r="S175" s="533">
        <v>9.6664192200023535E-2</v>
      </c>
      <c r="T175" s="533">
        <v>-4.8696510714999999</v>
      </c>
      <c r="U175" s="478"/>
      <c r="V175" s="504" t="str">
        <f t="shared" si="25"/>
        <v>Structure</v>
      </c>
      <c r="W175" s="534">
        <v>-1.450773452635936E-2</v>
      </c>
      <c r="X175" s="534">
        <v>-1.494571587854065E-3</v>
      </c>
      <c r="Y175" s="534">
        <v>-6.2188679201728696E-3</v>
      </c>
      <c r="Z175" s="537">
        <v>-1.0637858630309515E-2</v>
      </c>
      <c r="AA175" s="538">
        <v>-2.8744463601222275E-2</v>
      </c>
      <c r="AB175" s="534">
        <v>-2.619929855425026E-2</v>
      </c>
      <c r="AC175" s="534">
        <v>-3.7770010278081086E-2</v>
      </c>
      <c r="AD175" s="534">
        <v>-4.1042753182364139E-2</v>
      </c>
      <c r="AE175" s="534">
        <v>-2.7913813720565998E-2</v>
      </c>
      <c r="AF175" s="534">
        <v>-2.1986112459124671E-3</v>
      </c>
      <c r="AG175" s="534">
        <v>-2.1065968072708262E-3</v>
      </c>
    </row>
    <row r="176" spans="1:33" ht="12.75" x14ac:dyDescent="0.2">
      <c r="A176" s="478" t="s">
        <v>477</v>
      </c>
      <c r="B176" s="497">
        <v>-46.78449619740001</v>
      </c>
      <c r="C176" s="528">
        <v>-3.8954274327683017E-2</v>
      </c>
      <c r="D176" s="478"/>
      <c r="E176" s="478" t="s">
        <v>477</v>
      </c>
      <c r="F176" s="529">
        <v>-3.1358633351917214E-2</v>
      </c>
      <c r="G176" s="530"/>
      <c r="H176" s="481"/>
      <c r="I176" s="478" t="str">
        <f t="shared" si="24"/>
        <v>Total</v>
      </c>
      <c r="J176" s="497">
        <v>58.020042087700006</v>
      </c>
      <c r="K176" s="497">
        <v>14.918016650599995</v>
      </c>
      <c r="L176" s="497">
        <v>-44.899534928500003</v>
      </c>
      <c r="M176" s="501">
        <v>-75.074468108000005</v>
      </c>
      <c r="N176" s="497">
        <v>-71.646665099700002</v>
      </c>
      <c r="O176" s="497">
        <v>-75.538125268200005</v>
      </c>
      <c r="P176" s="497">
        <v>-51.905180635999997</v>
      </c>
      <c r="Q176" s="497">
        <v>-74.282781246000013</v>
      </c>
      <c r="R176" s="497">
        <v>1.0455447501999899</v>
      </c>
      <c r="S176" s="497">
        <v>25.6201875364</v>
      </c>
      <c r="T176" s="497">
        <v>1.0381543357000016</v>
      </c>
      <c r="U176" s="478"/>
      <c r="V176" s="478" t="str">
        <f t="shared" si="25"/>
        <v>Total</v>
      </c>
      <c r="W176" s="528">
        <v>-1.2968956371129242E-2</v>
      </c>
      <c r="X176" s="528">
        <v>-2.8915670583476744E-2</v>
      </c>
      <c r="Y176" s="528">
        <v>-4.3333096444513136E-2</v>
      </c>
      <c r="Z176" s="531">
        <v>-4.1121271426143247E-2</v>
      </c>
      <c r="AA176" s="532">
        <v>-3.4352444572811752E-2</v>
      </c>
      <c r="AB176" s="528">
        <v>-4.1109593368616998E-2</v>
      </c>
      <c r="AC176" s="528">
        <v>-3.790406189686249E-2</v>
      </c>
      <c r="AD176" s="528">
        <v>-5.0671509374314028E-2</v>
      </c>
      <c r="AE176" s="528">
        <v>-3.4505867672746951E-2</v>
      </c>
      <c r="AF176" s="528">
        <v>1.7473315269042861E-2</v>
      </c>
      <c r="AG176" s="528">
        <v>3.4720782603697015E-3</v>
      </c>
    </row>
    <row r="177" spans="1:33" ht="12.75" x14ac:dyDescent="0.2">
      <c r="A177" s="491" t="s">
        <v>565</v>
      </c>
      <c r="B177" s="554">
        <v>1938.1215817350999</v>
      </c>
      <c r="C177" s="492">
        <v>1661.3129272577</v>
      </c>
      <c r="D177" s="478"/>
      <c r="E177" s="491" t="s">
        <v>565</v>
      </c>
      <c r="F177" s="493">
        <v>1938.1215817350999</v>
      </c>
      <c r="G177" s="494"/>
      <c r="H177" s="481"/>
      <c r="I177" s="491" t="str">
        <f t="shared" si="24"/>
        <v>Operational closing balance</v>
      </c>
      <c r="J177" s="554">
        <v>532.09128043860005</v>
      </c>
      <c r="K177" s="554">
        <v>524.31885961479998</v>
      </c>
      <c r="L177" s="554">
        <v>480.77041976479995</v>
      </c>
      <c r="M177" s="555">
        <v>400.51351686309999</v>
      </c>
      <c r="N177" s="554">
        <v>460.04461533860007</v>
      </c>
      <c r="O177" s="554">
        <v>448.00967780179997</v>
      </c>
      <c r="P177" s="554">
        <v>428.8652391283</v>
      </c>
      <c r="Q177" s="554">
        <v>326.207003789</v>
      </c>
      <c r="R177" s="554">
        <v>461.27655128949999</v>
      </c>
      <c r="S177" s="554">
        <v>474.4298653381</v>
      </c>
      <c r="T177" s="554">
        <v>429.98158613940006</v>
      </c>
      <c r="U177" s="478"/>
      <c r="V177" s="491" t="str">
        <f t="shared" si="25"/>
        <v>Operational closing balance</v>
      </c>
      <c r="W177" s="492">
        <v>532.09128043860005</v>
      </c>
      <c r="X177" s="492">
        <v>524.31885961479998</v>
      </c>
      <c r="Y177" s="492">
        <v>481.19792481859997</v>
      </c>
      <c r="Z177" s="493">
        <v>400.51351686309999</v>
      </c>
      <c r="AA177" s="495">
        <v>461.27655128949999</v>
      </c>
      <c r="AB177" s="492">
        <v>448.00967780179997</v>
      </c>
      <c r="AC177" s="492">
        <v>428.8652391283</v>
      </c>
      <c r="AD177" s="492">
        <v>326.207003789</v>
      </c>
      <c r="AE177" s="492">
        <v>461.27655128949999</v>
      </c>
      <c r="AF177" s="492">
        <v>474.4298653381</v>
      </c>
      <c r="AG177" s="492">
        <v>429.98158613940006</v>
      </c>
    </row>
    <row r="178" spans="1:33" ht="12.75" x14ac:dyDescent="0.2">
      <c r="A178" s="478" t="s">
        <v>568</v>
      </c>
      <c r="B178" s="497">
        <v>-158</v>
      </c>
      <c r="C178" s="528">
        <v>-1.980767927381466E-2</v>
      </c>
      <c r="D178" s="478"/>
      <c r="E178" s="478" t="s">
        <v>568</v>
      </c>
      <c r="F178" s="529">
        <v>-1.2418326080210977E-2</v>
      </c>
      <c r="G178" s="530"/>
      <c r="H178" s="481"/>
      <c r="I178" s="478" t="str">
        <f t="shared" si="24"/>
        <v>Adjustment IAC</v>
      </c>
      <c r="J178" s="497">
        <v>0</v>
      </c>
      <c r="K178" s="497">
        <v>0</v>
      </c>
      <c r="L178" s="497">
        <v>0</v>
      </c>
      <c r="M178" s="501">
        <v>-158</v>
      </c>
      <c r="N178" s="497">
        <v>-125.3</v>
      </c>
      <c r="O178" s="497">
        <v>-164.7</v>
      </c>
      <c r="P178" s="497">
        <v>0</v>
      </c>
      <c r="Q178" s="497">
        <v>0</v>
      </c>
      <c r="R178" s="497">
        <v>0</v>
      </c>
      <c r="S178" s="497">
        <v>-97.7</v>
      </c>
      <c r="T178" s="497">
        <v>6.3</v>
      </c>
      <c r="U178" s="478"/>
      <c r="V178" s="478" t="str">
        <f t="shared" si="25"/>
        <v>Adjustment IAC</v>
      </c>
      <c r="W178" s="528">
        <v>0</v>
      </c>
      <c r="X178" s="528">
        <v>0</v>
      </c>
      <c r="Y178" s="528">
        <v>0</v>
      </c>
      <c r="Z178" s="531">
        <v>-5.2930396288636515E-2</v>
      </c>
      <c r="AA178" s="532">
        <v>0</v>
      </c>
      <c r="AB178" s="528">
        <v>-4.1265414958373166E-2</v>
      </c>
      <c r="AC178" s="528">
        <v>0</v>
      </c>
      <c r="AD178" s="528">
        <v>0</v>
      </c>
      <c r="AE178" s="528">
        <v>0</v>
      </c>
      <c r="AF178" s="528">
        <v>-2.7657576260977198E-2</v>
      </c>
      <c r="AG178" s="528">
        <v>1.7007029255554145E-3</v>
      </c>
    </row>
    <row r="179" spans="1:33" ht="12.75" x14ac:dyDescent="0.2">
      <c r="A179" s="508" t="s">
        <v>566</v>
      </c>
      <c r="B179" s="509">
        <v>1780</v>
      </c>
      <c r="C179" s="509">
        <v>1370.6129272577</v>
      </c>
      <c r="D179" s="478"/>
      <c r="E179" s="508" t="s">
        <v>566</v>
      </c>
      <c r="F179" s="510">
        <v>1780</v>
      </c>
      <c r="G179" s="494"/>
      <c r="H179" s="481"/>
      <c r="I179" s="508" t="str">
        <f t="shared" si="24"/>
        <v>Reported closing balance</v>
      </c>
      <c r="J179" s="509">
        <v>531.69128043859996</v>
      </c>
      <c r="K179" s="509">
        <v>523.61885961480004</v>
      </c>
      <c r="L179" s="509">
        <v>480.77041976480001</v>
      </c>
      <c r="M179" s="510">
        <v>242.9135168631</v>
      </c>
      <c r="N179" s="509">
        <v>334.7446153386</v>
      </c>
      <c r="O179" s="509">
        <v>283.30967780179998</v>
      </c>
      <c r="P179" s="509">
        <v>428.8652391283</v>
      </c>
      <c r="Q179" s="509">
        <v>325.50700378900001</v>
      </c>
      <c r="R179" s="509">
        <v>461.27655128949999</v>
      </c>
      <c r="S179" s="509">
        <v>375.72986533810001</v>
      </c>
      <c r="T179" s="509">
        <v>435.88158613939999</v>
      </c>
      <c r="U179" s="478"/>
      <c r="V179" s="508" t="str">
        <f t="shared" si="25"/>
        <v>Reported closing balance</v>
      </c>
      <c r="W179" s="509">
        <v>531.69128043859996</v>
      </c>
      <c r="X179" s="509">
        <v>523.61885961480004</v>
      </c>
      <c r="Y179" s="509">
        <v>481.19792481860003</v>
      </c>
      <c r="Z179" s="510">
        <v>242.9135168631</v>
      </c>
      <c r="AA179" s="511">
        <v>461.27655128949999</v>
      </c>
      <c r="AB179" s="509">
        <v>283.30967780179998</v>
      </c>
      <c r="AC179" s="509">
        <v>428.8652391283</v>
      </c>
      <c r="AD179" s="509">
        <v>325.50700378900001</v>
      </c>
      <c r="AE179" s="509">
        <v>461.27655128949999</v>
      </c>
      <c r="AF179" s="509">
        <v>375.72986533810001</v>
      </c>
      <c r="AG179" s="509">
        <v>435.88158613939999</v>
      </c>
    </row>
    <row r="180" spans="1:33" ht="12.75" x14ac:dyDescent="0.2">
      <c r="A180" s="478"/>
      <c r="B180" s="478"/>
      <c r="C180" s="478"/>
      <c r="D180" s="478"/>
      <c r="E180" s="478"/>
      <c r="F180" s="512"/>
      <c r="G180" s="513"/>
      <c r="H180" s="481"/>
      <c r="I180" s="478"/>
      <c r="J180" s="478"/>
      <c r="K180" s="478"/>
      <c r="L180" s="478"/>
      <c r="M180" s="512"/>
      <c r="N180" s="478"/>
      <c r="O180" s="478"/>
      <c r="P180" s="478"/>
      <c r="Q180" s="478"/>
      <c r="R180" s="478"/>
      <c r="S180" s="478"/>
      <c r="T180" s="478"/>
      <c r="U180" s="478"/>
      <c r="V180" s="478"/>
      <c r="W180" s="478"/>
      <c r="X180" s="478"/>
      <c r="Y180" s="478"/>
      <c r="Z180" s="478"/>
      <c r="AA180" s="478"/>
      <c r="AB180" s="478"/>
      <c r="AC180" s="478"/>
      <c r="AD180" s="478"/>
      <c r="AE180" s="478"/>
      <c r="AF180" s="478"/>
    </row>
    <row r="181" spans="1:33" ht="12.75" x14ac:dyDescent="0.2">
      <c r="A181" s="539" t="s">
        <v>563</v>
      </c>
      <c r="B181" s="540">
        <v>81.653022103699996</v>
      </c>
      <c r="C181" s="541"/>
      <c r="D181" s="541"/>
      <c r="E181" s="541"/>
      <c r="F181" s="542"/>
      <c r="G181" s="543"/>
      <c r="H181" s="544"/>
      <c r="I181" s="539" t="str">
        <f>A181</f>
        <v>Currency</v>
      </c>
      <c r="J181" s="540">
        <v>32.823072391699995</v>
      </c>
      <c r="K181" s="540">
        <v>-49.988085122599998</v>
      </c>
      <c r="L181" s="540">
        <v>61.876795464899999</v>
      </c>
      <c r="M181" s="545">
        <v>36.9412393697</v>
      </c>
      <c r="N181" s="540">
        <v>-14.3078845149</v>
      </c>
      <c r="O181" s="540">
        <v>63.7445785779</v>
      </c>
      <c r="P181" s="540">
        <v>-33.370733480799998</v>
      </c>
      <c r="Q181" s="540">
        <v>7.2556641838999951</v>
      </c>
      <c r="R181" s="540">
        <v>64.197016544199997</v>
      </c>
      <c r="S181" s="540">
        <v>-42.208929125099999</v>
      </c>
      <c r="T181" s="540">
        <v>-53.051157263899995</v>
      </c>
      <c r="U181" s="541"/>
      <c r="V181" s="541"/>
      <c r="W181" s="541"/>
      <c r="X181" s="541"/>
      <c r="Y181" s="541"/>
      <c r="Z181" s="541"/>
      <c r="AA181" s="541"/>
      <c r="AB181" s="541"/>
      <c r="AC181" s="541"/>
      <c r="AD181" s="541"/>
      <c r="AE181" s="541"/>
      <c r="AF181" s="541"/>
    </row>
    <row r="182" spans="1:33" ht="12.75" x14ac:dyDescent="0.2">
      <c r="A182" s="546" t="s">
        <v>569</v>
      </c>
      <c r="B182" s="547">
        <v>126.18050934590001</v>
      </c>
      <c r="C182" s="546"/>
      <c r="D182" s="541"/>
      <c r="E182" s="546"/>
      <c r="F182" s="548"/>
      <c r="G182" s="549"/>
      <c r="H182" s="544"/>
      <c r="I182" s="546" t="str">
        <f>A182</f>
        <v>of which translation</v>
      </c>
      <c r="J182" s="547">
        <v>40.106645534199998</v>
      </c>
      <c r="K182" s="547">
        <v>18.052235276699999</v>
      </c>
      <c r="L182" s="547">
        <v>62.713381624100002</v>
      </c>
      <c r="M182" s="550">
        <v>4.3082469109000003</v>
      </c>
      <c r="N182" s="547">
        <v>-30</v>
      </c>
      <c r="O182" s="547">
        <v>48.723298828200001</v>
      </c>
      <c r="P182" s="547">
        <v>-7.9061194075000003</v>
      </c>
      <c r="Q182" s="547">
        <v>-97.6775364489</v>
      </c>
      <c r="R182" s="547">
        <v>100.618628507</v>
      </c>
      <c r="S182" s="547">
        <v>-19.667318876100001</v>
      </c>
      <c r="T182" s="547">
        <v>-57.555911043099997</v>
      </c>
      <c r="U182" s="541"/>
      <c r="V182" s="546"/>
      <c r="W182" s="546"/>
      <c r="X182" s="546"/>
      <c r="Y182" s="546"/>
      <c r="Z182" s="546"/>
      <c r="AA182" s="546"/>
      <c r="AB182" s="546"/>
      <c r="AC182" s="546"/>
      <c r="AD182" s="546"/>
      <c r="AE182" s="546"/>
      <c r="AF182" s="546"/>
    </row>
    <row r="183" spans="1:33" ht="12.75" x14ac:dyDescent="0.2">
      <c r="A183" s="546" t="s">
        <v>570</v>
      </c>
      <c r="B183" s="547">
        <v>-43.527487242200003</v>
      </c>
      <c r="C183" s="546"/>
      <c r="D183" s="541"/>
      <c r="E183" s="546"/>
      <c r="F183" s="548"/>
      <c r="G183" s="549"/>
      <c r="H183" s="544"/>
      <c r="I183" s="546" t="str">
        <f>A183</f>
        <v>of which transaction</v>
      </c>
      <c r="J183" s="547">
        <v>-7.2835731424999999</v>
      </c>
      <c r="K183" s="547">
        <v>-68.040320399300001</v>
      </c>
      <c r="L183" s="547">
        <v>-0.83658615920000001</v>
      </c>
      <c r="M183" s="550">
        <v>32.632992458799997</v>
      </c>
      <c r="N183" s="547">
        <v>16</v>
      </c>
      <c r="O183" s="547">
        <v>15.0212797497</v>
      </c>
      <c r="P183" s="547">
        <v>-25.464614073300002</v>
      </c>
      <c r="Q183" s="547">
        <v>104.93320063279999</v>
      </c>
      <c r="R183" s="547">
        <v>-36.4216119628</v>
      </c>
      <c r="S183" s="547">
        <v>-22.541610249000001</v>
      </c>
      <c r="T183" s="547">
        <v>4.5047537791999996</v>
      </c>
      <c r="U183" s="541"/>
      <c r="V183" s="546"/>
      <c r="W183" s="546"/>
      <c r="X183" s="546"/>
      <c r="Y183" s="546"/>
      <c r="Z183" s="546"/>
      <c r="AA183" s="546"/>
      <c r="AB183" s="546"/>
      <c r="AC183" s="546"/>
      <c r="AD183" s="546"/>
      <c r="AE183" s="546"/>
      <c r="AF183" s="546"/>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U79"/>
  <sheetViews>
    <sheetView showGridLines="0" workbookViewId="0"/>
  </sheetViews>
  <sheetFormatPr defaultColWidth="10" defaultRowHeight="13.35" customHeight="1" x14ac:dyDescent="0.2"/>
  <cols>
    <col min="1" max="1" width="50.5703125" customWidth="1"/>
    <col min="2" max="11" width="8.42578125" bestFit="1" customWidth="1"/>
    <col min="12" max="12" width="8.42578125" customWidth="1"/>
    <col min="13" max="13" width="9.42578125" customWidth="1"/>
    <col min="14" max="20" width="5.85546875" customWidth="1"/>
    <col min="21" max="22" width="6.85546875" customWidth="1"/>
    <col min="23" max="23" width="6.140625" customWidth="1"/>
    <col min="24" max="24" width="6.85546875" customWidth="1"/>
    <col min="25" max="26" width="6.140625" customWidth="1"/>
    <col min="27" max="29" width="6.85546875" customWidth="1"/>
    <col min="30" max="30" width="6.140625" customWidth="1"/>
    <col min="31" max="33" width="6.85546875" customWidth="1"/>
    <col min="34" max="35" width="6.140625" customWidth="1"/>
    <col min="36" max="37" width="6.85546875" bestFit="1" customWidth="1"/>
    <col min="38" max="39" width="6.140625" bestFit="1" customWidth="1"/>
    <col min="40" max="41" width="6.85546875" bestFit="1" customWidth="1"/>
    <col min="42" max="43" width="6.140625" bestFit="1" customWidth="1"/>
    <col min="44" max="45" width="6.85546875" bestFit="1" customWidth="1"/>
    <col min="46" max="46" width="6.140625" bestFit="1" customWidth="1"/>
    <col min="47" max="47" width="6.140625" customWidth="1"/>
  </cols>
  <sheetData>
    <row r="1" spans="1:47" ht="16.5" thickBot="1" x14ac:dyDescent="0.3">
      <c r="A1" s="16" t="s">
        <v>17</v>
      </c>
      <c r="B1" s="316" t="s">
        <v>127</v>
      </c>
      <c r="C1" s="317"/>
      <c r="D1" s="317"/>
      <c r="E1" s="317"/>
      <c r="F1" s="317"/>
      <c r="G1" s="317"/>
      <c r="H1" s="317"/>
      <c r="I1" s="317"/>
      <c r="J1" s="317"/>
      <c r="K1" s="317"/>
      <c r="L1" s="556"/>
      <c r="M1" s="316" t="s">
        <v>128</v>
      </c>
      <c r="N1" s="317"/>
      <c r="O1" s="317"/>
      <c r="P1" s="319"/>
      <c r="Q1" s="316"/>
      <c r="R1" s="317"/>
      <c r="S1" s="317"/>
      <c r="T1" s="319"/>
      <c r="U1" s="316"/>
      <c r="V1" s="317"/>
      <c r="W1" s="317"/>
      <c r="X1" s="319"/>
      <c r="Y1" s="316"/>
      <c r="Z1" s="317"/>
      <c r="AA1" s="317"/>
      <c r="AB1" s="319"/>
      <c r="AC1" s="316"/>
      <c r="AD1" s="316"/>
      <c r="AE1" s="316"/>
      <c r="AF1" s="319"/>
      <c r="AG1" s="316"/>
      <c r="AH1" s="316"/>
      <c r="AI1" s="316"/>
      <c r="AJ1" s="319"/>
      <c r="AK1" s="316"/>
      <c r="AL1" s="316"/>
      <c r="AM1" s="316"/>
      <c r="AN1" s="319"/>
      <c r="AO1" s="316"/>
      <c r="AP1" s="316"/>
      <c r="AQ1" s="316"/>
      <c r="AR1" s="319"/>
      <c r="AS1" s="316"/>
      <c r="AT1" s="316"/>
      <c r="AU1" s="316"/>
    </row>
    <row r="2" spans="1:47" ht="14.25" thickTop="1" thickBot="1" x14ac:dyDescent="0.25">
      <c r="A2" s="19" t="s">
        <v>32</v>
      </c>
      <c r="B2" s="557"/>
      <c r="C2" s="557"/>
      <c r="D2" s="557"/>
      <c r="E2" s="557"/>
      <c r="F2" s="557"/>
      <c r="G2" s="558"/>
      <c r="H2" s="558"/>
      <c r="I2" s="558"/>
      <c r="J2" s="558"/>
      <c r="K2" s="558"/>
      <c r="L2" s="559"/>
      <c r="M2" s="557"/>
      <c r="N2" s="557"/>
      <c r="O2" s="557"/>
      <c r="P2" s="560"/>
      <c r="Q2" s="557"/>
      <c r="R2" s="557"/>
      <c r="S2" s="557"/>
      <c r="T2" s="560"/>
      <c r="U2" s="557"/>
      <c r="V2" s="557"/>
      <c r="W2" s="557"/>
      <c r="X2" s="560"/>
      <c r="Y2" s="557"/>
      <c r="Z2" s="557"/>
      <c r="AA2" s="557"/>
      <c r="AB2" s="560"/>
      <c r="AC2" s="557"/>
      <c r="AD2" s="557"/>
      <c r="AE2" s="557"/>
      <c r="AF2" s="560"/>
      <c r="AG2" s="557"/>
      <c r="AH2" s="557"/>
      <c r="AI2" s="557"/>
      <c r="AJ2" s="560"/>
      <c r="AK2" s="557"/>
      <c r="AL2" s="557"/>
      <c r="AM2" s="557"/>
      <c r="AN2" s="560"/>
      <c r="AO2" s="557"/>
      <c r="AP2" s="557"/>
      <c r="AQ2" s="557"/>
      <c r="AR2" s="560"/>
      <c r="AS2" s="557"/>
      <c r="AT2" s="557"/>
      <c r="AU2" s="557"/>
    </row>
    <row r="3" spans="1:47" ht="13.5" thickTop="1" x14ac:dyDescent="0.2">
      <c r="A3" s="561" t="s">
        <v>404</v>
      </c>
      <c r="B3" s="562">
        <v>2015</v>
      </c>
      <c r="C3" s="562">
        <v>2016</v>
      </c>
      <c r="D3" s="397">
        <v>2017</v>
      </c>
      <c r="E3" s="397">
        <v>2018</v>
      </c>
      <c r="F3" s="397">
        <v>2019</v>
      </c>
      <c r="G3" s="397">
        <v>2020</v>
      </c>
      <c r="H3" s="397">
        <v>2021</v>
      </c>
      <c r="I3" s="397">
        <v>2022</v>
      </c>
      <c r="J3" s="397">
        <v>2023</v>
      </c>
      <c r="K3" s="397">
        <v>2024</v>
      </c>
      <c r="L3" s="559"/>
      <c r="M3" s="563" t="s">
        <v>267</v>
      </c>
      <c r="N3" s="563" t="s">
        <v>268</v>
      </c>
      <c r="O3" s="563" t="s">
        <v>269</v>
      </c>
      <c r="P3" s="564" t="s">
        <v>270</v>
      </c>
      <c r="Q3" s="563" t="s">
        <v>131</v>
      </c>
      <c r="R3" s="563" t="s">
        <v>132</v>
      </c>
      <c r="S3" s="563" t="s">
        <v>133</v>
      </c>
      <c r="T3" s="564" t="s">
        <v>134</v>
      </c>
      <c r="U3" s="563" t="s">
        <v>135</v>
      </c>
      <c r="V3" s="563" t="s">
        <v>136</v>
      </c>
      <c r="W3" s="563" t="s">
        <v>137</v>
      </c>
      <c r="X3" s="564" t="s">
        <v>138</v>
      </c>
      <c r="Y3" s="563" t="s">
        <v>139</v>
      </c>
      <c r="Z3" s="563" t="s">
        <v>140</v>
      </c>
      <c r="AA3" s="563" t="s">
        <v>141</v>
      </c>
      <c r="AB3" s="564" t="s">
        <v>142</v>
      </c>
      <c r="AC3" s="563" t="s">
        <v>143</v>
      </c>
      <c r="AD3" s="563" t="s">
        <v>144</v>
      </c>
      <c r="AE3" s="563" t="s">
        <v>145</v>
      </c>
      <c r="AF3" s="564" t="s">
        <v>146</v>
      </c>
      <c r="AG3" s="563" t="s">
        <v>147</v>
      </c>
      <c r="AH3" s="563" t="s">
        <v>148</v>
      </c>
      <c r="AI3" s="563" t="s">
        <v>149</v>
      </c>
      <c r="AJ3" s="564" t="s">
        <v>150</v>
      </c>
      <c r="AK3" s="563" t="s">
        <v>151</v>
      </c>
      <c r="AL3" s="563" t="s">
        <v>152</v>
      </c>
      <c r="AM3" s="563" t="s">
        <v>153</v>
      </c>
      <c r="AN3" s="564" t="s">
        <v>154</v>
      </c>
      <c r="AO3" s="563" t="s">
        <v>155</v>
      </c>
      <c r="AP3" s="563" t="s">
        <v>156</v>
      </c>
      <c r="AQ3" s="563" t="s">
        <v>157</v>
      </c>
      <c r="AR3" s="564" t="s">
        <v>158</v>
      </c>
      <c r="AS3" s="563" t="s">
        <v>159</v>
      </c>
      <c r="AT3" s="563" t="s">
        <v>160</v>
      </c>
      <c r="AU3" s="563" t="s">
        <v>161</v>
      </c>
    </row>
    <row r="4" spans="1:47" ht="12.75" x14ac:dyDescent="0.2">
      <c r="A4" s="565" t="s">
        <v>571</v>
      </c>
      <c r="B4" s="566"/>
      <c r="C4" s="566"/>
      <c r="D4" s="567"/>
      <c r="E4" s="567"/>
      <c r="F4" s="348"/>
      <c r="G4" s="348"/>
      <c r="H4" s="348"/>
      <c r="I4" s="348"/>
      <c r="J4" s="348"/>
      <c r="K4" s="348"/>
      <c r="L4" s="556"/>
      <c r="M4" s="348"/>
      <c r="N4" s="348"/>
      <c r="O4" s="348"/>
      <c r="P4" s="353"/>
      <c r="Q4" s="348"/>
      <c r="R4" s="348"/>
      <c r="S4" s="348"/>
      <c r="T4" s="353"/>
      <c r="U4" s="348"/>
      <c r="V4" s="348"/>
      <c r="W4" s="348"/>
      <c r="X4" s="353"/>
      <c r="Y4" s="348"/>
      <c r="Z4" s="348"/>
      <c r="AA4" s="348"/>
      <c r="AB4" s="568"/>
      <c r="AC4" s="348"/>
      <c r="AD4" s="348"/>
      <c r="AE4" s="348"/>
      <c r="AF4" s="568"/>
      <c r="AG4" s="348"/>
      <c r="AH4" s="348"/>
      <c r="AI4" s="348"/>
      <c r="AJ4" s="568"/>
      <c r="AK4" s="348"/>
      <c r="AL4" s="348"/>
      <c r="AM4" s="348"/>
      <c r="AN4" s="568"/>
      <c r="AO4" s="348"/>
      <c r="AP4" s="348"/>
      <c r="AQ4" s="348"/>
      <c r="AR4" s="568"/>
      <c r="AS4" s="348"/>
      <c r="AT4" s="348"/>
      <c r="AU4" s="348"/>
    </row>
    <row r="5" spans="1:47" ht="12.75" x14ac:dyDescent="0.2">
      <c r="A5" s="569" t="s">
        <v>572</v>
      </c>
      <c r="B5" s="356">
        <v>27551</v>
      </c>
      <c r="C5" s="356">
        <v>27634</v>
      </c>
      <c r="D5" s="356">
        <v>33831</v>
      </c>
      <c r="E5" s="356">
        <v>39400.1129006642</v>
      </c>
      <c r="F5" s="356">
        <v>39492</v>
      </c>
      <c r="G5" s="356">
        <v>36579</v>
      </c>
      <c r="H5" s="356">
        <v>45648</v>
      </c>
      <c r="I5" s="356">
        <v>53222</v>
      </c>
      <c r="J5" s="356">
        <v>59332</v>
      </c>
      <c r="K5" s="356">
        <v>62213</v>
      </c>
      <c r="L5" s="556"/>
      <c r="M5" s="348"/>
      <c r="N5" s="348"/>
      <c r="O5" s="348"/>
      <c r="P5" s="353"/>
      <c r="Q5" s="356">
        <v>10036</v>
      </c>
      <c r="R5" s="356">
        <v>10483</v>
      </c>
      <c r="S5" s="356">
        <v>9413</v>
      </c>
      <c r="T5" s="357">
        <v>9468</v>
      </c>
      <c r="U5" s="356">
        <v>10063</v>
      </c>
      <c r="V5" s="356">
        <v>10553</v>
      </c>
      <c r="W5" s="356">
        <v>9600</v>
      </c>
      <c r="X5" s="357">
        <v>9276</v>
      </c>
      <c r="Y5" s="356">
        <v>9772</v>
      </c>
      <c r="Z5" s="356">
        <v>8105</v>
      </c>
      <c r="AA5" s="356">
        <v>9373</v>
      </c>
      <c r="AB5" s="357">
        <v>9330</v>
      </c>
      <c r="AC5" s="356">
        <v>10690</v>
      </c>
      <c r="AD5" s="356">
        <v>11070</v>
      </c>
      <c r="AE5" s="356">
        <v>12245</v>
      </c>
      <c r="AF5" s="357">
        <v>11643</v>
      </c>
      <c r="AG5" s="356">
        <v>13818</v>
      </c>
      <c r="AH5" s="356">
        <v>13377</v>
      </c>
      <c r="AI5" s="356">
        <v>12322</v>
      </c>
      <c r="AJ5" s="357">
        <v>13705</v>
      </c>
      <c r="AK5" s="356">
        <v>14715</v>
      </c>
      <c r="AL5" s="356">
        <v>15436</v>
      </c>
      <c r="AM5" s="356">
        <v>14360</v>
      </c>
      <c r="AN5" s="357">
        <v>14388</v>
      </c>
      <c r="AO5" s="356">
        <v>14162</v>
      </c>
      <c r="AP5" s="356">
        <v>16349</v>
      </c>
      <c r="AQ5" s="356">
        <v>15520</v>
      </c>
      <c r="AR5" s="357">
        <v>16182</v>
      </c>
      <c r="AS5" s="356">
        <v>16586</v>
      </c>
      <c r="AT5" s="356">
        <v>15276</v>
      </c>
      <c r="AU5" s="356">
        <v>15142</v>
      </c>
    </row>
    <row r="6" spans="1:47" ht="12.75" x14ac:dyDescent="0.2">
      <c r="A6" s="569" t="s">
        <v>573</v>
      </c>
      <c r="B6" s="570">
        <v>0</v>
      </c>
      <c r="C6" s="570">
        <v>0</v>
      </c>
      <c r="D6" s="570">
        <v>22</v>
      </c>
      <c r="E6" s="570">
        <v>16</v>
      </c>
      <c r="F6" s="570">
        <v>0</v>
      </c>
      <c r="G6" s="570">
        <v>-7</v>
      </c>
      <c r="H6" s="570">
        <v>25</v>
      </c>
      <c r="I6" s="570">
        <v>17</v>
      </c>
      <c r="J6" s="570">
        <v>11</v>
      </c>
      <c r="K6" s="570">
        <v>6</v>
      </c>
      <c r="L6" s="556"/>
      <c r="M6" s="348"/>
      <c r="N6" s="348"/>
      <c r="O6" s="348"/>
      <c r="P6" s="353"/>
      <c r="Q6" s="570">
        <v>18</v>
      </c>
      <c r="R6" s="570">
        <v>21</v>
      </c>
      <c r="S6" s="570">
        <v>10</v>
      </c>
      <c r="T6" s="571">
        <v>17.498000000000001</v>
      </c>
      <c r="U6" s="570">
        <v>0</v>
      </c>
      <c r="V6" s="570">
        <v>1</v>
      </c>
      <c r="W6" s="570">
        <v>2</v>
      </c>
      <c r="X6" s="571">
        <v>-2</v>
      </c>
      <c r="Y6" s="570">
        <v>-3</v>
      </c>
      <c r="Z6" s="570">
        <v>-23</v>
      </c>
      <c r="AA6" s="570">
        <v>-2</v>
      </c>
      <c r="AB6" s="571">
        <v>1</v>
      </c>
      <c r="AC6" s="570">
        <v>9.3963882578770743</v>
      </c>
      <c r="AD6" s="570">
        <v>37</v>
      </c>
      <c r="AE6" s="570">
        <v>31</v>
      </c>
      <c r="AF6" s="571">
        <v>25</v>
      </c>
      <c r="AG6" s="570">
        <v>29</v>
      </c>
      <c r="AH6" s="570">
        <v>21</v>
      </c>
      <c r="AI6" s="570">
        <v>0.63081660927701844</v>
      </c>
      <c r="AJ6" s="571">
        <v>18</v>
      </c>
      <c r="AK6" s="570">
        <f>(AK5/AG5-1)*100</f>
        <v>6.4915327833261038</v>
      </c>
      <c r="AL6" s="570">
        <f>(AL5/AH5-1)*100</f>
        <v>15.392090902294985</v>
      </c>
      <c r="AM6" s="570">
        <v>17</v>
      </c>
      <c r="AN6" s="571">
        <v>4.9897708159625243</v>
      </c>
      <c r="AO6" s="570">
        <v>-7</v>
      </c>
      <c r="AP6" s="570">
        <v>6</v>
      </c>
      <c r="AQ6" s="570">
        <v>8</v>
      </c>
      <c r="AR6" s="571">
        <v>12.465572133699098</v>
      </c>
      <c r="AS6" s="570">
        <v>17.117023089295525</v>
      </c>
      <c r="AT6" s="570">
        <v>-6.5643811343973457</v>
      </c>
      <c r="AU6" s="570">
        <v>-2.4339093478342178</v>
      </c>
    </row>
    <row r="7" spans="1:47" ht="12.75" x14ac:dyDescent="0.2">
      <c r="A7" s="569" t="s">
        <v>574</v>
      </c>
      <c r="B7" s="570">
        <v>-6.6</v>
      </c>
      <c r="C7" s="570">
        <v>2.7</v>
      </c>
      <c r="D7" s="570">
        <v>20.100000000000001</v>
      </c>
      <c r="E7" s="570">
        <v>13</v>
      </c>
      <c r="F7" s="570">
        <v>-5</v>
      </c>
      <c r="G7" s="570">
        <v>0</v>
      </c>
      <c r="H7" s="570">
        <v>26</v>
      </c>
      <c r="I7" s="570">
        <v>2</v>
      </c>
      <c r="J7" s="570">
        <v>1</v>
      </c>
      <c r="K7" s="570">
        <v>3</v>
      </c>
      <c r="L7" s="556"/>
      <c r="M7" s="348"/>
      <c r="N7" s="348"/>
      <c r="O7" s="348"/>
      <c r="P7" s="353"/>
      <c r="Q7" s="570">
        <v>21</v>
      </c>
      <c r="R7" s="570">
        <v>18.082810848828263</v>
      </c>
      <c r="S7" s="570">
        <v>3</v>
      </c>
      <c r="T7" s="571">
        <v>11.497999999999999</v>
      </c>
      <c r="U7" s="570">
        <v>-5</v>
      </c>
      <c r="V7" s="570">
        <v>-4</v>
      </c>
      <c r="W7" s="570">
        <v>-6</v>
      </c>
      <c r="X7" s="571">
        <v>-7</v>
      </c>
      <c r="Y7" s="570">
        <v>-4</v>
      </c>
      <c r="Z7" s="570">
        <v>-17</v>
      </c>
      <c r="AA7" s="570">
        <v>10</v>
      </c>
      <c r="AB7" s="571">
        <v>13</v>
      </c>
      <c r="AC7" s="570">
        <v>21</v>
      </c>
      <c r="AD7" s="570">
        <v>45</v>
      </c>
      <c r="AE7" s="570">
        <v>24</v>
      </c>
      <c r="AF7" s="571">
        <v>19</v>
      </c>
      <c r="AG7" s="570">
        <v>18</v>
      </c>
      <c r="AH7" s="570">
        <v>6</v>
      </c>
      <c r="AI7" s="570">
        <v>-10</v>
      </c>
      <c r="AJ7" s="571">
        <v>-4</v>
      </c>
      <c r="AK7" s="570">
        <v>-6</v>
      </c>
      <c r="AL7" s="570">
        <v>-1</v>
      </c>
      <c r="AM7" s="570">
        <v>9</v>
      </c>
      <c r="AN7" s="571">
        <v>7</v>
      </c>
      <c r="AO7" s="570">
        <v>-3</v>
      </c>
      <c r="AP7" s="570">
        <v>1</v>
      </c>
      <c r="AQ7" s="570">
        <v>6</v>
      </c>
      <c r="AR7" s="571">
        <v>5</v>
      </c>
      <c r="AS7" s="570">
        <v>10</v>
      </c>
      <c r="AT7" s="570">
        <v>2</v>
      </c>
      <c r="AU7" s="570">
        <v>7</v>
      </c>
    </row>
    <row r="8" spans="1:47" ht="12.75" x14ac:dyDescent="0.2">
      <c r="A8" s="569" t="s">
        <v>177</v>
      </c>
      <c r="B8" s="356">
        <v>28663</v>
      </c>
      <c r="C8" s="356">
        <v>27102</v>
      </c>
      <c r="D8" s="356">
        <v>31363.994574501499</v>
      </c>
      <c r="E8" s="356">
        <v>38285.266855336195</v>
      </c>
      <c r="F8" s="356">
        <v>40849</v>
      </c>
      <c r="G8" s="356">
        <v>36122</v>
      </c>
      <c r="H8" s="356">
        <v>39645</v>
      </c>
      <c r="I8" s="356">
        <v>49694</v>
      </c>
      <c r="J8" s="356">
        <v>60343</v>
      </c>
      <c r="K8" s="356">
        <v>63604</v>
      </c>
      <c r="L8" s="556"/>
      <c r="M8" s="572">
        <v>7411</v>
      </c>
      <c r="N8" s="572">
        <v>7879</v>
      </c>
      <c r="O8" s="572">
        <v>7610</v>
      </c>
      <c r="P8" s="573">
        <v>8464</v>
      </c>
      <c r="Q8" s="356">
        <v>8233</v>
      </c>
      <c r="R8" s="356">
        <v>9843</v>
      </c>
      <c r="S8" s="356">
        <v>9651</v>
      </c>
      <c r="T8" s="357">
        <v>10558</v>
      </c>
      <c r="U8" s="356">
        <v>9785</v>
      </c>
      <c r="V8" s="356">
        <v>10626</v>
      </c>
      <c r="W8" s="356">
        <v>10158</v>
      </c>
      <c r="X8" s="357">
        <v>10280</v>
      </c>
      <c r="Y8" s="356">
        <v>9134</v>
      </c>
      <c r="Z8" s="356">
        <v>8458</v>
      </c>
      <c r="AA8" s="356">
        <v>8724</v>
      </c>
      <c r="AB8" s="357">
        <v>9806</v>
      </c>
      <c r="AC8" s="356">
        <v>8773</v>
      </c>
      <c r="AD8" s="356">
        <v>9733</v>
      </c>
      <c r="AE8" s="356">
        <v>9966</v>
      </c>
      <c r="AF8" s="357">
        <v>11173</v>
      </c>
      <c r="AG8" s="356">
        <v>11088</v>
      </c>
      <c r="AH8" s="356">
        <v>11868</v>
      </c>
      <c r="AI8" s="356">
        <v>12802</v>
      </c>
      <c r="AJ8" s="357">
        <v>13936</v>
      </c>
      <c r="AK8" s="356">
        <v>13868</v>
      </c>
      <c r="AL8" s="356">
        <v>15910</v>
      </c>
      <c r="AM8" s="356">
        <v>14997</v>
      </c>
      <c r="AN8" s="357">
        <v>15568</v>
      </c>
      <c r="AO8" s="356">
        <v>14143</v>
      </c>
      <c r="AP8" s="356">
        <v>16511</v>
      </c>
      <c r="AQ8" s="356">
        <v>15699</v>
      </c>
      <c r="AR8" s="357">
        <v>17251</v>
      </c>
      <c r="AS8" s="356">
        <v>15536</v>
      </c>
      <c r="AT8" s="356">
        <v>15130</v>
      </c>
      <c r="AU8" s="356">
        <v>15242</v>
      </c>
    </row>
    <row r="9" spans="1:47" ht="12.75" x14ac:dyDescent="0.2">
      <c r="A9" s="569" t="s">
        <v>575</v>
      </c>
      <c r="B9" s="570">
        <v>4</v>
      </c>
      <c r="C9" s="570">
        <v>-5</v>
      </c>
      <c r="D9" s="570">
        <v>16</v>
      </c>
      <c r="E9" s="570">
        <v>22</v>
      </c>
      <c r="F9" s="570">
        <v>7</v>
      </c>
      <c r="G9" s="570">
        <v>-12</v>
      </c>
      <c r="H9" s="570">
        <v>10</v>
      </c>
      <c r="I9" s="570">
        <v>25</v>
      </c>
      <c r="J9" s="570">
        <v>21</v>
      </c>
      <c r="K9" s="570">
        <v>5</v>
      </c>
      <c r="L9" s="556"/>
      <c r="M9" s="348"/>
      <c r="N9" s="348"/>
      <c r="O9" s="348"/>
      <c r="P9" s="353"/>
      <c r="Q9" s="570">
        <v>11</v>
      </c>
      <c r="R9" s="570">
        <v>25</v>
      </c>
      <c r="S9" s="570">
        <v>27</v>
      </c>
      <c r="T9" s="571">
        <v>25</v>
      </c>
      <c r="U9" s="570">
        <v>19</v>
      </c>
      <c r="V9" s="570">
        <v>8</v>
      </c>
      <c r="W9" s="570">
        <v>5</v>
      </c>
      <c r="X9" s="571">
        <v>-3</v>
      </c>
      <c r="Y9" s="570">
        <v>-7</v>
      </c>
      <c r="Z9" s="570">
        <v>-20</v>
      </c>
      <c r="AA9" s="570">
        <v>-14</v>
      </c>
      <c r="AB9" s="571">
        <v>-5</v>
      </c>
      <c r="AC9" s="570">
        <v>-3.9467054561162951</v>
      </c>
      <c r="AD9" s="570">
        <v>15</v>
      </c>
      <c r="AE9" s="570">
        <v>14</v>
      </c>
      <c r="AF9" s="571">
        <v>14</v>
      </c>
      <c r="AG9" s="570">
        <v>26</v>
      </c>
      <c r="AH9" s="570">
        <v>22</v>
      </c>
      <c r="AI9" s="570">
        <v>28.441717031319634</v>
      </c>
      <c r="AJ9" s="571">
        <v>24.73685913560373</v>
      </c>
      <c r="AK9" s="570">
        <v>25</v>
      </c>
      <c r="AL9" s="570">
        <v>34</v>
      </c>
      <c r="AM9" s="570">
        <v>17</v>
      </c>
      <c r="AN9" s="571">
        <v>11.711498950774324</v>
      </c>
      <c r="AO9" s="570">
        <v>2</v>
      </c>
      <c r="AP9" s="570">
        <v>4</v>
      </c>
      <c r="AQ9" s="570">
        <v>4.686060133717973</v>
      </c>
      <c r="AR9" s="571">
        <v>10.80075738116404</v>
      </c>
      <c r="AS9" s="570">
        <v>9.8514790026356316</v>
      </c>
      <c r="AT9" s="570">
        <v>-8.363501405872654</v>
      </c>
      <c r="AU9" s="570">
        <v>-2.9117537238495306</v>
      </c>
    </row>
    <row r="10" spans="1:47" ht="12.75" x14ac:dyDescent="0.2">
      <c r="A10" s="569" t="s">
        <v>576</v>
      </c>
      <c r="B10" s="570">
        <v>-3.2</v>
      </c>
      <c r="C10" s="570">
        <v>-3.4</v>
      </c>
      <c r="D10" s="570">
        <v>14.22</v>
      </c>
      <c r="E10" s="570">
        <v>18</v>
      </c>
      <c r="F10" s="570">
        <v>1</v>
      </c>
      <c r="G10" s="570">
        <v>-5</v>
      </c>
      <c r="H10" s="570">
        <v>12</v>
      </c>
      <c r="I10" s="570">
        <v>11</v>
      </c>
      <c r="J10" s="570">
        <v>9</v>
      </c>
      <c r="K10" s="570">
        <v>2</v>
      </c>
      <c r="L10" s="556"/>
      <c r="M10" s="348"/>
      <c r="N10" s="348"/>
      <c r="O10" s="348"/>
      <c r="P10" s="353"/>
      <c r="Q10" s="570">
        <v>13.7346913034308</v>
      </c>
      <c r="R10" s="570">
        <v>21.759477415893503</v>
      </c>
      <c r="S10" s="570">
        <v>19</v>
      </c>
      <c r="T10" s="571">
        <v>19</v>
      </c>
      <c r="U10" s="570">
        <v>14</v>
      </c>
      <c r="V10" s="570">
        <v>3</v>
      </c>
      <c r="W10" s="570">
        <v>-3</v>
      </c>
      <c r="X10" s="571">
        <v>-7</v>
      </c>
      <c r="Y10" s="570">
        <v>-8</v>
      </c>
      <c r="Z10" s="570">
        <v>-15</v>
      </c>
      <c r="AA10" s="570">
        <v>-3</v>
      </c>
      <c r="AB10" s="571">
        <v>6</v>
      </c>
      <c r="AC10" s="570">
        <v>6</v>
      </c>
      <c r="AD10" s="570">
        <v>22</v>
      </c>
      <c r="AE10" s="570">
        <v>11</v>
      </c>
      <c r="AF10" s="571">
        <v>9</v>
      </c>
      <c r="AG10" s="570">
        <v>14</v>
      </c>
      <c r="AH10" s="570">
        <v>9</v>
      </c>
      <c r="AI10" s="570">
        <v>12</v>
      </c>
      <c r="AJ10" s="571">
        <v>8</v>
      </c>
      <c r="AK10" s="570">
        <v>8</v>
      </c>
      <c r="AL10" s="570">
        <v>17</v>
      </c>
      <c r="AM10" s="570">
        <v>7</v>
      </c>
      <c r="AN10" s="571">
        <v>8</v>
      </c>
      <c r="AO10" s="570">
        <v>3</v>
      </c>
      <c r="AP10" s="570">
        <v>-1</v>
      </c>
      <c r="AQ10" s="570">
        <v>3</v>
      </c>
      <c r="AR10" s="571">
        <v>4</v>
      </c>
      <c r="AS10" s="570">
        <v>3</v>
      </c>
      <c r="AT10" s="570">
        <v>1</v>
      </c>
      <c r="AU10" s="570">
        <v>5</v>
      </c>
    </row>
    <row r="11" spans="1:47" ht="12.75" x14ac:dyDescent="0.2">
      <c r="A11" s="569" t="s">
        <v>577</v>
      </c>
      <c r="B11" s="574">
        <v>96</v>
      </c>
      <c r="C11" s="575">
        <v>102</v>
      </c>
      <c r="D11" s="575">
        <v>108</v>
      </c>
      <c r="E11" s="575">
        <v>102.91236776805536</v>
      </c>
      <c r="F11" s="575">
        <v>96.678009253592506</v>
      </c>
      <c r="G11" s="575">
        <v>99</v>
      </c>
      <c r="H11" s="575">
        <v>115</v>
      </c>
      <c r="I11" s="575">
        <v>107</v>
      </c>
      <c r="J11" s="575">
        <v>98</v>
      </c>
      <c r="K11" s="575">
        <v>98</v>
      </c>
      <c r="L11" s="556"/>
      <c r="M11" s="348"/>
      <c r="N11" s="348"/>
      <c r="O11" s="348"/>
      <c r="P11" s="353"/>
      <c r="Q11" s="575">
        <v>121.89967205150005</v>
      </c>
      <c r="R11" s="575">
        <v>106.50208269836432</v>
      </c>
      <c r="S11" s="575">
        <v>97.533934307325666</v>
      </c>
      <c r="T11" s="576">
        <v>89.676075014207228</v>
      </c>
      <c r="U11" s="575">
        <v>102.84108329075114</v>
      </c>
      <c r="V11" s="575">
        <v>99.313005834744956</v>
      </c>
      <c r="W11" s="575">
        <v>94.506792675723574</v>
      </c>
      <c r="X11" s="576">
        <v>90.233463035019454</v>
      </c>
      <c r="Y11" s="575">
        <v>107</v>
      </c>
      <c r="Z11" s="575">
        <v>95.826436509813192</v>
      </c>
      <c r="AA11" s="575">
        <v>107.43924805135259</v>
      </c>
      <c r="AB11" s="576">
        <v>95.135631246175805</v>
      </c>
      <c r="AC11" s="575">
        <v>121.85113416163229</v>
      </c>
      <c r="AD11" s="575">
        <v>114</v>
      </c>
      <c r="AE11" s="575">
        <v>123</v>
      </c>
      <c r="AF11" s="576">
        <v>104.2</v>
      </c>
      <c r="AG11" s="575">
        <v>124.6</v>
      </c>
      <c r="AH11" s="575">
        <v>112.71486349848333</v>
      </c>
      <c r="AI11" s="575">
        <v>96.250585845961567</v>
      </c>
      <c r="AJ11" s="576">
        <v>98</v>
      </c>
      <c r="AK11" s="575">
        <v>109.22988174214019</v>
      </c>
      <c r="AL11" s="575">
        <v>97</v>
      </c>
      <c r="AM11" s="575">
        <v>95.752483830099351</v>
      </c>
      <c r="AN11" s="576">
        <v>92.420349434737929</v>
      </c>
      <c r="AO11" s="575">
        <v>100.13434207735274</v>
      </c>
      <c r="AP11" s="575">
        <v>99.018835927563444</v>
      </c>
      <c r="AQ11" s="575">
        <v>98.859799987260331</v>
      </c>
      <c r="AR11" s="576">
        <v>93.803257782157559</v>
      </c>
      <c r="AS11" s="575">
        <v>106.7584963954686</v>
      </c>
      <c r="AT11" s="575">
        <v>100.96497025776603</v>
      </c>
      <c r="AU11" s="575">
        <v>99.343918120981499</v>
      </c>
    </row>
    <row r="12" spans="1:47" ht="12.75" x14ac:dyDescent="0.2">
      <c r="A12" s="569"/>
      <c r="B12" s="577"/>
      <c r="C12" s="577"/>
      <c r="D12" s="578"/>
      <c r="E12" s="578"/>
      <c r="F12" s="348"/>
      <c r="G12" s="348"/>
      <c r="H12" s="348"/>
      <c r="I12" s="348"/>
      <c r="J12" s="348"/>
      <c r="K12" s="348"/>
      <c r="L12" s="556"/>
      <c r="M12" s="348"/>
      <c r="N12" s="348"/>
      <c r="O12" s="348"/>
      <c r="P12" s="353"/>
      <c r="Q12" s="348"/>
      <c r="R12" s="348"/>
      <c r="S12" s="348"/>
      <c r="T12" s="353"/>
      <c r="U12" s="348"/>
      <c r="V12" s="348"/>
      <c r="W12" s="348"/>
      <c r="X12" s="353"/>
      <c r="Y12" s="348"/>
      <c r="Z12" s="348"/>
      <c r="AA12" s="348"/>
      <c r="AB12" s="353"/>
      <c r="AC12" s="348"/>
      <c r="AD12" s="348"/>
      <c r="AE12" s="348"/>
      <c r="AF12" s="353"/>
      <c r="AG12" s="348"/>
      <c r="AH12" s="348"/>
      <c r="AI12" s="348"/>
      <c r="AJ12" s="353"/>
      <c r="AK12" s="348"/>
      <c r="AL12" s="348"/>
      <c r="AM12" s="348"/>
      <c r="AN12" s="353"/>
      <c r="AO12" s="348"/>
      <c r="AP12" s="348"/>
      <c r="AQ12" s="348"/>
      <c r="AR12" s="353"/>
      <c r="AS12" s="348"/>
      <c r="AT12" s="348"/>
      <c r="AU12" s="348"/>
    </row>
    <row r="13" spans="1:47" ht="12.75" x14ac:dyDescent="0.2">
      <c r="A13" s="565" t="s">
        <v>578</v>
      </c>
      <c r="B13" s="577"/>
      <c r="C13" s="577"/>
      <c r="D13" s="578"/>
      <c r="E13" s="578"/>
      <c r="F13" s="348"/>
      <c r="G13" s="348"/>
      <c r="H13" s="348"/>
      <c r="I13" s="348"/>
      <c r="J13" s="348"/>
      <c r="K13" s="348"/>
      <c r="L13" s="556"/>
      <c r="M13" s="348"/>
      <c r="N13" s="348"/>
      <c r="O13" s="348"/>
      <c r="P13" s="353"/>
      <c r="Q13" s="348"/>
      <c r="R13" s="348"/>
      <c r="S13" s="348"/>
      <c r="T13" s="353"/>
      <c r="U13" s="348"/>
      <c r="V13" s="348"/>
      <c r="W13" s="348"/>
      <c r="X13" s="353"/>
      <c r="Y13" s="348"/>
      <c r="Z13" s="348"/>
      <c r="AA13" s="348"/>
      <c r="AB13" s="353"/>
      <c r="AC13" s="348"/>
      <c r="AD13" s="348"/>
      <c r="AE13" s="348"/>
      <c r="AF13" s="353"/>
      <c r="AG13" s="348"/>
      <c r="AH13" s="348"/>
      <c r="AI13" s="348"/>
      <c r="AJ13" s="353"/>
      <c r="AK13" s="348"/>
      <c r="AL13" s="348"/>
      <c r="AM13" s="348"/>
      <c r="AN13" s="353"/>
      <c r="AO13" s="348"/>
      <c r="AP13" s="348"/>
      <c r="AQ13" s="348"/>
      <c r="AR13" s="353"/>
      <c r="AS13" s="348"/>
      <c r="AT13" s="348"/>
      <c r="AU13" s="348"/>
    </row>
    <row r="14" spans="1:47" ht="12.75" x14ac:dyDescent="0.2">
      <c r="A14" s="569" t="s">
        <v>271</v>
      </c>
      <c r="B14" s="572">
        <v>-18463</v>
      </c>
      <c r="C14" s="572">
        <v>-18003</v>
      </c>
      <c r="D14" s="572">
        <v>-20101</v>
      </c>
      <c r="E14" s="572">
        <v>-24317</v>
      </c>
      <c r="F14" s="572">
        <v>-25547</v>
      </c>
      <c r="G14" s="572">
        <v>-22418</v>
      </c>
      <c r="H14" s="572">
        <v>-24192</v>
      </c>
      <c r="I14" s="572">
        <v>-30675</v>
      </c>
      <c r="J14" s="572">
        <v>-37197</v>
      </c>
      <c r="K14" s="572">
        <v>-40658</v>
      </c>
      <c r="L14" s="556"/>
      <c r="M14" s="356">
        <v>-4674</v>
      </c>
      <c r="N14" s="356">
        <v>-4990</v>
      </c>
      <c r="O14" s="356">
        <v>-4874</v>
      </c>
      <c r="P14" s="357">
        <v>-5563</v>
      </c>
      <c r="Q14" s="572">
        <v>-5226</v>
      </c>
      <c r="R14" s="572">
        <v>-6275</v>
      </c>
      <c r="S14" s="572">
        <v>-6095</v>
      </c>
      <c r="T14" s="573">
        <v>-6721</v>
      </c>
      <c r="U14" s="572">
        <v>-6189</v>
      </c>
      <c r="V14" s="572">
        <v>-6550</v>
      </c>
      <c r="W14" s="572">
        <v>-6431</v>
      </c>
      <c r="X14" s="573">
        <v>-6377</v>
      </c>
      <c r="Y14" s="572">
        <v>-5571</v>
      </c>
      <c r="Z14" s="572">
        <v>-5309</v>
      </c>
      <c r="AA14" s="572">
        <v>-5469</v>
      </c>
      <c r="AB14" s="573">
        <v>-6069</v>
      </c>
      <c r="AC14" s="572">
        <v>-5433</v>
      </c>
      <c r="AD14" s="572">
        <v>-5898</v>
      </c>
      <c r="AE14" s="572">
        <v>-5999</v>
      </c>
      <c r="AF14" s="573">
        <v>-6862</v>
      </c>
      <c r="AG14" s="572">
        <v>-6831</v>
      </c>
      <c r="AH14" s="572">
        <v>-7813</v>
      </c>
      <c r="AI14" s="572">
        <v>-7889</v>
      </c>
      <c r="AJ14" s="573">
        <v>-8142</v>
      </c>
      <c r="AK14" s="572">
        <v>-8272</v>
      </c>
      <c r="AL14" s="572">
        <v>-9887</v>
      </c>
      <c r="AM14" s="572">
        <v>-9218</v>
      </c>
      <c r="AN14" s="573">
        <v>-9820</v>
      </c>
      <c r="AO14" s="572">
        <v>-8961</v>
      </c>
      <c r="AP14" s="572">
        <v>-10562</v>
      </c>
      <c r="AQ14" s="572">
        <v>-9874</v>
      </c>
      <c r="AR14" s="573">
        <v>-11261</v>
      </c>
      <c r="AS14" s="572">
        <v>-9396</v>
      </c>
      <c r="AT14" s="572">
        <v>-9459</v>
      </c>
      <c r="AU14" s="572">
        <v>-9908</v>
      </c>
    </row>
    <row r="15" spans="1:47" ht="12.75" x14ac:dyDescent="0.2">
      <c r="A15" s="569" t="s">
        <v>274</v>
      </c>
      <c r="B15" s="572">
        <v>-1848</v>
      </c>
      <c r="C15" s="572">
        <v>-1879</v>
      </c>
      <c r="D15" s="572">
        <v>-2121</v>
      </c>
      <c r="E15" s="572">
        <v>-2589</v>
      </c>
      <c r="F15" s="572">
        <v>-3261</v>
      </c>
      <c r="G15" s="572">
        <v>-2817</v>
      </c>
      <c r="H15" s="572">
        <v>-3166</v>
      </c>
      <c r="I15" s="572">
        <v>-3628</v>
      </c>
      <c r="J15" s="572">
        <v>-4105</v>
      </c>
      <c r="K15" s="572">
        <v>-4531</v>
      </c>
      <c r="L15" s="556"/>
      <c r="M15" s="348">
        <v>-533</v>
      </c>
      <c r="N15" s="348">
        <v>-550</v>
      </c>
      <c r="O15" s="348">
        <v>-469</v>
      </c>
      <c r="P15" s="353">
        <v>-569</v>
      </c>
      <c r="Q15" s="348">
        <v>-564</v>
      </c>
      <c r="R15" s="348">
        <v>-713</v>
      </c>
      <c r="S15" s="348">
        <v>-691</v>
      </c>
      <c r="T15" s="353">
        <v>-621</v>
      </c>
      <c r="U15" s="348">
        <v>-784</v>
      </c>
      <c r="V15" s="348">
        <v>-803</v>
      </c>
      <c r="W15" s="348">
        <v>-826</v>
      </c>
      <c r="X15" s="353">
        <v>-848</v>
      </c>
      <c r="Y15" s="348">
        <v>-667</v>
      </c>
      <c r="Z15" s="348">
        <v>-795</v>
      </c>
      <c r="AA15" s="348">
        <v>-668</v>
      </c>
      <c r="AB15" s="353">
        <v>-687</v>
      </c>
      <c r="AC15" s="348">
        <v>-819</v>
      </c>
      <c r="AD15" s="348">
        <v>-732</v>
      </c>
      <c r="AE15" s="348">
        <v>-692</v>
      </c>
      <c r="AF15" s="353">
        <v>-923</v>
      </c>
      <c r="AG15" s="348">
        <v>-721</v>
      </c>
      <c r="AH15" s="348">
        <v>-818</v>
      </c>
      <c r="AI15" s="348">
        <v>-903</v>
      </c>
      <c r="AJ15" s="357">
        <v>-1186</v>
      </c>
      <c r="AK15" s="348">
        <v>-969</v>
      </c>
      <c r="AL15" s="348">
        <v>-1071</v>
      </c>
      <c r="AM15" s="348">
        <v>-974</v>
      </c>
      <c r="AN15" s="357">
        <v>-1091</v>
      </c>
      <c r="AO15" s="572">
        <v>-1124</v>
      </c>
      <c r="AP15" s="356">
        <v>-1237</v>
      </c>
      <c r="AQ15" s="356">
        <v>-1069</v>
      </c>
      <c r="AR15" s="357">
        <v>-1101</v>
      </c>
      <c r="AS15" s="572">
        <v>-1200</v>
      </c>
      <c r="AT15" s="356">
        <v>-1093</v>
      </c>
      <c r="AU15" s="356">
        <v>-1062</v>
      </c>
    </row>
    <row r="16" spans="1:47" ht="12.75" x14ac:dyDescent="0.2">
      <c r="A16" s="569" t="s">
        <v>275</v>
      </c>
      <c r="B16" s="572">
        <v>-2346</v>
      </c>
      <c r="C16" s="572">
        <v>-2164</v>
      </c>
      <c r="D16" s="572">
        <v>-2280</v>
      </c>
      <c r="E16" s="572">
        <v>-2574</v>
      </c>
      <c r="F16" s="572">
        <v>-2797</v>
      </c>
      <c r="G16" s="572">
        <v>-2225</v>
      </c>
      <c r="H16" s="572">
        <v>-2313</v>
      </c>
      <c r="I16" s="572">
        <v>-3042</v>
      </c>
      <c r="J16" s="572">
        <v>-3959</v>
      </c>
      <c r="K16" s="572">
        <v>-4250</v>
      </c>
      <c r="L16" s="556"/>
      <c r="M16" s="348">
        <v>-561</v>
      </c>
      <c r="N16" s="348">
        <v>-596</v>
      </c>
      <c r="O16" s="348">
        <v>-526</v>
      </c>
      <c r="P16" s="353">
        <v>-597</v>
      </c>
      <c r="Q16" s="348">
        <v>-600</v>
      </c>
      <c r="R16" s="348">
        <v>-676</v>
      </c>
      <c r="S16" s="348">
        <v>-630</v>
      </c>
      <c r="T16" s="353">
        <v>-668</v>
      </c>
      <c r="U16" s="348">
        <v>-663</v>
      </c>
      <c r="V16" s="348">
        <v>-710</v>
      </c>
      <c r="W16" s="348">
        <v>-734</v>
      </c>
      <c r="X16" s="353">
        <v>-690</v>
      </c>
      <c r="Y16" s="348">
        <v>-664</v>
      </c>
      <c r="Z16" s="348">
        <v>-543</v>
      </c>
      <c r="AA16" s="348">
        <v>-501</v>
      </c>
      <c r="AB16" s="353">
        <v>-517</v>
      </c>
      <c r="AC16" s="348">
        <v>-528</v>
      </c>
      <c r="AD16" s="348">
        <v>-570</v>
      </c>
      <c r="AE16" s="348">
        <v>-582</v>
      </c>
      <c r="AF16" s="353">
        <v>-633</v>
      </c>
      <c r="AG16" s="348">
        <v>-641</v>
      </c>
      <c r="AH16" s="348">
        <v>-767</v>
      </c>
      <c r="AI16" s="348">
        <v>-782</v>
      </c>
      <c r="AJ16" s="353">
        <v>-852</v>
      </c>
      <c r="AK16" s="356">
        <v>-926</v>
      </c>
      <c r="AL16" s="356">
        <v>-1012</v>
      </c>
      <c r="AM16" s="356">
        <v>-1001</v>
      </c>
      <c r="AN16" s="357">
        <v>-1020</v>
      </c>
      <c r="AO16" s="356">
        <v>-953</v>
      </c>
      <c r="AP16" s="356">
        <v>-1131</v>
      </c>
      <c r="AQ16" s="356">
        <v>-1075</v>
      </c>
      <c r="AR16" s="357">
        <v>-1091</v>
      </c>
      <c r="AS16" s="356">
        <v>-1025</v>
      </c>
      <c r="AT16" s="356">
        <v>-1009</v>
      </c>
      <c r="AU16" s="356">
        <v>-1010</v>
      </c>
    </row>
    <row r="17" spans="1:47" ht="12.75" x14ac:dyDescent="0.2">
      <c r="A17" s="569" t="s">
        <v>579</v>
      </c>
      <c r="B17" s="572">
        <v>-861</v>
      </c>
      <c r="C17" s="572">
        <v>-662</v>
      </c>
      <c r="D17" s="572">
        <v>-795</v>
      </c>
      <c r="E17" s="572">
        <v>-977</v>
      </c>
      <c r="F17" s="572">
        <v>-1035</v>
      </c>
      <c r="G17" s="572">
        <v>-1032</v>
      </c>
      <c r="H17" s="572">
        <v>-1172</v>
      </c>
      <c r="I17" s="572">
        <v>-1438</v>
      </c>
      <c r="J17" s="572">
        <v>-1930</v>
      </c>
      <c r="K17" s="572">
        <v>-2282</v>
      </c>
      <c r="L17" s="556"/>
      <c r="M17" s="348">
        <v>-190</v>
      </c>
      <c r="N17" s="348">
        <v>-184</v>
      </c>
      <c r="O17" s="348">
        <v>-189</v>
      </c>
      <c r="P17" s="353">
        <v>-232</v>
      </c>
      <c r="Q17" s="348">
        <v>-222</v>
      </c>
      <c r="R17" s="348">
        <v>-257</v>
      </c>
      <c r="S17" s="348">
        <v>-217</v>
      </c>
      <c r="T17" s="353">
        <v>-281</v>
      </c>
      <c r="U17" s="348">
        <v>-275</v>
      </c>
      <c r="V17" s="348">
        <v>-271</v>
      </c>
      <c r="W17" s="348">
        <v>-227</v>
      </c>
      <c r="X17" s="353">
        <v>-262</v>
      </c>
      <c r="Y17" s="348">
        <v>-271</v>
      </c>
      <c r="Z17" s="348">
        <v>-287</v>
      </c>
      <c r="AA17" s="348">
        <v>-231</v>
      </c>
      <c r="AB17" s="353">
        <v>-243</v>
      </c>
      <c r="AC17" s="348">
        <v>-229</v>
      </c>
      <c r="AD17" s="348">
        <v>-283</v>
      </c>
      <c r="AE17" s="348">
        <v>-300</v>
      </c>
      <c r="AF17" s="353">
        <v>-360</v>
      </c>
      <c r="AG17" s="348">
        <v>-319</v>
      </c>
      <c r="AH17" s="348">
        <v>-363</v>
      </c>
      <c r="AI17" s="348">
        <v>-360</v>
      </c>
      <c r="AJ17" s="353">
        <v>-396</v>
      </c>
      <c r="AK17" s="356">
        <v>-452</v>
      </c>
      <c r="AL17" s="356">
        <v>-497</v>
      </c>
      <c r="AM17" s="356">
        <v>-517</v>
      </c>
      <c r="AN17" s="357">
        <v>-464</v>
      </c>
      <c r="AO17" s="356">
        <v>-461</v>
      </c>
      <c r="AP17" s="356">
        <v>-537</v>
      </c>
      <c r="AQ17" s="356">
        <v>-771</v>
      </c>
      <c r="AR17" s="357">
        <v>-513</v>
      </c>
      <c r="AS17" s="356">
        <v>-500</v>
      </c>
      <c r="AT17" s="356">
        <v>-505</v>
      </c>
      <c r="AU17" s="356">
        <v>-407</v>
      </c>
    </row>
    <row r="18" spans="1:47" ht="12.75" x14ac:dyDescent="0.2">
      <c r="A18" s="569" t="s">
        <v>580</v>
      </c>
      <c r="B18" s="579">
        <f t="shared" ref="B18:G18" si="0">-B17/B8*100</f>
        <v>3.0038725883543242</v>
      </c>
      <c r="C18" s="579">
        <f t="shared" si="0"/>
        <v>2.4426241605785552</v>
      </c>
      <c r="D18" s="579">
        <f t="shared" si="0"/>
        <v>2.5347536587266348</v>
      </c>
      <c r="E18" s="579">
        <f t="shared" si="0"/>
        <v>2.5518954946603065</v>
      </c>
      <c r="F18" s="579">
        <f t="shared" si="0"/>
        <v>2.5337217557345344</v>
      </c>
      <c r="G18" s="579">
        <f t="shared" si="0"/>
        <v>2.8569846630862079</v>
      </c>
      <c r="H18" s="579">
        <v>3</v>
      </c>
      <c r="I18" s="579">
        <v>2.8937095021531798</v>
      </c>
      <c r="J18" s="579">
        <v>3.2</v>
      </c>
      <c r="K18" s="580">
        <v>3.5870000000000002</v>
      </c>
      <c r="L18" s="556"/>
      <c r="M18" s="579">
        <f t="shared" ref="M18:AD18" si="1">-M17/M8*100</f>
        <v>2.5637565780596412</v>
      </c>
      <c r="N18" s="579">
        <f t="shared" si="1"/>
        <v>2.335321741337733</v>
      </c>
      <c r="O18" s="579">
        <f t="shared" si="1"/>
        <v>2.4835742444152431</v>
      </c>
      <c r="P18" s="581">
        <f t="shared" si="1"/>
        <v>2.7410207939508506</v>
      </c>
      <c r="Q18" s="579">
        <f t="shared" si="1"/>
        <v>2.6964654439450992</v>
      </c>
      <c r="R18" s="579">
        <f t="shared" si="1"/>
        <v>2.6109925835619223</v>
      </c>
      <c r="S18" s="579">
        <f t="shared" si="1"/>
        <v>2.2484716609677755</v>
      </c>
      <c r="T18" s="581">
        <f t="shared" si="1"/>
        <v>2.6614889183557491</v>
      </c>
      <c r="U18" s="579">
        <f t="shared" si="1"/>
        <v>2.810424118548799</v>
      </c>
      <c r="V18" s="579">
        <f t="shared" si="1"/>
        <v>2.5503482025221156</v>
      </c>
      <c r="W18" s="579">
        <f t="shared" si="1"/>
        <v>2.234691868478047</v>
      </c>
      <c r="X18" s="581">
        <f t="shared" si="1"/>
        <v>2.5486381322957197</v>
      </c>
      <c r="Y18" s="579">
        <f t="shared" si="1"/>
        <v>2.9669367199474492</v>
      </c>
      <c r="Z18" s="579">
        <f t="shared" si="1"/>
        <v>3.3932371719082526</v>
      </c>
      <c r="AA18" s="579">
        <f t="shared" si="1"/>
        <v>2.6478679504814306</v>
      </c>
      <c r="AB18" s="581">
        <f t="shared" si="1"/>
        <v>2.4780746481745868</v>
      </c>
      <c r="AC18" s="582">
        <f t="shared" si="1"/>
        <v>2.6102815456514308</v>
      </c>
      <c r="AD18" s="579">
        <f t="shared" si="1"/>
        <v>2.9076338230761327</v>
      </c>
      <c r="AE18" s="579">
        <v>3</v>
      </c>
      <c r="AF18" s="581">
        <v>3.2</v>
      </c>
      <c r="AG18" s="582">
        <v>2.9</v>
      </c>
      <c r="AH18" s="579">
        <v>3.0586450960566198</v>
      </c>
      <c r="AI18" s="579">
        <v>2.8120606155288201</v>
      </c>
      <c r="AJ18" s="581">
        <v>2.8415614236509801</v>
      </c>
      <c r="AK18" s="582">
        <v>3.2593019901932498</v>
      </c>
      <c r="AL18" s="579">
        <v>3.1</v>
      </c>
      <c r="AM18" s="579">
        <v>3.4</v>
      </c>
      <c r="AN18" s="583">
        <v>3</v>
      </c>
      <c r="AO18" s="582">
        <v>3.3</v>
      </c>
      <c r="AP18" s="579">
        <v>3.25</v>
      </c>
      <c r="AQ18" s="579">
        <v>4.9111408369959904</v>
      </c>
      <c r="AR18" s="583">
        <v>2.9740000000000002</v>
      </c>
      <c r="AS18" s="582">
        <v>3.2183316168898002</v>
      </c>
      <c r="AT18" s="579">
        <v>3.33773959021811</v>
      </c>
      <c r="AU18" s="579">
        <v>2.6702532476053009</v>
      </c>
    </row>
    <row r="19" spans="1:47" ht="12.75" x14ac:dyDescent="0.2">
      <c r="A19" s="569"/>
      <c r="B19" s="584"/>
      <c r="C19" s="584"/>
      <c r="D19" s="585"/>
      <c r="E19" s="585"/>
      <c r="F19" s="348"/>
      <c r="G19" s="348"/>
      <c r="H19" s="348"/>
      <c r="I19" s="348"/>
      <c r="J19" s="348"/>
      <c r="K19" s="348"/>
      <c r="L19" s="556"/>
      <c r="M19" s="348"/>
      <c r="N19" s="348"/>
      <c r="O19" s="348"/>
      <c r="P19" s="353"/>
      <c r="Q19" s="348"/>
      <c r="R19" s="348"/>
      <c r="S19" s="348"/>
      <c r="T19" s="353"/>
      <c r="U19" s="348"/>
      <c r="V19" s="348"/>
      <c r="W19" s="348"/>
      <c r="X19" s="353"/>
      <c r="Y19" s="348"/>
      <c r="Z19" s="348"/>
      <c r="AA19" s="348"/>
      <c r="AB19" s="353"/>
      <c r="AC19" s="348"/>
      <c r="AD19" s="348"/>
      <c r="AE19" s="348"/>
      <c r="AF19" s="353"/>
      <c r="AG19" s="348"/>
      <c r="AH19" s="348"/>
      <c r="AI19" s="348"/>
      <c r="AJ19" s="353"/>
      <c r="AK19" s="348"/>
      <c r="AL19" s="348"/>
      <c r="AM19" s="348"/>
      <c r="AN19" s="353"/>
      <c r="AO19" s="348"/>
      <c r="AP19" s="348"/>
      <c r="AQ19" s="348"/>
      <c r="AR19" s="353"/>
      <c r="AS19" s="348"/>
      <c r="AT19" s="348"/>
      <c r="AU19" s="348"/>
    </row>
    <row r="20" spans="1:47" ht="12.75" x14ac:dyDescent="0.2">
      <c r="A20" s="565" t="s">
        <v>581</v>
      </c>
      <c r="B20" s="584"/>
      <c r="C20" s="584"/>
      <c r="D20" s="585"/>
      <c r="E20" s="585"/>
      <c r="F20" s="348"/>
      <c r="G20" s="348"/>
      <c r="H20" s="348"/>
      <c r="I20" s="348"/>
      <c r="J20" s="348"/>
      <c r="K20" s="348"/>
      <c r="L20" s="556"/>
      <c r="M20" s="348"/>
      <c r="N20" s="348"/>
      <c r="O20" s="348"/>
      <c r="P20" s="353"/>
      <c r="Q20" s="348"/>
      <c r="R20" s="348"/>
      <c r="S20" s="348"/>
      <c r="T20" s="353"/>
      <c r="U20" s="348"/>
      <c r="V20" s="348"/>
      <c r="W20" s="348"/>
      <c r="X20" s="353"/>
      <c r="Y20" s="348"/>
      <c r="Z20" s="348"/>
      <c r="AA20" s="348"/>
      <c r="AB20" s="353"/>
      <c r="AC20" s="348"/>
      <c r="AD20" s="348"/>
      <c r="AE20" s="348"/>
      <c r="AF20" s="353"/>
      <c r="AG20" s="348"/>
      <c r="AH20" s="348"/>
      <c r="AI20" s="348"/>
      <c r="AJ20" s="353"/>
      <c r="AK20" s="348"/>
      <c r="AL20" s="348"/>
      <c r="AM20" s="348"/>
      <c r="AN20" s="353"/>
      <c r="AO20" s="348"/>
      <c r="AP20" s="348"/>
      <c r="AQ20" s="348"/>
      <c r="AR20" s="353"/>
      <c r="AS20" s="348"/>
      <c r="AT20" s="348"/>
      <c r="AU20" s="348"/>
    </row>
    <row r="21" spans="1:47" ht="12.75" x14ac:dyDescent="0.2">
      <c r="A21" s="569" t="s">
        <v>582</v>
      </c>
      <c r="B21" s="572">
        <v>10200</v>
      </c>
      <c r="C21" s="572">
        <v>9099</v>
      </c>
      <c r="D21" s="572">
        <v>11263</v>
      </c>
      <c r="E21" s="572">
        <v>13968</v>
      </c>
      <c r="F21" s="572">
        <v>15302</v>
      </c>
      <c r="G21" s="572">
        <v>13704</v>
      </c>
      <c r="H21" s="572">
        <v>15453</v>
      </c>
      <c r="I21" s="572">
        <v>19019</v>
      </c>
      <c r="J21" s="572">
        <v>23146</v>
      </c>
      <c r="K21" s="572">
        <v>22946</v>
      </c>
      <c r="L21" s="556"/>
      <c r="M21" s="572">
        <v>2737</v>
      </c>
      <c r="N21" s="572">
        <v>2889</v>
      </c>
      <c r="O21" s="572">
        <v>2736</v>
      </c>
      <c r="P21" s="573">
        <v>2901</v>
      </c>
      <c r="Q21" s="572">
        <v>3007</v>
      </c>
      <c r="R21" s="572">
        <v>3568</v>
      </c>
      <c r="S21" s="572">
        <v>3556</v>
      </c>
      <c r="T21" s="573">
        <v>3837</v>
      </c>
      <c r="U21" s="572">
        <v>3596</v>
      </c>
      <c r="V21" s="572">
        <v>4076</v>
      </c>
      <c r="W21" s="572">
        <v>3727</v>
      </c>
      <c r="X21" s="573">
        <v>3903</v>
      </c>
      <c r="Y21" s="572">
        <v>3563</v>
      </c>
      <c r="Z21" s="572">
        <v>3149</v>
      </c>
      <c r="AA21" s="572">
        <v>3255</v>
      </c>
      <c r="AB21" s="573">
        <v>3737</v>
      </c>
      <c r="AC21" s="572">
        <v>3340</v>
      </c>
      <c r="AD21" s="572">
        <v>3835</v>
      </c>
      <c r="AE21" s="572">
        <v>3967</v>
      </c>
      <c r="AF21" s="573">
        <v>4311</v>
      </c>
      <c r="AG21" s="572">
        <v>4257</v>
      </c>
      <c r="AH21" s="572">
        <v>4055</v>
      </c>
      <c r="AI21" s="572">
        <v>4913</v>
      </c>
      <c r="AJ21" s="573">
        <v>5794</v>
      </c>
      <c r="AK21" s="572">
        <v>5596</v>
      </c>
      <c r="AL21" s="572">
        <v>6023</v>
      </c>
      <c r="AM21" s="572">
        <v>5779</v>
      </c>
      <c r="AN21" s="573">
        <v>5748</v>
      </c>
      <c r="AO21" s="572">
        <v>5182</v>
      </c>
      <c r="AP21" s="572">
        <v>5949</v>
      </c>
      <c r="AQ21" s="572">
        <v>5825</v>
      </c>
      <c r="AR21" s="573">
        <v>5990</v>
      </c>
      <c r="AS21" s="572">
        <v>6140</v>
      </c>
      <c r="AT21" s="572">
        <v>5671</v>
      </c>
      <c r="AU21" s="572">
        <v>5334</v>
      </c>
    </row>
    <row r="22" spans="1:47" ht="12.75" x14ac:dyDescent="0.2">
      <c r="A22" s="569" t="s">
        <v>583</v>
      </c>
      <c r="B22" s="586">
        <f t="shared" ref="B22:G22" si="2">B21/B8*100</f>
        <v>35.58594703973764</v>
      </c>
      <c r="C22" s="586">
        <f t="shared" si="2"/>
        <v>33.573168031879561</v>
      </c>
      <c r="D22" s="586">
        <f t="shared" si="2"/>
        <v>35.910604349985014</v>
      </c>
      <c r="E22" s="586">
        <f t="shared" si="2"/>
        <v>36.484008464089214</v>
      </c>
      <c r="F22" s="586">
        <f t="shared" si="2"/>
        <v>37.45991333937183</v>
      </c>
      <c r="G22" s="586">
        <f t="shared" si="2"/>
        <v>37.938098665633127</v>
      </c>
      <c r="H22" s="586">
        <v>39</v>
      </c>
      <c r="I22" s="586">
        <v>38.299999999999997</v>
      </c>
      <c r="J22" s="586">
        <v>38.4</v>
      </c>
      <c r="K22" s="586">
        <v>36.1</v>
      </c>
      <c r="L22" s="556"/>
      <c r="M22" s="586">
        <f t="shared" ref="M22:AB22" si="3">M21/M8*100</f>
        <v>36.931588179732827</v>
      </c>
      <c r="N22" s="586">
        <f t="shared" si="3"/>
        <v>36.667089732199521</v>
      </c>
      <c r="O22" s="586">
        <f t="shared" si="3"/>
        <v>35.952693823915901</v>
      </c>
      <c r="P22" s="587">
        <f t="shared" si="3"/>
        <v>34.274574669187146</v>
      </c>
      <c r="Q22" s="586">
        <f t="shared" si="3"/>
        <v>36.523745900643753</v>
      </c>
      <c r="R22" s="586">
        <f t="shared" si="3"/>
        <v>36.249111043381085</v>
      </c>
      <c r="S22" s="586">
        <f t="shared" si="3"/>
        <v>36.845922702310638</v>
      </c>
      <c r="T22" s="587">
        <f t="shared" si="3"/>
        <v>36.342110248153062</v>
      </c>
      <c r="U22" s="586">
        <f t="shared" si="3"/>
        <v>36.750127746550845</v>
      </c>
      <c r="V22" s="586">
        <f t="shared" si="3"/>
        <v>38.35874270656879</v>
      </c>
      <c r="W22" s="586">
        <f t="shared" si="3"/>
        <v>36.690293364835597</v>
      </c>
      <c r="X22" s="587">
        <f t="shared" si="3"/>
        <v>37.966926070038909</v>
      </c>
      <c r="Y22" s="586">
        <f t="shared" si="3"/>
        <v>39.008101598423472</v>
      </c>
      <c r="Z22" s="586">
        <f t="shared" si="3"/>
        <v>37.231023882714595</v>
      </c>
      <c r="AA22" s="586">
        <f t="shared" si="3"/>
        <v>37.310866574965615</v>
      </c>
      <c r="AB22" s="587">
        <f t="shared" si="3"/>
        <v>38.109320823985314</v>
      </c>
      <c r="AC22" s="586">
        <v>38.071355294654055</v>
      </c>
      <c r="AD22" s="586">
        <v>39.4</v>
      </c>
      <c r="AE22" s="586">
        <v>39.799999999999997</v>
      </c>
      <c r="AF22" s="587">
        <v>38.6</v>
      </c>
      <c r="AG22" s="586">
        <v>38.392857142857146</v>
      </c>
      <c r="AH22" s="586">
        <v>34.167509268621501</v>
      </c>
      <c r="AI22" s="586">
        <v>38.376816122480861</v>
      </c>
      <c r="AJ22" s="587">
        <v>41.575774971297356</v>
      </c>
      <c r="AK22" s="586">
        <v>40.351889241419094</v>
      </c>
      <c r="AL22" s="586">
        <v>37.9</v>
      </c>
      <c r="AM22" s="586">
        <v>38.534373541374947</v>
      </c>
      <c r="AN22" s="587">
        <v>36.921891058581707</v>
      </c>
      <c r="AO22" s="586">
        <v>36.640033939051122</v>
      </c>
      <c r="AP22" s="586">
        <v>36.030525104475799</v>
      </c>
      <c r="AQ22" s="586">
        <v>37.104274157589657</v>
      </c>
      <c r="AR22" s="587">
        <v>34.722624775375337</v>
      </c>
      <c r="AS22" s="586">
        <v>39.521112255406798</v>
      </c>
      <c r="AT22" s="586">
        <v>37.481824190350302</v>
      </c>
      <c r="AU22" s="586">
        <v>34.995407426846867</v>
      </c>
    </row>
    <row r="23" spans="1:47" ht="12.75" x14ac:dyDescent="0.2">
      <c r="A23" s="569" t="s">
        <v>584</v>
      </c>
      <c r="B23" s="588">
        <v>6570</v>
      </c>
      <c r="C23" s="588">
        <v>5765</v>
      </c>
      <c r="D23" s="588">
        <v>7183</v>
      </c>
      <c r="E23" s="588">
        <v>8753</v>
      </c>
      <c r="F23" s="588">
        <v>10114</v>
      </c>
      <c r="G23" s="588">
        <v>9128</v>
      </c>
      <c r="H23" s="588">
        <v>10740</v>
      </c>
      <c r="I23" s="588">
        <v>13276</v>
      </c>
      <c r="J23" s="588">
        <v>15843</v>
      </c>
      <c r="K23" s="588">
        <v>15827</v>
      </c>
      <c r="L23" s="556"/>
      <c r="M23" s="588">
        <v>1732</v>
      </c>
      <c r="N23" s="588">
        <v>1778</v>
      </c>
      <c r="O23" s="588">
        <v>1804</v>
      </c>
      <c r="P23" s="589">
        <v>1869</v>
      </c>
      <c r="Q23" s="588">
        <v>1832</v>
      </c>
      <c r="R23" s="588">
        <v>2150</v>
      </c>
      <c r="S23" s="588">
        <v>2258</v>
      </c>
      <c r="T23" s="589">
        <v>2513</v>
      </c>
      <c r="U23" s="588">
        <v>2403</v>
      </c>
      <c r="V23" s="588">
        <v>2729.3663581851001</v>
      </c>
      <c r="W23" s="588">
        <v>2481</v>
      </c>
      <c r="X23" s="589">
        <v>2501</v>
      </c>
      <c r="Y23" s="588">
        <v>2372</v>
      </c>
      <c r="Z23" s="588">
        <v>1859</v>
      </c>
      <c r="AA23" s="588">
        <v>2245</v>
      </c>
      <c r="AB23" s="589">
        <v>2652</v>
      </c>
      <c r="AC23" s="588">
        <v>2248</v>
      </c>
      <c r="AD23" s="572">
        <v>2594</v>
      </c>
      <c r="AE23" s="572">
        <v>2813</v>
      </c>
      <c r="AF23" s="589">
        <v>3085</v>
      </c>
      <c r="AG23" s="588">
        <v>3097</v>
      </c>
      <c r="AH23" s="572">
        <v>2868</v>
      </c>
      <c r="AI23" s="572">
        <v>3425</v>
      </c>
      <c r="AJ23" s="589">
        <v>3886</v>
      </c>
      <c r="AK23" s="588">
        <v>3795</v>
      </c>
      <c r="AL23" s="572">
        <v>4056</v>
      </c>
      <c r="AM23" s="572">
        <v>3960</v>
      </c>
      <c r="AN23" s="589">
        <v>4032</v>
      </c>
      <c r="AO23" s="588">
        <v>3431</v>
      </c>
      <c r="AP23" s="572">
        <v>3709</v>
      </c>
      <c r="AQ23" s="572">
        <v>4445</v>
      </c>
      <c r="AR23" s="589">
        <v>4242</v>
      </c>
      <c r="AS23" s="588">
        <v>3866</v>
      </c>
      <c r="AT23" s="572">
        <v>3600</v>
      </c>
      <c r="AU23" s="572">
        <v>3567</v>
      </c>
    </row>
    <row r="24" spans="1:47" ht="12.75" x14ac:dyDescent="0.2">
      <c r="A24" s="569" t="s">
        <v>585</v>
      </c>
      <c r="B24" s="348">
        <v>22.9</v>
      </c>
      <c r="C24" s="348">
        <v>21.3</v>
      </c>
      <c r="D24" s="348">
        <v>22.9</v>
      </c>
      <c r="E24" s="580">
        <v>22.862739976492101</v>
      </c>
      <c r="F24" s="580">
        <v>24.8</v>
      </c>
      <c r="G24" s="580">
        <v>25.3</v>
      </c>
      <c r="H24" s="580">
        <v>27.1</v>
      </c>
      <c r="I24" s="580">
        <v>26.7</v>
      </c>
      <c r="J24" s="580">
        <v>26.3</v>
      </c>
      <c r="K24" s="580">
        <v>24.9</v>
      </c>
      <c r="L24" s="556"/>
      <c r="M24" s="348">
        <v>23.4</v>
      </c>
      <c r="N24" s="348">
        <v>22.6</v>
      </c>
      <c r="O24" s="348">
        <v>23.7</v>
      </c>
      <c r="P24" s="353">
        <v>22.1</v>
      </c>
      <c r="Q24" s="348">
        <v>22.3</v>
      </c>
      <c r="R24" s="348">
        <v>21.8</v>
      </c>
      <c r="S24" s="580">
        <v>23.39653921873381</v>
      </c>
      <c r="T24" s="590">
        <v>23.801856412199278</v>
      </c>
      <c r="U24" s="580">
        <v>24.559099301709338</v>
      </c>
      <c r="V24" s="580">
        <v>25.684058199031302</v>
      </c>
      <c r="W24" s="580">
        <v>24.4</v>
      </c>
      <c r="X24" s="590">
        <v>24.3</v>
      </c>
      <c r="Y24" s="580">
        <v>26</v>
      </c>
      <c r="Z24" s="580">
        <v>21.979191298179238</v>
      </c>
      <c r="AA24" s="580">
        <v>25.730659025787965</v>
      </c>
      <c r="AB24" s="590">
        <v>27</v>
      </c>
      <c r="AC24" s="580">
        <v>25.624073862988716</v>
      </c>
      <c r="AD24" s="580">
        <v>26.7</v>
      </c>
      <c r="AE24" s="580">
        <v>28.2</v>
      </c>
      <c r="AF24" s="590">
        <v>27.6</v>
      </c>
      <c r="AG24" s="580">
        <v>27.93109668109668</v>
      </c>
      <c r="AH24" s="580">
        <v>24.165824064711831</v>
      </c>
      <c r="AI24" s="580">
        <v>26.755722209202403</v>
      </c>
      <c r="AJ24" s="590">
        <v>27.884615384615387</v>
      </c>
      <c r="AK24" s="580">
        <v>27.365157196423421</v>
      </c>
      <c r="AL24" s="580">
        <v>25.5</v>
      </c>
      <c r="AM24" s="580">
        <v>26.405281056211244</v>
      </c>
      <c r="AN24" s="590">
        <v>25.897617059541396</v>
      </c>
      <c r="AO24" s="580">
        <v>24.259350915647317</v>
      </c>
      <c r="AP24" s="580">
        <v>22.463812004118466</v>
      </c>
      <c r="AQ24" s="580">
        <v>28.305732484076433</v>
      </c>
      <c r="AR24" s="590">
        <v>24.591304347826089</v>
      </c>
      <c r="AS24" s="580">
        <v>24.884140061791967</v>
      </c>
      <c r="AT24" s="580">
        <v>23.793787177792467</v>
      </c>
      <c r="AU24" s="580">
        <v>23.395879805799762</v>
      </c>
    </row>
    <row r="25" spans="1:47" ht="12.75" x14ac:dyDescent="0.2">
      <c r="A25" s="577" t="s">
        <v>586</v>
      </c>
      <c r="B25" s="591"/>
      <c r="C25" s="591"/>
      <c r="D25" s="591"/>
      <c r="E25" s="592"/>
      <c r="F25" s="592"/>
      <c r="G25" s="592"/>
      <c r="H25" s="592"/>
      <c r="I25" s="593">
        <v>11775</v>
      </c>
      <c r="J25" s="593">
        <v>14078</v>
      </c>
      <c r="K25" s="593">
        <v>13768</v>
      </c>
      <c r="L25" s="556"/>
      <c r="M25" s="591"/>
      <c r="N25" s="591"/>
      <c r="O25" s="591"/>
      <c r="P25" s="594"/>
      <c r="Q25" s="591"/>
      <c r="R25" s="591"/>
      <c r="S25" s="592"/>
      <c r="T25" s="595"/>
      <c r="U25" s="592"/>
      <c r="V25" s="592"/>
      <c r="W25" s="592"/>
      <c r="X25" s="595"/>
      <c r="Y25" s="592"/>
      <c r="Z25" s="592"/>
      <c r="AA25" s="592"/>
      <c r="AB25" s="595"/>
      <c r="AC25" s="592"/>
      <c r="AD25" s="592"/>
      <c r="AE25" s="592"/>
      <c r="AF25" s="595"/>
      <c r="AG25" s="596">
        <v>2755</v>
      </c>
      <c r="AH25" s="596">
        <v>2513</v>
      </c>
      <c r="AI25" s="596">
        <v>3040</v>
      </c>
      <c r="AJ25" s="597">
        <v>3467</v>
      </c>
      <c r="AK25" s="596">
        <v>3374</v>
      </c>
      <c r="AL25" s="596">
        <v>3605</v>
      </c>
      <c r="AM25" s="596">
        <v>3533</v>
      </c>
      <c r="AN25" s="597">
        <v>3566</v>
      </c>
      <c r="AO25" s="596">
        <v>2976</v>
      </c>
      <c r="AP25" s="596">
        <v>3192</v>
      </c>
      <c r="AQ25" s="596">
        <v>3896</v>
      </c>
      <c r="AR25" s="597">
        <v>3704</v>
      </c>
      <c r="AS25" s="596">
        <v>3353</v>
      </c>
      <c r="AT25" s="596">
        <v>3083</v>
      </c>
      <c r="AU25" s="596">
        <v>3047</v>
      </c>
    </row>
    <row r="26" spans="1:47" ht="12.75" x14ac:dyDescent="0.2">
      <c r="A26" s="577" t="s">
        <v>587</v>
      </c>
      <c r="B26" s="591"/>
      <c r="C26" s="591"/>
      <c r="D26" s="591"/>
      <c r="E26" s="592"/>
      <c r="F26" s="592"/>
      <c r="G26" s="592"/>
      <c r="H26" s="592"/>
      <c r="I26" s="592">
        <v>23.7</v>
      </c>
      <c r="J26" s="592">
        <v>23.3</v>
      </c>
      <c r="K26" s="592">
        <v>21.6</v>
      </c>
      <c r="L26" s="556"/>
      <c r="M26" s="591"/>
      <c r="N26" s="591"/>
      <c r="O26" s="591"/>
      <c r="P26" s="594"/>
      <c r="Q26" s="591"/>
      <c r="R26" s="591"/>
      <c r="S26" s="592"/>
      <c r="T26" s="595"/>
      <c r="U26" s="592"/>
      <c r="V26" s="592"/>
      <c r="W26" s="592"/>
      <c r="X26" s="595"/>
      <c r="Y26" s="592"/>
      <c r="Z26" s="592"/>
      <c r="AA26" s="592"/>
      <c r="AB26" s="595"/>
      <c r="AC26" s="592"/>
      <c r="AD26" s="592"/>
      <c r="AE26" s="592"/>
      <c r="AF26" s="595"/>
      <c r="AG26" s="592">
        <v>24.8</v>
      </c>
      <c r="AH26" s="592">
        <v>21.2</v>
      </c>
      <c r="AI26" s="592">
        <v>23.7</v>
      </c>
      <c r="AJ26" s="595">
        <v>24.9</v>
      </c>
      <c r="AK26" s="592">
        <v>24.3</v>
      </c>
      <c r="AL26" s="592">
        <v>22.7</v>
      </c>
      <c r="AM26" s="592">
        <v>23.6</v>
      </c>
      <c r="AN26" s="595">
        <v>22.9</v>
      </c>
      <c r="AO26" s="592">
        <v>21</v>
      </c>
      <c r="AP26" s="592">
        <v>19.3</v>
      </c>
      <c r="AQ26" s="592">
        <v>24.8</v>
      </c>
      <c r="AR26" s="595">
        <v>21.47121905976465</v>
      </c>
      <c r="AS26" s="592">
        <v>21.582131822863026</v>
      </c>
      <c r="AT26" s="592">
        <v>20.376734963648381</v>
      </c>
      <c r="AU26" s="592">
        <v>19.990814853693742</v>
      </c>
    </row>
    <row r="27" spans="1:47" ht="12.75" x14ac:dyDescent="0.2">
      <c r="A27" s="577" t="s">
        <v>588</v>
      </c>
      <c r="B27" s="598"/>
      <c r="C27" s="598"/>
      <c r="D27" s="599"/>
      <c r="E27" s="593">
        <v>7779</v>
      </c>
      <c r="F27" s="593">
        <v>8582</v>
      </c>
      <c r="G27" s="593">
        <v>7669</v>
      </c>
      <c r="H27" s="593">
        <v>9098</v>
      </c>
      <c r="I27" s="593">
        <v>11755</v>
      </c>
      <c r="J27" s="593">
        <v>13117</v>
      </c>
      <c r="K27" s="593">
        <v>12624</v>
      </c>
      <c r="L27" s="556"/>
      <c r="M27" s="596"/>
      <c r="N27" s="596"/>
      <c r="O27" s="596"/>
      <c r="P27" s="597"/>
      <c r="Q27" s="593">
        <v>1611</v>
      </c>
      <c r="R27" s="593">
        <v>1991</v>
      </c>
      <c r="S27" s="593">
        <v>2024</v>
      </c>
      <c r="T27" s="600">
        <v>2154</v>
      </c>
      <c r="U27" s="593">
        <v>1989</v>
      </c>
      <c r="V27" s="593">
        <v>2301.5304182700002</v>
      </c>
      <c r="W27" s="593">
        <v>2160.4103993842</v>
      </c>
      <c r="X27" s="601">
        <v>2131.060167183</v>
      </c>
      <c r="Y27" s="602">
        <v>1911</v>
      </c>
      <c r="Z27" s="602">
        <v>1583</v>
      </c>
      <c r="AA27" s="602">
        <v>1896</v>
      </c>
      <c r="AB27" s="603">
        <v>2279</v>
      </c>
      <c r="AC27" s="593">
        <v>2016</v>
      </c>
      <c r="AD27" s="593">
        <v>2197</v>
      </c>
      <c r="AE27" s="593">
        <v>2331</v>
      </c>
      <c r="AF27" s="603">
        <v>2554</v>
      </c>
      <c r="AG27" s="593">
        <v>2588</v>
      </c>
      <c r="AH27" s="593">
        <v>2801</v>
      </c>
      <c r="AI27" s="593">
        <v>3064</v>
      </c>
      <c r="AJ27" s="603">
        <v>3302</v>
      </c>
      <c r="AK27" s="593">
        <v>3187</v>
      </c>
      <c r="AL27" s="593">
        <f>3413+16</f>
        <v>3429</v>
      </c>
      <c r="AM27" s="593">
        <v>3272</v>
      </c>
      <c r="AN27" s="603">
        <v>3229</v>
      </c>
      <c r="AO27" s="593">
        <v>2887</v>
      </c>
      <c r="AP27" s="593">
        <v>3246</v>
      </c>
      <c r="AQ27" s="593">
        <v>3086</v>
      </c>
      <c r="AR27" s="603">
        <v>3405</v>
      </c>
      <c r="AS27" s="593">
        <v>3099</v>
      </c>
      <c r="AT27" s="593">
        <v>2984</v>
      </c>
      <c r="AU27" s="593">
        <v>2896</v>
      </c>
    </row>
    <row r="28" spans="1:47" ht="12.75" x14ac:dyDescent="0.2">
      <c r="A28" s="569" t="s">
        <v>589</v>
      </c>
      <c r="B28" s="604"/>
      <c r="C28" s="586"/>
      <c r="D28" s="586"/>
      <c r="E28" s="586">
        <f>E27/E8*100</f>
        <v>20.318521036809134</v>
      </c>
      <c r="F28" s="605">
        <v>20.984601826238098</v>
      </c>
      <c r="G28" s="605">
        <v>21.2</v>
      </c>
      <c r="H28" s="605">
        <v>22.9</v>
      </c>
      <c r="I28" s="605">
        <v>23.7</v>
      </c>
      <c r="J28" s="605">
        <v>21.7</v>
      </c>
      <c r="K28" s="605">
        <v>19.8</v>
      </c>
      <c r="L28" s="556"/>
      <c r="M28" s="586"/>
      <c r="N28" s="586"/>
      <c r="O28" s="586"/>
      <c r="P28" s="586"/>
      <c r="Q28" s="606">
        <v>19.600000000000001</v>
      </c>
      <c r="R28" s="605">
        <v>20.2</v>
      </c>
      <c r="S28" s="605">
        <v>20.971920008289295</v>
      </c>
      <c r="T28" s="607">
        <v>20.401591210456527</v>
      </c>
      <c r="U28" s="605">
        <v>20.3</v>
      </c>
      <c r="V28" s="605">
        <v>21.659424226143422</v>
      </c>
      <c r="W28" s="605">
        <v>21.268068511362472</v>
      </c>
      <c r="X28" s="607">
        <v>20.730157268317122</v>
      </c>
      <c r="Y28" s="605">
        <v>20.9</v>
      </c>
      <c r="Z28" s="605">
        <v>18.712461574840386</v>
      </c>
      <c r="AA28" s="605">
        <v>21.730857404860153</v>
      </c>
      <c r="AB28" s="607">
        <v>23.240872934937791</v>
      </c>
      <c r="AC28" s="605">
        <v>22.979596489228314</v>
      </c>
      <c r="AD28" s="605">
        <v>22.6</v>
      </c>
      <c r="AE28" s="605">
        <v>23.4</v>
      </c>
      <c r="AF28" s="607">
        <v>22.9</v>
      </c>
      <c r="AG28" s="605">
        <v>23.340548340548338</v>
      </c>
      <c r="AH28" s="605">
        <v>23.6</v>
      </c>
      <c r="AI28" s="605">
        <v>23.93376034994532</v>
      </c>
      <c r="AJ28" s="607">
        <v>23.694029850746269</v>
      </c>
      <c r="AK28" s="605">
        <v>22.980963368906838</v>
      </c>
      <c r="AL28" s="605">
        <v>21.6</v>
      </c>
      <c r="AM28" s="605">
        <v>21.817696872707877</v>
      </c>
      <c r="AN28" s="607">
        <v>20.741264131551901</v>
      </c>
      <c r="AO28" s="580">
        <v>20.412925121968463</v>
      </c>
      <c r="AP28" s="605">
        <v>19.7</v>
      </c>
      <c r="AQ28" s="605">
        <v>19.657303012930761</v>
      </c>
      <c r="AR28" s="607">
        <v>19.737986203698334</v>
      </c>
      <c r="AS28" s="580">
        <v>19.899999999999999</v>
      </c>
      <c r="AT28" s="605">
        <v>19.722405816259091</v>
      </c>
      <c r="AU28" s="605">
        <v>19.000131216375806</v>
      </c>
    </row>
    <row r="29" spans="1:47" ht="12.75" x14ac:dyDescent="0.2">
      <c r="A29" s="569" t="s">
        <v>590</v>
      </c>
      <c r="B29" s="356"/>
      <c r="C29" s="356">
        <v>4548</v>
      </c>
      <c r="D29" s="356">
        <v>5930</v>
      </c>
      <c r="E29" s="356">
        <v>7385</v>
      </c>
      <c r="F29" s="356">
        <v>8136</v>
      </c>
      <c r="G29" s="356">
        <v>7382</v>
      </c>
      <c r="H29" s="356">
        <v>8995</v>
      </c>
      <c r="I29" s="356">
        <v>11147</v>
      </c>
      <c r="J29" s="356">
        <v>13183</v>
      </c>
      <c r="K29" s="356">
        <v>12385</v>
      </c>
      <c r="L29" s="556"/>
      <c r="M29" s="356">
        <v>1414</v>
      </c>
      <c r="N29" s="356">
        <v>1468</v>
      </c>
      <c r="O29" s="356">
        <v>1520</v>
      </c>
      <c r="P29" s="357">
        <v>1528</v>
      </c>
      <c r="Q29" s="356">
        <v>1515</v>
      </c>
      <c r="R29" s="356">
        <v>1810</v>
      </c>
      <c r="S29" s="356">
        <v>1898</v>
      </c>
      <c r="T29" s="357">
        <v>2162</v>
      </c>
      <c r="U29" s="356">
        <v>1930</v>
      </c>
      <c r="V29" s="356">
        <v>2263</v>
      </c>
      <c r="W29" s="356">
        <v>1927</v>
      </c>
      <c r="X29" s="357">
        <v>2016</v>
      </c>
      <c r="Y29" s="356">
        <v>1932</v>
      </c>
      <c r="Z29" s="356">
        <v>1418</v>
      </c>
      <c r="AA29" s="356">
        <v>1820</v>
      </c>
      <c r="AB29" s="357">
        <v>2212</v>
      </c>
      <c r="AC29" s="356">
        <v>1867</v>
      </c>
      <c r="AD29" s="356">
        <v>2182</v>
      </c>
      <c r="AE29" s="356">
        <v>2352</v>
      </c>
      <c r="AF29" s="357">
        <v>2594</v>
      </c>
      <c r="AG29" s="356">
        <v>2631</v>
      </c>
      <c r="AH29" s="356">
        <v>2381</v>
      </c>
      <c r="AI29" s="356">
        <v>2900</v>
      </c>
      <c r="AJ29" s="357">
        <v>3235</v>
      </c>
      <c r="AK29" s="356">
        <v>3161</v>
      </c>
      <c r="AL29" s="356">
        <v>3413</v>
      </c>
      <c r="AM29" s="356">
        <v>3260</v>
      </c>
      <c r="AN29" s="357">
        <v>3349</v>
      </c>
      <c r="AO29" s="608">
        <v>2760</v>
      </c>
      <c r="AP29" s="356">
        <v>2921</v>
      </c>
      <c r="AQ29" s="356">
        <v>3277</v>
      </c>
      <c r="AR29" s="357">
        <v>3427</v>
      </c>
      <c r="AS29" s="608">
        <v>3088</v>
      </c>
      <c r="AT29" s="356">
        <v>2831</v>
      </c>
      <c r="AU29" s="356">
        <v>2802</v>
      </c>
    </row>
    <row r="30" spans="1:47" ht="12.75" x14ac:dyDescent="0.2">
      <c r="A30" s="569" t="s">
        <v>591</v>
      </c>
      <c r="B30" s="348"/>
      <c r="C30" s="609" t="s">
        <v>592</v>
      </c>
      <c r="D30" s="610" t="s">
        <v>593</v>
      </c>
      <c r="E30" s="610" t="s">
        <v>594</v>
      </c>
      <c r="F30" s="609" t="s">
        <v>595</v>
      </c>
      <c r="G30" s="609" t="s">
        <v>596</v>
      </c>
      <c r="H30" s="609">
        <v>22.7</v>
      </c>
      <c r="I30" s="609">
        <v>22.4</v>
      </c>
      <c r="J30" s="609">
        <v>21.8</v>
      </c>
      <c r="K30" s="609">
        <v>19.5</v>
      </c>
      <c r="L30" s="611"/>
      <c r="M30" s="612">
        <f>M29/M8*100</f>
        <v>19.079746323033326</v>
      </c>
      <c r="N30" s="612">
        <f>N29/N8*100</f>
        <v>18.63180606675974</v>
      </c>
      <c r="O30" s="612">
        <f>O29/O8*100</f>
        <v>19.973718791064389</v>
      </c>
      <c r="P30" s="613">
        <f>P29/P8*100</f>
        <v>18.052930056710775</v>
      </c>
      <c r="Q30" s="609" t="s">
        <v>597</v>
      </c>
      <c r="R30" s="609" t="s">
        <v>597</v>
      </c>
      <c r="S30" s="609" t="s">
        <v>598</v>
      </c>
      <c r="T30" s="614" t="s">
        <v>599</v>
      </c>
      <c r="U30" s="609" t="s">
        <v>598</v>
      </c>
      <c r="V30" s="609" t="s">
        <v>174</v>
      </c>
      <c r="W30" s="609" t="s">
        <v>600</v>
      </c>
      <c r="X30" s="614" t="s">
        <v>601</v>
      </c>
      <c r="Y30" s="609" t="s">
        <v>602</v>
      </c>
      <c r="Z30" s="609" t="s">
        <v>592</v>
      </c>
      <c r="AA30" s="609" t="s">
        <v>603</v>
      </c>
      <c r="AB30" s="614" t="s">
        <v>604</v>
      </c>
      <c r="AC30" s="612">
        <v>21.281203693149436</v>
      </c>
      <c r="AD30" s="612">
        <v>22.4</v>
      </c>
      <c r="AE30" s="612">
        <v>23.6</v>
      </c>
      <c r="AF30" s="614">
        <v>23.2</v>
      </c>
      <c r="AG30" s="612">
        <v>23.728354978354979</v>
      </c>
      <c r="AH30" s="612">
        <v>20.062352544657905</v>
      </c>
      <c r="AI30" s="612">
        <v>22.652710513982193</v>
      </c>
      <c r="AJ30" s="613">
        <v>23.213260619977039</v>
      </c>
      <c r="AK30" s="612">
        <v>22.793481396019612</v>
      </c>
      <c r="AL30" s="612">
        <v>21.5</v>
      </c>
      <c r="AM30" s="612">
        <v>21.737680869507233</v>
      </c>
      <c r="AN30" s="613">
        <v>21.512076053442961</v>
      </c>
      <c r="AO30" s="605">
        <v>19.514954394400057</v>
      </c>
      <c r="AP30" s="612">
        <v>17.691236145599902</v>
      </c>
      <c r="AQ30" s="612">
        <v>20.873941015351296</v>
      </c>
      <c r="AR30" s="613">
        <v>19.865515042606223</v>
      </c>
      <c r="AS30" s="605">
        <v>19.899999999999999</v>
      </c>
      <c r="AT30" s="612">
        <v>18.711169861202908</v>
      </c>
      <c r="AU30" s="612">
        <v>18.399999999999999</v>
      </c>
    </row>
    <row r="31" spans="1:47" ht="12.75" x14ac:dyDescent="0.2">
      <c r="A31" s="174" t="s">
        <v>285</v>
      </c>
      <c r="B31" s="615">
        <v>4955</v>
      </c>
      <c r="C31" s="615">
        <v>4411</v>
      </c>
      <c r="D31" s="615">
        <v>5793</v>
      </c>
      <c r="E31" s="615">
        <v>7201</v>
      </c>
      <c r="F31" s="615">
        <v>7843</v>
      </c>
      <c r="G31" s="615">
        <v>7087</v>
      </c>
      <c r="H31" s="615">
        <v>8964</v>
      </c>
      <c r="I31" s="615">
        <v>10778</v>
      </c>
      <c r="J31" s="615">
        <v>12235</v>
      </c>
      <c r="K31" s="615">
        <v>11439</v>
      </c>
      <c r="L31" s="556"/>
      <c r="M31" s="615">
        <v>1391</v>
      </c>
      <c r="N31" s="615">
        <v>1458</v>
      </c>
      <c r="O31" s="615">
        <v>1501</v>
      </c>
      <c r="P31" s="600">
        <v>1443</v>
      </c>
      <c r="Q31" s="615">
        <v>1458</v>
      </c>
      <c r="R31" s="615">
        <v>1766</v>
      </c>
      <c r="S31" s="615">
        <v>1861</v>
      </c>
      <c r="T31" s="600">
        <v>2116</v>
      </c>
      <c r="U31" s="588">
        <v>1830</v>
      </c>
      <c r="V31" s="615">
        <v>2225</v>
      </c>
      <c r="W31" s="615">
        <v>1866</v>
      </c>
      <c r="X31" s="600">
        <v>1922</v>
      </c>
      <c r="Y31" s="615">
        <v>1886</v>
      </c>
      <c r="Z31" s="615">
        <v>1367</v>
      </c>
      <c r="AA31" s="615">
        <v>1744</v>
      </c>
      <c r="AB31" s="600">
        <v>2090</v>
      </c>
      <c r="AC31" s="615">
        <v>1834</v>
      </c>
      <c r="AD31" s="615">
        <v>2138</v>
      </c>
      <c r="AE31" s="615">
        <v>2425</v>
      </c>
      <c r="AF31" s="600">
        <v>2567</v>
      </c>
      <c r="AG31" s="615">
        <v>2564</v>
      </c>
      <c r="AH31" s="615">
        <v>2292</v>
      </c>
      <c r="AI31" s="615">
        <v>2876</v>
      </c>
      <c r="AJ31" s="600">
        <v>3046</v>
      </c>
      <c r="AK31" s="615">
        <v>2964</v>
      </c>
      <c r="AL31" s="615">
        <v>3428</v>
      </c>
      <c r="AM31" s="615">
        <v>2929</v>
      </c>
      <c r="AN31" s="600">
        <v>2914</v>
      </c>
      <c r="AO31" s="356">
        <v>2644</v>
      </c>
      <c r="AP31" s="615">
        <v>2656</v>
      </c>
      <c r="AQ31" s="615">
        <v>3013</v>
      </c>
      <c r="AR31" s="600">
        <v>3126</v>
      </c>
      <c r="AS31" s="356">
        <v>2881</v>
      </c>
      <c r="AT31" s="615">
        <v>2700</v>
      </c>
      <c r="AU31" s="615">
        <v>2566</v>
      </c>
    </row>
    <row r="32" spans="1:47" ht="12.75" x14ac:dyDescent="0.2">
      <c r="A32" s="569" t="s">
        <v>605</v>
      </c>
      <c r="B32" s="616" t="s">
        <v>606</v>
      </c>
      <c r="C32" s="616" t="s">
        <v>607</v>
      </c>
      <c r="D32" s="616" t="s">
        <v>608</v>
      </c>
      <c r="E32" s="616" t="s">
        <v>609</v>
      </c>
      <c r="F32" s="616" t="s">
        <v>610</v>
      </c>
      <c r="G32" s="616" t="s">
        <v>601</v>
      </c>
      <c r="H32" s="609">
        <v>22.6</v>
      </c>
      <c r="I32" s="609">
        <v>21.7</v>
      </c>
      <c r="J32" s="609">
        <v>20.3</v>
      </c>
      <c r="K32" s="612">
        <v>18</v>
      </c>
      <c r="L32" s="556"/>
      <c r="M32" s="616" t="s">
        <v>609</v>
      </c>
      <c r="N32" s="616" t="s">
        <v>608</v>
      </c>
      <c r="O32" s="616" t="s">
        <v>598</v>
      </c>
      <c r="P32" s="617" t="s">
        <v>611</v>
      </c>
      <c r="Q32" s="616" t="s">
        <v>612</v>
      </c>
      <c r="R32" s="616" t="s">
        <v>613</v>
      </c>
      <c r="S32" s="616" t="s">
        <v>594</v>
      </c>
      <c r="T32" s="617" t="s">
        <v>614</v>
      </c>
      <c r="U32" s="616" t="s">
        <v>615</v>
      </c>
      <c r="V32" s="616" t="s">
        <v>603</v>
      </c>
      <c r="W32" s="616" t="s">
        <v>597</v>
      </c>
      <c r="X32" s="617" t="s">
        <v>615</v>
      </c>
      <c r="Y32" s="616" t="s">
        <v>616</v>
      </c>
      <c r="Z32" s="616" t="s">
        <v>617</v>
      </c>
      <c r="AA32" s="616" t="s">
        <v>614</v>
      </c>
      <c r="AB32" s="617" t="s">
        <v>174</v>
      </c>
      <c r="AC32" s="612">
        <v>20.905049583950799</v>
      </c>
      <c r="AD32" s="612">
        <v>22</v>
      </c>
      <c r="AE32" s="612">
        <v>24.3</v>
      </c>
      <c r="AF32" s="613">
        <v>23</v>
      </c>
      <c r="AG32" s="612">
        <v>23.1</v>
      </c>
      <c r="AH32" s="612">
        <v>19.3</v>
      </c>
      <c r="AI32" s="612">
        <v>22.465239806280302</v>
      </c>
      <c r="AJ32" s="613">
        <v>21.857060849598163</v>
      </c>
      <c r="AK32" s="612">
        <v>21.372944909143353</v>
      </c>
      <c r="AL32" s="612">
        <v>21.5</v>
      </c>
      <c r="AM32" s="612">
        <v>19.530572781222912</v>
      </c>
      <c r="AN32" s="613">
        <v>18.717882836587872</v>
      </c>
      <c r="AO32" s="612">
        <v>18.694760658983242</v>
      </c>
      <c r="AP32" s="612">
        <v>16.086245533280845</v>
      </c>
      <c r="AQ32" s="612">
        <v>19.192305242372125</v>
      </c>
      <c r="AR32" s="613">
        <v>18.120688655730103</v>
      </c>
      <c r="AS32" s="612">
        <v>18.544026776519051</v>
      </c>
      <c r="AT32" s="612">
        <v>17.84534038334435</v>
      </c>
      <c r="AU32" s="612">
        <v>16.835061015614748</v>
      </c>
    </row>
    <row r="33" spans="1:47" ht="12.75" x14ac:dyDescent="0.2">
      <c r="A33" s="569" t="s">
        <v>290</v>
      </c>
      <c r="B33" s="572">
        <v>3571</v>
      </c>
      <c r="C33" s="572">
        <v>3231</v>
      </c>
      <c r="D33" s="572">
        <v>4298</v>
      </c>
      <c r="E33" s="572">
        <v>5437</v>
      </c>
      <c r="F33" s="615">
        <v>5884</v>
      </c>
      <c r="G33" s="615">
        <v>5410</v>
      </c>
      <c r="H33" s="615">
        <v>7069</v>
      </c>
      <c r="I33" s="615">
        <v>8411</v>
      </c>
      <c r="J33" s="615">
        <v>9458</v>
      </c>
      <c r="K33" s="615">
        <v>8756</v>
      </c>
      <c r="L33" s="556"/>
      <c r="M33" s="572">
        <v>1049</v>
      </c>
      <c r="N33" s="572">
        <v>1078</v>
      </c>
      <c r="O33" s="572">
        <v>1067</v>
      </c>
      <c r="P33" s="573">
        <v>1104</v>
      </c>
      <c r="Q33" s="572">
        <v>1081</v>
      </c>
      <c r="R33" s="572">
        <v>1321</v>
      </c>
      <c r="S33" s="572">
        <v>1412</v>
      </c>
      <c r="T33" s="573">
        <v>1623</v>
      </c>
      <c r="U33" s="572">
        <v>1374</v>
      </c>
      <c r="V33" s="572">
        <v>1680</v>
      </c>
      <c r="W33" s="572">
        <v>1341</v>
      </c>
      <c r="X33" s="573">
        <v>1489</v>
      </c>
      <c r="Y33" s="572">
        <v>1422</v>
      </c>
      <c r="Z33" s="572">
        <v>1027</v>
      </c>
      <c r="AA33" s="572">
        <v>1324</v>
      </c>
      <c r="AB33" s="573">
        <v>1637</v>
      </c>
      <c r="AC33" s="615">
        <v>1390</v>
      </c>
      <c r="AD33" s="615">
        <v>1693</v>
      </c>
      <c r="AE33" s="615">
        <v>1929</v>
      </c>
      <c r="AF33" s="573">
        <v>2057</v>
      </c>
      <c r="AG33" s="615">
        <v>2000</v>
      </c>
      <c r="AH33" s="615">
        <v>1773</v>
      </c>
      <c r="AI33" s="615">
        <v>2243</v>
      </c>
      <c r="AJ33" s="573">
        <v>2395</v>
      </c>
      <c r="AK33" s="615">
        <v>2293</v>
      </c>
      <c r="AL33" s="615">
        <v>2653</v>
      </c>
      <c r="AM33" s="615">
        <v>2244</v>
      </c>
      <c r="AN33" s="573">
        <v>2268</v>
      </c>
      <c r="AO33" s="615">
        <v>2010</v>
      </c>
      <c r="AP33" s="615">
        <v>2044</v>
      </c>
      <c r="AQ33" s="615">
        <v>2323</v>
      </c>
      <c r="AR33" s="573">
        <v>2379</v>
      </c>
      <c r="AS33" s="615">
        <v>2196</v>
      </c>
      <c r="AT33" s="615">
        <v>2103</v>
      </c>
      <c r="AU33" s="615">
        <v>1953</v>
      </c>
    </row>
    <row r="34" spans="1:47" ht="12.75" x14ac:dyDescent="0.2">
      <c r="A34" s="569"/>
      <c r="B34" s="577"/>
      <c r="C34" s="577"/>
      <c r="D34" s="578"/>
      <c r="E34" s="578"/>
      <c r="F34" s="348"/>
      <c r="G34" s="348"/>
      <c r="H34" s="348"/>
      <c r="I34" s="348"/>
      <c r="J34" s="348"/>
      <c r="K34" s="348"/>
      <c r="L34" s="556"/>
      <c r="M34" s="348"/>
      <c r="N34" s="348"/>
      <c r="O34" s="348"/>
      <c r="P34" s="353"/>
      <c r="Q34" s="577"/>
      <c r="R34" s="577"/>
      <c r="S34" s="577"/>
      <c r="T34" s="353"/>
      <c r="U34" s="348"/>
      <c r="V34" s="348"/>
      <c r="W34" s="348"/>
      <c r="X34" s="353"/>
      <c r="Y34" s="348"/>
      <c r="Z34" s="348"/>
      <c r="AA34" s="348"/>
      <c r="AB34" s="353"/>
      <c r="AC34" s="348"/>
      <c r="AD34" s="348"/>
      <c r="AE34" s="348"/>
      <c r="AF34" s="353"/>
      <c r="AG34" s="348"/>
      <c r="AH34" s="348"/>
      <c r="AI34" s="348"/>
      <c r="AJ34" s="353"/>
      <c r="AK34" s="348"/>
      <c r="AL34" s="348"/>
      <c r="AM34" s="348"/>
      <c r="AN34" s="353"/>
      <c r="AO34" s="348"/>
      <c r="AP34" s="348"/>
      <c r="AQ34" s="348"/>
      <c r="AR34" s="353"/>
      <c r="AS34" s="348"/>
      <c r="AT34" s="348"/>
      <c r="AU34" s="348"/>
    </row>
    <row r="35" spans="1:47" ht="12.75" x14ac:dyDescent="0.2">
      <c r="A35" s="565" t="s">
        <v>618</v>
      </c>
      <c r="B35" s="577"/>
      <c r="C35" s="577"/>
      <c r="D35" s="578"/>
      <c r="E35" s="578"/>
      <c r="F35" s="348"/>
      <c r="G35" s="348"/>
      <c r="H35" s="348"/>
      <c r="I35" s="348"/>
      <c r="J35" s="348"/>
      <c r="K35" s="348"/>
      <c r="L35" s="556"/>
      <c r="M35" s="348"/>
      <c r="N35" s="348"/>
      <c r="O35" s="348"/>
      <c r="P35" s="353"/>
      <c r="Q35" s="348"/>
      <c r="R35" s="348"/>
      <c r="S35" s="348"/>
      <c r="T35" s="353"/>
      <c r="U35" s="348"/>
      <c r="V35" s="348"/>
      <c r="W35" s="348"/>
      <c r="X35" s="353"/>
      <c r="Y35" s="348"/>
      <c r="Z35" s="348"/>
      <c r="AA35" s="348"/>
      <c r="AB35" s="353"/>
      <c r="AC35" s="348"/>
      <c r="AD35" s="348"/>
      <c r="AE35" s="348"/>
      <c r="AF35" s="353"/>
      <c r="AG35" s="348"/>
      <c r="AH35" s="348"/>
      <c r="AI35" s="348"/>
      <c r="AJ35" s="353"/>
      <c r="AK35" s="348"/>
      <c r="AL35" s="348"/>
      <c r="AM35" s="348"/>
      <c r="AN35" s="353"/>
      <c r="AO35" s="348"/>
      <c r="AP35" s="348"/>
      <c r="AQ35" s="348"/>
      <c r="AR35" s="353"/>
      <c r="AS35" s="348"/>
      <c r="AT35" s="348"/>
      <c r="AU35" s="348"/>
    </row>
    <row r="36" spans="1:47" ht="12.75" x14ac:dyDescent="0.2">
      <c r="A36" s="569" t="s">
        <v>619</v>
      </c>
      <c r="B36" s="356">
        <v>22400</v>
      </c>
      <c r="C36" s="356">
        <v>23933</v>
      </c>
      <c r="D36" s="356">
        <v>19286</v>
      </c>
      <c r="E36" s="356">
        <v>25927</v>
      </c>
      <c r="F36" s="356">
        <v>31838</v>
      </c>
      <c r="G36" s="356">
        <v>34700</v>
      </c>
      <c r="H36" s="356">
        <v>35329</v>
      </c>
      <c r="I36" s="356">
        <v>44534</v>
      </c>
      <c r="J36" s="356">
        <v>51437</v>
      </c>
      <c r="K36" s="356">
        <v>65398</v>
      </c>
      <c r="L36" s="556"/>
      <c r="M36" s="356">
        <v>22564</v>
      </c>
      <c r="N36" s="356">
        <v>22961</v>
      </c>
      <c r="O36" s="356">
        <v>19626</v>
      </c>
      <c r="P36" s="357">
        <v>19286</v>
      </c>
      <c r="Q36" s="356">
        <v>20895</v>
      </c>
      <c r="R36" s="356">
        <v>24822</v>
      </c>
      <c r="S36" s="356">
        <v>24502</v>
      </c>
      <c r="T36" s="357">
        <v>25928</v>
      </c>
      <c r="U36" s="356">
        <v>29719</v>
      </c>
      <c r="V36" s="356">
        <v>29001</v>
      </c>
      <c r="W36" s="356">
        <v>31101</v>
      </c>
      <c r="X36" s="357">
        <v>31838</v>
      </c>
      <c r="Y36" s="356">
        <v>33800</v>
      </c>
      <c r="Z36" s="356">
        <v>34582</v>
      </c>
      <c r="AA36" s="356">
        <v>35244</v>
      </c>
      <c r="AB36" s="357">
        <v>34700</v>
      </c>
      <c r="AC36" s="356">
        <v>36816</v>
      </c>
      <c r="AD36" s="356">
        <v>31698</v>
      </c>
      <c r="AE36" s="356">
        <v>33881</v>
      </c>
      <c r="AF36" s="357">
        <v>35329</v>
      </c>
      <c r="AG36" s="356">
        <v>38250</v>
      </c>
      <c r="AH36" s="356">
        <v>38294</v>
      </c>
      <c r="AI36" s="356">
        <v>42560</v>
      </c>
      <c r="AJ36" s="357">
        <v>44534</v>
      </c>
      <c r="AK36" s="356">
        <v>47401</v>
      </c>
      <c r="AL36" s="356">
        <v>49523</v>
      </c>
      <c r="AM36" s="356">
        <v>51181</v>
      </c>
      <c r="AN36" s="357">
        <v>51437</v>
      </c>
      <c r="AO36" s="356">
        <v>60896</v>
      </c>
      <c r="AP36" s="356">
        <v>60750</v>
      </c>
      <c r="AQ36" s="356">
        <v>62285</v>
      </c>
      <c r="AR36" s="357">
        <v>65398</v>
      </c>
      <c r="AS36" s="356">
        <v>64008</v>
      </c>
      <c r="AT36" s="356">
        <v>60113</v>
      </c>
      <c r="AU36" s="356">
        <v>62124</v>
      </c>
    </row>
    <row r="37" spans="1:47" ht="12.75" x14ac:dyDescent="0.2">
      <c r="A37" s="569" t="s">
        <v>222</v>
      </c>
      <c r="B37" s="356">
        <v>21727</v>
      </c>
      <c r="C37" s="356">
        <v>23167</v>
      </c>
      <c r="D37" s="356">
        <v>21674</v>
      </c>
      <c r="E37" s="356">
        <v>23086</v>
      </c>
      <c r="F37" s="356">
        <v>29518</v>
      </c>
      <c r="G37" s="356">
        <v>34033</v>
      </c>
      <c r="H37" s="356">
        <v>34485</v>
      </c>
      <c r="I37" s="356">
        <v>39794</v>
      </c>
      <c r="J37" s="356">
        <v>48815</v>
      </c>
      <c r="K37" s="356">
        <v>60153</v>
      </c>
      <c r="L37" s="556"/>
      <c r="M37" s="356"/>
      <c r="N37" s="356"/>
      <c r="O37" s="356"/>
      <c r="P37" s="357"/>
      <c r="Q37" s="356">
        <v>21066</v>
      </c>
      <c r="R37" s="356">
        <v>21518</v>
      </c>
      <c r="S37" s="356">
        <v>21826</v>
      </c>
      <c r="T37" s="357">
        <v>23086</v>
      </c>
      <c r="U37" s="356">
        <v>25173</v>
      </c>
      <c r="V37" s="356">
        <v>26794</v>
      </c>
      <c r="W37" s="356">
        <v>28050</v>
      </c>
      <c r="X37" s="357">
        <v>29518</v>
      </c>
      <c r="Y37" s="356">
        <v>31092</v>
      </c>
      <c r="Z37" s="356">
        <v>32065</v>
      </c>
      <c r="AA37" s="356">
        <v>33313</v>
      </c>
      <c r="AB37" s="357">
        <v>34033</v>
      </c>
      <c r="AC37" s="356">
        <v>35029</v>
      </c>
      <c r="AD37" s="356">
        <v>34608</v>
      </c>
      <c r="AE37" s="356">
        <v>34468</v>
      </c>
      <c r="AF37" s="357">
        <v>34485</v>
      </c>
      <c r="AG37" s="356">
        <v>35195</v>
      </c>
      <c r="AH37" s="356">
        <v>35491</v>
      </c>
      <c r="AI37" s="356">
        <v>37663</v>
      </c>
      <c r="AJ37" s="357">
        <v>39794</v>
      </c>
      <c r="AK37" s="356">
        <v>42208</v>
      </c>
      <c r="AL37" s="356">
        <v>44463</v>
      </c>
      <c r="AM37" s="356">
        <v>47040</v>
      </c>
      <c r="AN37" s="357">
        <v>48815</v>
      </c>
      <c r="AO37" s="356">
        <v>52087</v>
      </c>
      <c r="AP37" s="356">
        <v>54757</v>
      </c>
      <c r="AQ37" s="356">
        <v>57310</v>
      </c>
      <c r="AR37" s="357">
        <v>60153</v>
      </c>
      <c r="AS37" s="356">
        <v>62667</v>
      </c>
      <c r="AT37" s="356">
        <v>62511</v>
      </c>
      <c r="AU37" s="356">
        <v>62786</v>
      </c>
    </row>
    <row r="38" spans="1:47" ht="12.75" x14ac:dyDescent="0.2">
      <c r="A38" s="618" t="s">
        <v>620</v>
      </c>
      <c r="B38" s="584"/>
      <c r="C38" s="619">
        <v>22696</v>
      </c>
      <c r="D38" s="572">
        <v>20812</v>
      </c>
      <c r="E38" s="572">
        <v>19469</v>
      </c>
      <c r="F38" s="356">
        <v>23221</v>
      </c>
      <c r="G38" s="356">
        <v>21818</v>
      </c>
      <c r="H38" s="356">
        <v>21543</v>
      </c>
      <c r="I38" s="356">
        <v>29477.371770221318</v>
      </c>
      <c r="J38" s="356">
        <v>42896</v>
      </c>
      <c r="K38" s="356">
        <v>51915.8</v>
      </c>
      <c r="L38" s="556"/>
      <c r="M38" s="356"/>
      <c r="N38" s="356"/>
      <c r="O38" s="356"/>
      <c r="P38" s="357"/>
      <c r="Q38" s="620"/>
      <c r="R38" s="356"/>
      <c r="S38" s="356"/>
      <c r="T38" s="357">
        <v>19469</v>
      </c>
      <c r="U38" s="356">
        <v>20843</v>
      </c>
      <c r="V38" s="356">
        <v>21938</v>
      </c>
      <c r="W38" s="356">
        <v>22672</v>
      </c>
      <c r="X38" s="357">
        <v>23221</v>
      </c>
      <c r="Y38" s="356">
        <v>23925</v>
      </c>
      <c r="Z38" s="356">
        <v>23372</v>
      </c>
      <c r="AA38" s="356">
        <v>22746</v>
      </c>
      <c r="AB38" s="357">
        <v>21818</v>
      </c>
      <c r="AC38" s="356">
        <v>21285</v>
      </c>
      <c r="AD38" s="596">
        <v>20722</v>
      </c>
      <c r="AE38" s="596">
        <v>20834</v>
      </c>
      <c r="AF38" s="357">
        <v>21542.6</v>
      </c>
      <c r="AG38" s="356">
        <v>23021.970801846481</v>
      </c>
      <c r="AH38" s="596">
        <v>24460</v>
      </c>
      <c r="AI38" s="596">
        <v>26462.624793486983</v>
      </c>
      <c r="AJ38" s="357">
        <v>29477.371770221318</v>
      </c>
      <c r="AK38" s="356">
        <v>33132.327424038442</v>
      </c>
      <c r="AL38" s="596">
        <v>36639</v>
      </c>
      <c r="AM38" s="596">
        <v>40026</v>
      </c>
      <c r="AN38" s="357">
        <v>42896.399999999987</v>
      </c>
      <c r="AO38" s="356">
        <v>44857.980210288457</v>
      </c>
      <c r="AP38" s="596">
        <v>47126</v>
      </c>
      <c r="AQ38" s="596">
        <v>49242.62779445976</v>
      </c>
      <c r="AR38" s="357">
        <v>51915.8</v>
      </c>
      <c r="AS38" s="356">
        <v>53888.608753496635</v>
      </c>
      <c r="AT38" s="596">
        <v>54976.585827215516</v>
      </c>
      <c r="AU38" s="596">
        <v>54561.231311358002</v>
      </c>
    </row>
    <row r="39" spans="1:47" ht="12.75" x14ac:dyDescent="0.2">
      <c r="A39" s="569"/>
      <c r="B39" s="577"/>
      <c r="C39" s="577"/>
      <c r="D39" s="578"/>
      <c r="E39" s="578"/>
      <c r="F39" s="348"/>
      <c r="G39" s="348"/>
      <c r="H39" s="348"/>
      <c r="I39" s="348"/>
      <c r="J39" s="348"/>
      <c r="K39" s="348"/>
      <c r="L39" s="556"/>
      <c r="M39" s="348"/>
      <c r="N39" s="348"/>
      <c r="O39" s="348"/>
      <c r="P39" s="353"/>
      <c r="Q39" s="348"/>
      <c r="R39" s="348"/>
      <c r="S39" s="348"/>
      <c r="T39" s="353"/>
      <c r="U39" s="348"/>
      <c r="V39" s="348"/>
      <c r="W39" s="348"/>
      <c r="X39" s="353"/>
      <c r="Y39" s="348"/>
      <c r="Z39" s="348"/>
      <c r="AA39" s="348"/>
      <c r="AB39" s="353"/>
      <c r="AC39" s="348"/>
      <c r="AD39" s="348"/>
      <c r="AE39" s="348"/>
      <c r="AF39" s="353"/>
      <c r="AG39" s="348"/>
      <c r="AH39" s="348"/>
      <c r="AI39" s="348"/>
      <c r="AJ39" s="353"/>
      <c r="AK39" s="348"/>
      <c r="AL39" s="348"/>
      <c r="AM39" s="348"/>
      <c r="AN39" s="353"/>
      <c r="AO39" s="348"/>
      <c r="AP39" s="348"/>
      <c r="AQ39" s="348"/>
      <c r="AR39" s="353"/>
      <c r="AS39" s="348"/>
      <c r="AT39" s="348"/>
      <c r="AU39" s="348"/>
    </row>
    <row r="40" spans="1:47" ht="12.75" x14ac:dyDescent="0.2">
      <c r="A40" s="569" t="s">
        <v>621</v>
      </c>
      <c r="B40" s="604">
        <v>23.8</v>
      </c>
      <c r="C40" s="604">
        <v>19.600000000000001</v>
      </c>
      <c r="D40" s="621">
        <v>27.4</v>
      </c>
      <c r="E40" s="621">
        <v>32</v>
      </c>
      <c r="F40" s="348">
        <v>27.6</v>
      </c>
      <c r="G40" s="348">
        <v>21.7</v>
      </c>
      <c r="H40" s="348">
        <v>26.1</v>
      </c>
      <c r="I40" s="580">
        <v>28</v>
      </c>
      <c r="J40" s="580">
        <v>27</v>
      </c>
      <c r="K40" s="580">
        <v>20.589164297707512</v>
      </c>
      <c r="L40" s="556"/>
      <c r="M40" s="348"/>
      <c r="N40" s="348"/>
      <c r="O40" s="348"/>
      <c r="P40" s="353"/>
      <c r="Q40" s="580">
        <v>28.629070540206968</v>
      </c>
      <c r="R40" s="580">
        <v>29.617064782972395</v>
      </c>
      <c r="S40" s="580">
        <v>30.930999725098506</v>
      </c>
      <c r="T40" s="590">
        <v>31.989084293511215</v>
      </c>
      <c r="U40" s="580">
        <v>30.985767121874623</v>
      </c>
      <c r="V40" s="580">
        <v>30.800109626174521</v>
      </c>
      <c r="W40" s="580">
        <v>29.524719254647415</v>
      </c>
      <c r="X40" s="590">
        <v>27.562846347439528</v>
      </c>
      <c r="Y40" s="580">
        <v>26.17</v>
      </c>
      <c r="Z40" s="580">
        <v>22.741306720723532</v>
      </c>
      <c r="AA40" s="580">
        <v>21.571158406628044</v>
      </c>
      <c r="AB40" s="590">
        <v>21.7</v>
      </c>
      <c r="AC40" s="580">
        <v>20.888406748693939</v>
      </c>
      <c r="AD40" s="580">
        <v>23.4</v>
      </c>
      <c r="AE40" s="580">
        <v>25</v>
      </c>
      <c r="AF40" s="590">
        <v>26.083804552704077</v>
      </c>
      <c r="AG40" s="580">
        <v>27.731211819860775</v>
      </c>
      <c r="AH40" s="580">
        <v>28.057817474852779</v>
      </c>
      <c r="AI40" s="580">
        <v>27.894750816451158</v>
      </c>
      <c r="AJ40" s="590">
        <v>28.011760566919637</v>
      </c>
      <c r="AK40" s="580">
        <v>27.665371493555725</v>
      </c>
      <c r="AL40" s="580">
        <v>28.6</v>
      </c>
      <c r="AM40" s="580">
        <v>27.782738095238095</v>
      </c>
      <c r="AN40" s="590">
        <v>27.006043224418725</v>
      </c>
      <c r="AO40" s="580">
        <v>24.539712404246742</v>
      </c>
      <c r="AP40" s="580">
        <v>22.444618952827948</v>
      </c>
      <c r="AQ40" s="580">
        <v>21.4726923748037</v>
      </c>
      <c r="AR40" s="590">
        <v>20.589164297707512</v>
      </c>
      <c r="AS40" s="580">
        <v>20.286594220243508</v>
      </c>
      <c r="AT40" s="580">
        <v>20.193245988705989</v>
      </c>
      <c r="AU40" s="580">
        <v>19.349855063230656</v>
      </c>
    </row>
    <row r="41" spans="1:47" ht="12.75" x14ac:dyDescent="0.2">
      <c r="A41" s="569" t="s">
        <v>622</v>
      </c>
      <c r="B41" s="605"/>
      <c r="C41" s="605"/>
      <c r="D41" s="605" t="s">
        <v>623</v>
      </c>
      <c r="E41" s="605" t="s">
        <v>624</v>
      </c>
      <c r="F41" s="605" t="s">
        <v>623</v>
      </c>
      <c r="G41" s="605" t="s">
        <v>625</v>
      </c>
      <c r="H41" s="605">
        <v>1.1000000000000001</v>
      </c>
      <c r="I41" s="605">
        <v>1.2487812232999951</v>
      </c>
      <c r="J41" s="605">
        <v>1.2</v>
      </c>
      <c r="K41" s="605">
        <v>1.0573537479427459</v>
      </c>
      <c r="L41" s="556"/>
      <c r="M41" s="356"/>
      <c r="N41" s="348"/>
      <c r="O41" s="348"/>
      <c r="P41" s="353"/>
      <c r="Q41" s="605" t="s">
        <v>626</v>
      </c>
      <c r="R41" s="605" t="s">
        <v>627</v>
      </c>
      <c r="S41" s="605" t="s">
        <v>624</v>
      </c>
      <c r="T41" s="607" t="s">
        <v>624</v>
      </c>
      <c r="U41" s="605" t="s">
        <v>627</v>
      </c>
      <c r="V41" s="605" t="s">
        <v>626</v>
      </c>
      <c r="W41" s="605" t="s">
        <v>626</v>
      </c>
      <c r="X41" s="607" t="s">
        <v>623</v>
      </c>
      <c r="Y41" s="605" t="s">
        <v>261</v>
      </c>
      <c r="Z41" s="605" t="s">
        <v>628</v>
      </c>
      <c r="AA41" s="605" t="s">
        <v>625</v>
      </c>
      <c r="AB41" s="607" t="s">
        <v>625</v>
      </c>
      <c r="AC41" s="605">
        <v>1.0209255188558053</v>
      </c>
      <c r="AD41" s="605">
        <v>1.1000000000000001</v>
      </c>
      <c r="AE41" s="605">
        <v>1.1000000000000001</v>
      </c>
      <c r="AF41" s="607">
        <v>1.149630274032188</v>
      </c>
      <c r="AG41" s="605">
        <v>1.1922148032390965</v>
      </c>
      <c r="AH41" s="605">
        <v>1.2424276577160407</v>
      </c>
      <c r="AI41" s="605">
        <v>1.2460505004911984</v>
      </c>
      <c r="AJ41" s="607">
        <v>1.2487812232999951</v>
      </c>
      <c r="AK41" s="605">
        <v>1.2432003411675512</v>
      </c>
      <c r="AL41" s="605">
        <v>1.3</v>
      </c>
      <c r="AM41" s="605">
        <v>1.2481079931972789</v>
      </c>
      <c r="AN41" s="607">
        <v>1.2361569189798218</v>
      </c>
      <c r="AO41" s="605">
        <v>1.1637836696296582</v>
      </c>
      <c r="AP41" s="605">
        <v>1.1180123089285388</v>
      </c>
      <c r="AQ41" s="605">
        <v>1.0804746117606003</v>
      </c>
      <c r="AR41" s="607">
        <v>1.0573537479427459</v>
      </c>
      <c r="AS41" s="605">
        <v>1.0371646959324685</v>
      </c>
      <c r="AT41" s="605">
        <v>1.0176608916830638</v>
      </c>
      <c r="AU41" s="605">
        <v>1.0059248877138216</v>
      </c>
    </row>
    <row r="42" spans="1:47" ht="12.75" x14ac:dyDescent="0.2">
      <c r="A42" s="569" t="s">
        <v>629</v>
      </c>
      <c r="B42" s="588"/>
      <c r="C42" s="588"/>
      <c r="D42" s="588">
        <v>5424</v>
      </c>
      <c r="E42" s="356">
        <v>1208</v>
      </c>
      <c r="F42" s="356">
        <v>483</v>
      </c>
      <c r="G42" s="356">
        <v>-4137</v>
      </c>
      <c r="H42" s="356">
        <v>-1304</v>
      </c>
      <c r="I42" s="356">
        <v>3691</v>
      </c>
      <c r="J42" s="356">
        <v>7824</v>
      </c>
      <c r="K42" s="356">
        <v>14778</v>
      </c>
      <c r="L42" s="556"/>
      <c r="M42" s="588"/>
      <c r="N42" s="588"/>
      <c r="O42" s="588"/>
      <c r="P42" s="589"/>
      <c r="Q42" s="588">
        <v>2550</v>
      </c>
      <c r="R42" s="588">
        <v>3027</v>
      </c>
      <c r="S42" s="588">
        <v>3146</v>
      </c>
      <c r="T42" s="589">
        <v>1208</v>
      </c>
      <c r="U42" s="588">
        <v>3641.4269999999997</v>
      </c>
      <c r="V42" s="588">
        <v>4217.08</v>
      </c>
      <c r="W42" s="588">
        <v>2416</v>
      </c>
      <c r="X42" s="589">
        <v>483</v>
      </c>
      <c r="Y42" s="588">
        <v>-1191</v>
      </c>
      <c r="Z42" s="588">
        <v>-1819</v>
      </c>
      <c r="AA42" s="588">
        <v>-3638</v>
      </c>
      <c r="AB42" s="589">
        <v>-4137</v>
      </c>
      <c r="AC42" s="588">
        <v>-5747</v>
      </c>
      <c r="AD42" s="588">
        <v>-322</v>
      </c>
      <c r="AE42" s="588">
        <v>-1191</v>
      </c>
      <c r="AF42" s="589">
        <v>-1304</v>
      </c>
      <c r="AG42" s="588">
        <v>-1844</v>
      </c>
      <c r="AH42" s="588">
        <v>-876</v>
      </c>
      <c r="AI42" s="588">
        <v>-1545</v>
      </c>
      <c r="AJ42" s="589">
        <v>3691</v>
      </c>
      <c r="AK42" s="588">
        <v>7281</v>
      </c>
      <c r="AL42" s="588">
        <v>9099</v>
      </c>
      <c r="AM42" s="588">
        <v>7643</v>
      </c>
      <c r="AN42" s="589">
        <v>7824</v>
      </c>
      <c r="AO42" s="588">
        <v>6076</v>
      </c>
      <c r="AP42" s="588">
        <v>15801</v>
      </c>
      <c r="AQ42" s="588">
        <v>15152</v>
      </c>
      <c r="AR42" s="589">
        <v>14778</v>
      </c>
      <c r="AS42" s="588">
        <v>-12317</v>
      </c>
      <c r="AT42" s="588">
        <v>-13284</v>
      </c>
      <c r="AU42" s="588">
        <v>-11088</v>
      </c>
    </row>
    <row r="43" spans="1:47" ht="12.75" x14ac:dyDescent="0.2">
      <c r="A43" s="569" t="s">
        <v>630</v>
      </c>
      <c r="B43" s="348"/>
      <c r="C43" s="622"/>
      <c r="D43" s="622">
        <v>0.75</v>
      </c>
      <c r="E43" s="622">
        <v>0.14000000000000001</v>
      </c>
      <c r="F43" s="622">
        <v>0.05</v>
      </c>
      <c r="G43" s="622">
        <v>-0.45</v>
      </c>
      <c r="H43" s="622">
        <v>-0.12</v>
      </c>
      <c r="I43" s="622">
        <v>0.27802048809882496</v>
      </c>
      <c r="J43" s="622">
        <v>0.49</v>
      </c>
      <c r="K43" s="622">
        <v>0.93377985593327439</v>
      </c>
      <c r="L43" s="556"/>
      <c r="M43" s="623"/>
      <c r="N43" s="623"/>
      <c r="O43" s="622"/>
      <c r="P43" s="624"/>
      <c r="Q43" s="623">
        <v>0.35</v>
      </c>
      <c r="R43" s="623">
        <v>0.4</v>
      </c>
      <c r="S43" s="623">
        <v>0.38791615289765724</v>
      </c>
      <c r="T43" s="624">
        <v>0.13800982520278762</v>
      </c>
      <c r="U43" s="623">
        <v>0.39058675357930728</v>
      </c>
      <c r="V43" s="623">
        <v>0.42589323462248035</v>
      </c>
      <c r="W43" s="623">
        <v>0.24015541667866708</v>
      </c>
      <c r="X43" s="624">
        <v>0.05</v>
      </c>
      <c r="Y43" s="623">
        <v>-0.12</v>
      </c>
      <c r="Z43" s="623">
        <v>-0.19745983499782893</v>
      </c>
      <c r="AA43" s="623">
        <v>-0.40525788125208867</v>
      </c>
      <c r="AB43" s="624">
        <v>-0.45</v>
      </c>
      <c r="AC43" s="623">
        <v>-0.63827187916481565</v>
      </c>
      <c r="AD43" s="623">
        <v>-0.03</v>
      </c>
      <c r="AE43" s="623">
        <v>-0.12</v>
      </c>
      <c r="AF43" s="624">
        <v>-0.12150837988826815</v>
      </c>
      <c r="AG43" s="623">
        <v>-0.15911640348606437</v>
      </c>
      <c r="AH43" s="623">
        <v>-7.3843041389193287E-2</v>
      </c>
      <c r="AI43" s="623">
        <v>-0.12384769539078157</v>
      </c>
      <c r="AJ43" s="624">
        <v>0.27802048809882496</v>
      </c>
      <c r="AK43" s="623">
        <v>0.5210017889087657</v>
      </c>
      <c r="AL43" s="623">
        <v>0.6</v>
      </c>
      <c r="AM43" s="623">
        <v>0.48684629594241674</v>
      </c>
      <c r="AN43" s="624">
        <v>0.49381469325927796</v>
      </c>
      <c r="AO43" s="623">
        <v>0.39245575507040437</v>
      </c>
      <c r="AP43" s="623">
        <v>1.0440700363396103</v>
      </c>
      <c r="AQ43" s="623">
        <v>0.97016263285952109</v>
      </c>
      <c r="AR43" s="624">
        <v>0.93377985593327439</v>
      </c>
      <c r="AS43" s="623">
        <v>0.75750307503075032</v>
      </c>
      <c r="AT43" s="623">
        <v>0.82248777165500586</v>
      </c>
      <c r="AU43" s="623">
        <v>0.7259395050412466</v>
      </c>
    </row>
    <row r="44" spans="1:47" ht="12.75" x14ac:dyDescent="0.2">
      <c r="A44" s="584" t="s">
        <v>631</v>
      </c>
      <c r="B44" s="348"/>
      <c r="C44" s="625"/>
      <c r="D44" s="625">
        <v>45.02</v>
      </c>
      <c r="E44" s="592">
        <v>6.4</v>
      </c>
      <c r="F44" s="626">
        <v>2.1</v>
      </c>
      <c r="G44" s="348">
        <v>-17.399999999999999</v>
      </c>
      <c r="H44" s="348">
        <v>-5.0999999999999996</v>
      </c>
      <c r="I44" s="580">
        <v>11</v>
      </c>
      <c r="J44" s="580">
        <v>21</v>
      </c>
      <c r="K44" s="580">
        <v>34.224177860120427</v>
      </c>
      <c r="L44" s="556"/>
      <c r="M44" s="625"/>
      <c r="N44" s="625"/>
      <c r="O44" s="625"/>
      <c r="P44" s="627"/>
      <c r="Q44" s="625">
        <v>15.8</v>
      </c>
      <c r="R44" s="625">
        <v>17.3</v>
      </c>
      <c r="S44" s="625">
        <v>18.074227277950133</v>
      </c>
      <c r="T44" s="627">
        <v>6.4095081445322863</v>
      </c>
      <c r="U44" s="625">
        <v>17.60419144307469</v>
      </c>
      <c r="V44" s="625">
        <v>21.203077077781689</v>
      </c>
      <c r="W44" s="625">
        <v>11.065310982870752</v>
      </c>
      <c r="X44" s="627">
        <v>2.1151740748850449</v>
      </c>
      <c r="Y44" s="625">
        <v>-4.8</v>
      </c>
      <c r="Z44" s="625">
        <v>-7.7791557969464993</v>
      </c>
      <c r="AA44" s="625">
        <v>-14.815116468480207</v>
      </c>
      <c r="AB44" s="627">
        <v>-17.399999999999999</v>
      </c>
      <c r="AC44" s="625">
        <v>-21.930092345264445</v>
      </c>
      <c r="AD44" s="625">
        <v>-1.5</v>
      </c>
      <c r="AE44" s="625">
        <v>-5.0999999999999996</v>
      </c>
      <c r="AF44" s="627">
        <v>-5.0999999999999996</v>
      </c>
      <c r="AG44" s="625">
        <v>-6.3990005899295603</v>
      </c>
      <c r="AH44" s="625">
        <v>-3.1</v>
      </c>
      <c r="AI44" s="625">
        <v>-4.9000000000000004</v>
      </c>
      <c r="AJ44" s="627">
        <v>11.015608678783538</v>
      </c>
      <c r="AK44" s="625">
        <v>20.530100098688848</v>
      </c>
      <c r="AL44" s="625">
        <v>25.8</v>
      </c>
      <c r="AM44" s="625">
        <v>20.576674563859573</v>
      </c>
      <c r="AN44" s="627">
        <v>21.026605751142167</v>
      </c>
      <c r="AO44" s="625">
        <v>14.90530860563242</v>
      </c>
      <c r="AP44" s="625">
        <v>41.47071173630065</v>
      </c>
      <c r="AQ44" s="625">
        <v>38.233661367650768</v>
      </c>
      <c r="AR44" s="627">
        <v>34.224177860120427</v>
      </c>
      <c r="AS44" s="625">
        <v>29.000965364601726</v>
      </c>
      <c r="AT44" s="625">
        <v>34.418074411856153</v>
      </c>
      <c r="AU44" s="625">
        <v>27.44962123087587</v>
      </c>
    </row>
    <row r="45" spans="1:47" ht="12.75" x14ac:dyDescent="0.2">
      <c r="A45" s="569" t="s">
        <v>632</v>
      </c>
      <c r="B45" s="348"/>
      <c r="C45" s="625"/>
      <c r="D45" s="625">
        <v>43.73</v>
      </c>
      <c r="E45" s="592">
        <v>52.1</v>
      </c>
      <c r="F45" s="628">
        <v>55.591295660014126</v>
      </c>
      <c r="G45" s="348">
        <v>54.1</v>
      </c>
      <c r="H45" s="348">
        <v>53.1</v>
      </c>
      <c r="I45" s="580">
        <v>54.24</v>
      </c>
      <c r="J45" s="580">
        <v>54.9</v>
      </c>
      <c r="K45" s="580">
        <v>51.658750762678409</v>
      </c>
      <c r="L45" s="556"/>
      <c r="M45" s="625"/>
      <c r="N45" s="625"/>
      <c r="O45" s="588"/>
      <c r="P45" s="627"/>
      <c r="Q45" s="625">
        <v>52.8</v>
      </c>
      <c r="R45" s="625">
        <v>50.1</v>
      </c>
      <c r="S45" s="625">
        <v>50.471192043378664</v>
      </c>
      <c r="T45" s="627">
        <v>52.128336329691606</v>
      </c>
      <c r="U45" s="625">
        <v>52.153194493469826</v>
      </c>
      <c r="V45" s="625">
        <v>49.539204941715653</v>
      </c>
      <c r="W45" s="625">
        <v>52.580373269114986</v>
      </c>
      <c r="X45" s="627">
        <v>55.591295660014126</v>
      </c>
      <c r="Y45" s="625">
        <v>56.6</v>
      </c>
      <c r="Z45" s="625">
        <v>52.75352509870276</v>
      </c>
      <c r="AA45" s="625">
        <v>55.016355244880586</v>
      </c>
      <c r="AB45" s="627">
        <v>54.1</v>
      </c>
      <c r="AC45" s="625">
        <v>55.933578075642451</v>
      </c>
      <c r="AD45" s="625">
        <v>47.2</v>
      </c>
      <c r="AE45" s="625">
        <v>49.3</v>
      </c>
      <c r="AF45" s="627">
        <v>53.07630555155307</v>
      </c>
      <c r="AG45" s="625">
        <v>54.983781721045602</v>
      </c>
      <c r="AH45" s="625">
        <v>51.604133659801242</v>
      </c>
      <c r="AI45" s="625">
        <v>51.499578496854937</v>
      </c>
      <c r="AJ45" s="627">
        <v>54.235998705082558</v>
      </c>
      <c r="AK45" s="625">
        <v>54.308377869316885</v>
      </c>
      <c r="AL45" s="625">
        <v>50.1</v>
      </c>
      <c r="AM45" s="625">
        <v>52.58136209849804</v>
      </c>
      <c r="AN45" s="627">
        <v>54.894150623294237</v>
      </c>
      <c r="AO45" s="625">
        <v>52.306468376682538</v>
      </c>
      <c r="AP45" s="625">
        <v>47.0326849017478</v>
      </c>
      <c r="AQ45" s="625">
        <v>48.586420812593481</v>
      </c>
      <c r="AR45" s="627">
        <v>51.658750762678409</v>
      </c>
      <c r="AS45" s="625">
        <v>52.531911735602613</v>
      </c>
      <c r="AT45" s="625">
        <v>48.639588663028817</v>
      </c>
      <c r="AU45" s="625">
        <v>49.639324116743474</v>
      </c>
    </row>
    <row r="46" spans="1:47" ht="12.75" x14ac:dyDescent="0.2">
      <c r="A46" s="569" t="s">
        <v>633</v>
      </c>
      <c r="B46" s="588"/>
      <c r="C46" s="588"/>
      <c r="D46" s="588">
        <v>9991</v>
      </c>
      <c r="E46" s="356">
        <v>12158.310218541281</v>
      </c>
      <c r="F46" s="356">
        <v>14062</v>
      </c>
      <c r="G46" s="356">
        <v>12217</v>
      </c>
      <c r="H46" s="356">
        <v>11495</v>
      </c>
      <c r="I46" s="356">
        <v>15570</v>
      </c>
      <c r="J46" s="356">
        <v>21228</v>
      </c>
      <c r="K46" s="356">
        <v>23803</v>
      </c>
      <c r="L46" s="556"/>
      <c r="M46" s="588"/>
      <c r="N46" s="588"/>
      <c r="O46" s="588"/>
      <c r="P46" s="589"/>
      <c r="Q46" s="588">
        <v>10228</v>
      </c>
      <c r="R46" s="588">
        <v>10817</v>
      </c>
      <c r="S46" s="588">
        <v>11538</v>
      </c>
      <c r="T46" s="589">
        <v>12158.310218541281</v>
      </c>
      <c r="U46" s="588">
        <v>12993.24779212676</v>
      </c>
      <c r="V46" s="588">
        <v>13720.374903944379</v>
      </c>
      <c r="W46" s="588">
        <v>14124.048043147603</v>
      </c>
      <c r="X46" s="589">
        <v>14062</v>
      </c>
      <c r="Y46" s="588">
        <v>14174</v>
      </c>
      <c r="Z46" s="588">
        <v>13721</v>
      </c>
      <c r="AA46" s="588">
        <v>13127</v>
      </c>
      <c r="AB46" s="589">
        <v>12217</v>
      </c>
      <c r="AC46" s="588">
        <v>11836</v>
      </c>
      <c r="AD46" s="588">
        <v>11418</v>
      </c>
      <c r="AE46" s="588">
        <v>11422</v>
      </c>
      <c r="AF46" s="589">
        <v>11495</v>
      </c>
      <c r="AG46" s="588">
        <v>12139</v>
      </c>
      <c r="AH46" s="588">
        <v>13002</v>
      </c>
      <c r="AI46" s="588">
        <v>14277</v>
      </c>
      <c r="AJ46" s="589">
        <v>15570</v>
      </c>
      <c r="AK46" s="588">
        <v>17221</v>
      </c>
      <c r="AL46" s="588">
        <v>18946</v>
      </c>
      <c r="AM46" s="588">
        <v>20430</v>
      </c>
      <c r="AN46" s="589">
        <v>21228</v>
      </c>
      <c r="AO46" s="588">
        <v>22219</v>
      </c>
      <c r="AP46" s="588">
        <v>23140</v>
      </c>
      <c r="AQ46" s="588">
        <v>23535</v>
      </c>
      <c r="AR46" s="589">
        <v>23803</v>
      </c>
      <c r="AS46" s="588">
        <v>24002</v>
      </c>
      <c r="AT46" s="588">
        <v>23846</v>
      </c>
      <c r="AU46" s="588">
        <v>23356</v>
      </c>
    </row>
    <row r="47" spans="1:47" ht="12.75" x14ac:dyDescent="0.2">
      <c r="A47" s="569" t="s">
        <v>634</v>
      </c>
      <c r="B47" s="588"/>
      <c r="C47" s="588"/>
      <c r="D47" s="588">
        <v>10173</v>
      </c>
      <c r="E47" s="356">
        <v>12896.551092706401</v>
      </c>
      <c r="F47" s="356">
        <v>13153</v>
      </c>
      <c r="G47" s="356">
        <v>10571</v>
      </c>
      <c r="H47" s="356">
        <v>12186</v>
      </c>
      <c r="I47" s="356">
        <v>18564</v>
      </c>
      <c r="J47" s="356">
        <v>21736</v>
      </c>
      <c r="K47" s="356">
        <v>24322</v>
      </c>
      <c r="L47" s="556"/>
      <c r="M47" s="588"/>
      <c r="N47" s="588"/>
      <c r="O47" s="348"/>
      <c r="P47" s="589"/>
      <c r="Q47" s="588">
        <v>11155</v>
      </c>
      <c r="R47" s="588">
        <v>13102</v>
      </c>
      <c r="S47" s="588">
        <v>13465</v>
      </c>
      <c r="T47" s="589">
        <v>12896.551092706401</v>
      </c>
      <c r="U47" s="588">
        <v>14347.6878679274</v>
      </c>
      <c r="V47" s="588">
        <v>14790.635559088099</v>
      </c>
      <c r="W47" s="588">
        <v>15120.365696016101</v>
      </c>
      <c r="X47" s="589">
        <v>13153</v>
      </c>
      <c r="Y47" s="588">
        <v>13457</v>
      </c>
      <c r="Z47" s="588">
        <v>12084</v>
      </c>
      <c r="AA47" s="588">
        <v>11821</v>
      </c>
      <c r="AB47" s="589">
        <v>10571</v>
      </c>
      <c r="AC47" s="588">
        <v>11245</v>
      </c>
      <c r="AD47" s="588">
        <v>11368</v>
      </c>
      <c r="AE47" s="588">
        <v>12104</v>
      </c>
      <c r="AF47" s="589">
        <v>12186</v>
      </c>
      <c r="AG47" s="588">
        <v>13793</v>
      </c>
      <c r="AH47" s="588">
        <v>15561</v>
      </c>
      <c r="AI47" s="588">
        <v>17744</v>
      </c>
      <c r="AJ47" s="589">
        <v>18564</v>
      </c>
      <c r="AK47" s="588">
        <v>20442</v>
      </c>
      <c r="AL47" s="588">
        <v>22420</v>
      </c>
      <c r="AM47" s="588">
        <v>22978</v>
      </c>
      <c r="AN47" s="589">
        <v>21736</v>
      </c>
      <c r="AO47" s="588">
        <v>23520</v>
      </c>
      <c r="AP47" s="588">
        <v>25045</v>
      </c>
      <c r="AQ47" s="588">
        <v>24395</v>
      </c>
      <c r="AR47" s="589">
        <v>24322</v>
      </c>
      <c r="AS47" s="588">
        <v>22729</v>
      </c>
      <c r="AT47" s="588">
        <v>22739</v>
      </c>
      <c r="AU47" s="588">
        <v>22598</v>
      </c>
    </row>
    <row r="48" spans="1:47" ht="12.75" x14ac:dyDescent="0.2">
      <c r="A48" s="569" t="s">
        <v>635</v>
      </c>
      <c r="B48" s="348"/>
      <c r="C48" s="348"/>
      <c r="D48" s="348">
        <v>31.9</v>
      </c>
      <c r="E48" s="626">
        <v>31.757372909863602</v>
      </c>
      <c r="F48" s="626">
        <v>34.4</v>
      </c>
      <c r="G48" s="626">
        <v>33.799999999999997</v>
      </c>
      <c r="H48" s="626">
        <v>29</v>
      </c>
      <c r="I48" s="626">
        <v>31.331750311908884</v>
      </c>
      <c r="J48" s="626">
        <v>35.200000000000003</v>
      </c>
      <c r="K48" s="626">
        <v>37.424335330094493</v>
      </c>
      <c r="L48" s="556"/>
      <c r="M48" s="348"/>
      <c r="N48" s="348"/>
      <c r="O48" s="348"/>
      <c r="P48" s="353"/>
      <c r="Q48" s="348">
        <v>31.8</v>
      </c>
      <c r="R48" s="348">
        <v>31.7</v>
      </c>
      <c r="S48" s="580">
        <v>31.880854356055373</v>
      </c>
      <c r="T48" s="590">
        <v>31.757372909863602</v>
      </c>
      <c r="U48" s="580">
        <v>32.616312392343204</v>
      </c>
      <c r="V48" s="580">
        <v>33.776837651793358</v>
      </c>
      <c r="W48" s="580">
        <v>34.342353077618654</v>
      </c>
      <c r="X48" s="590">
        <v>34.4</v>
      </c>
      <c r="Y48" s="580">
        <v>35.299999999999997</v>
      </c>
      <c r="Z48" s="580">
        <v>36.080359725472668</v>
      </c>
      <c r="AA48" s="580">
        <v>35.870040441578318</v>
      </c>
      <c r="AB48" s="590">
        <v>33.799999999999997</v>
      </c>
      <c r="AC48" s="580">
        <v>33.096582965158547</v>
      </c>
      <c r="AD48" s="580">
        <v>30.8</v>
      </c>
      <c r="AE48" s="580">
        <v>29.8</v>
      </c>
      <c r="AF48" s="590">
        <v>28.994829108336482</v>
      </c>
      <c r="AG48" s="580">
        <v>28.929933269780744</v>
      </c>
      <c r="AH48" s="580">
        <v>29.486336319310581</v>
      </c>
      <c r="AI48" s="580">
        <v>30.42190496484125</v>
      </c>
      <c r="AJ48" s="590">
        <v>31.331750311908884</v>
      </c>
      <c r="AK48" s="580">
        <v>32.818782993158386</v>
      </c>
      <c r="AL48" s="580">
        <v>33.5</v>
      </c>
      <c r="AM48" s="580">
        <v>34.797567747100203</v>
      </c>
      <c r="AN48" s="590">
        <v>35.178893989360823</v>
      </c>
      <c r="AO48" s="580">
        <v>36.654129136560101</v>
      </c>
      <c r="AP48" s="580">
        <v>37.79872261879482</v>
      </c>
      <c r="AQ48" s="580">
        <v>38.007493298020087</v>
      </c>
      <c r="AR48" s="590">
        <v>37.424335330094493</v>
      </c>
      <c r="AS48" s="580">
        <v>36.928426364699369</v>
      </c>
      <c r="AT48" s="580">
        <v>37.484869920616212</v>
      </c>
      <c r="AU48" s="580">
        <v>36.980271699547167</v>
      </c>
    </row>
    <row r="49" spans="1:47" ht="12.75" x14ac:dyDescent="0.2">
      <c r="A49" s="174" t="s">
        <v>636</v>
      </c>
      <c r="B49" s="629"/>
      <c r="C49" s="629"/>
      <c r="D49" s="630"/>
      <c r="E49" s="630"/>
      <c r="F49" s="591"/>
      <c r="G49" s="591"/>
      <c r="H49" s="591"/>
      <c r="I49" s="591"/>
      <c r="J49" s="591"/>
      <c r="K49" s="591"/>
      <c r="L49" s="556"/>
      <c r="M49" s="591"/>
      <c r="N49" s="591"/>
      <c r="O49" s="591"/>
      <c r="P49" s="594"/>
      <c r="Q49" s="591"/>
      <c r="R49" s="591"/>
      <c r="S49" s="591"/>
      <c r="T49" s="631" t="s">
        <v>637</v>
      </c>
      <c r="U49" s="632" t="s">
        <v>637</v>
      </c>
      <c r="V49" s="632" t="s">
        <v>637</v>
      </c>
      <c r="W49" s="632" t="s">
        <v>637</v>
      </c>
      <c r="X49" s="631" t="s">
        <v>637</v>
      </c>
      <c r="Y49" s="632" t="s">
        <v>637</v>
      </c>
      <c r="Z49" s="632" t="s">
        <v>637</v>
      </c>
      <c r="AA49" s="632" t="s">
        <v>637</v>
      </c>
      <c r="AB49" s="631" t="s">
        <v>637</v>
      </c>
      <c r="AC49" s="632" t="s">
        <v>637</v>
      </c>
      <c r="AD49" s="632" t="s">
        <v>637</v>
      </c>
      <c r="AE49" s="632" t="s">
        <v>637</v>
      </c>
      <c r="AF49" s="631" t="s">
        <v>637</v>
      </c>
      <c r="AG49" s="632" t="s">
        <v>637</v>
      </c>
      <c r="AH49" s="632" t="s">
        <v>637</v>
      </c>
      <c r="AI49" s="632" t="s">
        <v>637</v>
      </c>
      <c r="AJ49" s="631" t="s">
        <v>637</v>
      </c>
      <c r="AK49" s="632" t="s">
        <v>637</v>
      </c>
      <c r="AL49" s="632" t="s">
        <v>637</v>
      </c>
      <c r="AM49" s="632" t="s">
        <v>637</v>
      </c>
      <c r="AN49" s="631" t="s">
        <v>637</v>
      </c>
      <c r="AO49" s="632" t="s">
        <v>637</v>
      </c>
      <c r="AP49" s="632" t="s">
        <v>637</v>
      </c>
      <c r="AQ49" s="632" t="s">
        <v>637</v>
      </c>
      <c r="AR49" s="631" t="s">
        <v>637</v>
      </c>
      <c r="AS49" s="632" t="s">
        <v>637</v>
      </c>
      <c r="AT49" s="632" t="s">
        <v>637</v>
      </c>
      <c r="AU49" s="632" t="s">
        <v>637</v>
      </c>
    </row>
    <row r="50" spans="1:47" ht="12.75" x14ac:dyDescent="0.2">
      <c r="A50" s="633"/>
      <c r="B50" s="629"/>
      <c r="C50" s="629"/>
      <c r="D50" s="630"/>
      <c r="E50" s="630"/>
      <c r="F50" s="348"/>
      <c r="G50" s="348"/>
      <c r="H50" s="348"/>
      <c r="I50" s="348"/>
      <c r="J50" s="348"/>
      <c r="K50" s="348"/>
      <c r="L50" s="556"/>
      <c r="M50" s="348"/>
      <c r="N50" s="348"/>
      <c r="O50" s="348"/>
      <c r="P50" s="353"/>
      <c r="Q50" s="348"/>
      <c r="R50" s="348"/>
      <c r="S50" s="348"/>
      <c r="T50" s="353"/>
      <c r="U50" s="348"/>
      <c r="V50" s="348"/>
      <c r="W50" s="348"/>
      <c r="X50" s="353"/>
      <c r="Y50" s="348"/>
      <c r="Z50" s="348"/>
      <c r="AA50" s="348"/>
      <c r="AB50" s="353"/>
      <c r="AC50" s="348"/>
      <c r="AD50" s="348"/>
      <c r="AE50" s="348"/>
      <c r="AF50" s="353"/>
      <c r="AG50" s="348"/>
      <c r="AH50" s="348"/>
      <c r="AI50" s="348"/>
      <c r="AJ50" s="353"/>
      <c r="AK50" s="348"/>
      <c r="AL50" s="348"/>
      <c r="AM50" s="348"/>
      <c r="AN50" s="353"/>
      <c r="AO50" s="348"/>
      <c r="AP50" s="348"/>
      <c r="AQ50" s="348"/>
      <c r="AR50" s="353"/>
      <c r="AS50" s="348"/>
      <c r="AT50" s="348"/>
      <c r="AU50" s="348"/>
    </row>
    <row r="51" spans="1:47" ht="12.75" x14ac:dyDescent="0.2">
      <c r="A51" s="565" t="s">
        <v>638</v>
      </c>
      <c r="B51" s="577"/>
      <c r="C51" s="577"/>
      <c r="D51" s="630"/>
      <c r="E51" s="630"/>
      <c r="F51" s="348"/>
      <c r="G51" s="348"/>
      <c r="H51" s="348"/>
      <c r="I51" s="348"/>
      <c r="J51" s="348"/>
      <c r="K51" s="348"/>
      <c r="L51" s="556"/>
      <c r="M51" s="348"/>
      <c r="N51" s="348"/>
      <c r="O51" s="348"/>
      <c r="P51" s="353"/>
      <c r="Q51" s="348"/>
      <c r="R51" s="348"/>
      <c r="S51" s="348"/>
      <c r="T51" s="353"/>
      <c r="U51" s="348"/>
      <c r="V51" s="348"/>
      <c r="W51" s="348"/>
      <c r="X51" s="353"/>
      <c r="Y51" s="348"/>
      <c r="Z51" s="348"/>
      <c r="AA51" s="348"/>
      <c r="AB51" s="353"/>
      <c r="AC51" s="348"/>
      <c r="AD51" s="348"/>
      <c r="AE51" s="348"/>
      <c r="AF51" s="353"/>
      <c r="AG51" s="348"/>
      <c r="AH51" s="348"/>
      <c r="AI51" s="348"/>
      <c r="AJ51" s="353"/>
      <c r="AK51" s="348"/>
      <c r="AL51" s="348"/>
      <c r="AM51" s="348"/>
      <c r="AN51" s="353"/>
      <c r="AO51" s="348"/>
      <c r="AP51" s="348"/>
      <c r="AQ51" s="348"/>
      <c r="AR51" s="353"/>
      <c r="AS51" s="348"/>
      <c r="AT51" s="348"/>
      <c r="AU51" s="348"/>
    </row>
    <row r="52" spans="1:47" ht="12.75" x14ac:dyDescent="0.2">
      <c r="A52" s="569" t="s">
        <v>639</v>
      </c>
      <c r="B52" s="356">
        <v>5630</v>
      </c>
      <c r="C52" s="356">
        <v>4880</v>
      </c>
      <c r="D52" s="356">
        <v>4610</v>
      </c>
      <c r="E52" s="356">
        <v>3884</v>
      </c>
      <c r="F52" s="356">
        <v>6688</v>
      </c>
      <c r="G52" s="356">
        <v>7006</v>
      </c>
      <c r="H52" s="356">
        <v>6867</v>
      </c>
      <c r="I52" s="356">
        <v>5662</v>
      </c>
      <c r="J52" s="356">
        <v>6211</v>
      </c>
      <c r="K52" s="356">
        <v>9132</v>
      </c>
      <c r="L52" s="556"/>
      <c r="M52" s="356">
        <v>1111</v>
      </c>
      <c r="N52" s="356">
        <v>1313</v>
      </c>
      <c r="O52" s="356">
        <v>1242</v>
      </c>
      <c r="P52" s="357">
        <v>944</v>
      </c>
      <c r="Q52" s="356">
        <v>666</v>
      </c>
      <c r="R52" s="356">
        <v>199</v>
      </c>
      <c r="S52" s="356">
        <v>777</v>
      </c>
      <c r="T52" s="357">
        <v>2242</v>
      </c>
      <c r="U52" s="356">
        <v>472</v>
      </c>
      <c r="V52" s="356">
        <v>1506</v>
      </c>
      <c r="W52" s="356">
        <v>1883</v>
      </c>
      <c r="X52" s="357">
        <v>2827</v>
      </c>
      <c r="Y52" s="356">
        <v>1532</v>
      </c>
      <c r="Z52" s="356">
        <v>1963</v>
      </c>
      <c r="AA52" s="356">
        <v>1355</v>
      </c>
      <c r="AB52" s="357">
        <v>2156</v>
      </c>
      <c r="AC52" s="356">
        <v>1610</v>
      </c>
      <c r="AD52" s="356">
        <v>1229</v>
      </c>
      <c r="AE52" s="356">
        <v>1613</v>
      </c>
      <c r="AF52" s="357">
        <v>2415</v>
      </c>
      <c r="AG52" s="356">
        <v>867</v>
      </c>
      <c r="AH52" s="356">
        <v>1462</v>
      </c>
      <c r="AI52" s="356">
        <v>1814</v>
      </c>
      <c r="AJ52" s="357">
        <v>1519</v>
      </c>
      <c r="AK52" s="356">
        <v>338</v>
      </c>
      <c r="AL52" s="356">
        <v>1549</v>
      </c>
      <c r="AM52" s="356">
        <v>1889</v>
      </c>
      <c r="AN52" s="357">
        <v>2435</v>
      </c>
      <c r="AO52" s="356">
        <v>1778</v>
      </c>
      <c r="AP52" s="356">
        <v>1609</v>
      </c>
      <c r="AQ52" s="356">
        <v>1789</v>
      </c>
      <c r="AR52" s="357">
        <v>3956</v>
      </c>
      <c r="AS52" s="356">
        <v>1569</v>
      </c>
      <c r="AT52" s="356">
        <v>1104</v>
      </c>
      <c r="AU52" s="356">
        <v>2476</v>
      </c>
    </row>
    <row r="53" spans="1:47" ht="12.75" x14ac:dyDescent="0.2">
      <c r="A53" s="618" t="s">
        <v>640</v>
      </c>
      <c r="B53" s="629"/>
      <c r="C53" s="629"/>
      <c r="D53" s="578"/>
      <c r="E53" s="578"/>
      <c r="F53" s="348"/>
      <c r="G53" s="634">
        <v>129.5</v>
      </c>
      <c r="H53" s="634">
        <v>97.1</v>
      </c>
      <c r="I53" s="634">
        <v>67</v>
      </c>
      <c r="J53" s="634">
        <v>66</v>
      </c>
      <c r="K53" s="634">
        <v>104</v>
      </c>
      <c r="L53" s="556"/>
      <c r="M53" s="348"/>
      <c r="N53" s="348"/>
      <c r="O53" s="348"/>
      <c r="P53" s="353"/>
      <c r="Q53" s="348"/>
      <c r="R53" s="348"/>
      <c r="S53" s="348"/>
      <c r="T53" s="353"/>
      <c r="U53" s="348">
        <v>64</v>
      </c>
      <c r="V53" s="348">
        <v>82</v>
      </c>
      <c r="W53" s="348">
        <v>101</v>
      </c>
      <c r="X53" s="353">
        <v>113</v>
      </c>
      <c r="Y53" s="348">
        <v>130</v>
      </c>
      <c r="Z53" s="348">
        <v>155</v>
      </c>
      <c r="AA53" s="348">
        <v>145</v>
      </c>
      <c r="AB53" s="635">
        <v>129.5</v>
      </c>
      <c r="AC53" s="634">
        <v>131.72182967645963</v>
      </c>
      <c r="AD53" s="634">
        <v>105</v>
      </c>
      <c r="AE53" s="634">
        <v>99</v>
      </c>
      <c r="AF53" s="635">
        <v>97.1</v>
      </c>
      <c r="AG53" s="634">
        <v>79.749967443677562</v>
      </c>
      <c r="AH53" s="634">
        <v>82</v>
      </c>
      <c r="AI53" s="634">
        <v>81</v>
      </c>
      <c r="AJ53" s="635">
        <v>67.316609202235171</v>
      </c>
      <c r="AK53" s="634">
        <v>58.972886029411761</v>
      </c>
      <c r="AL53" s="634">
        <v>54</v>
      </c>
      <c r="AM53" s="634">
        <v>55</v>
      </c>
      <c r="AN53" s="635">
        <v>65.669274688094731</v>
      </c>
      <c r="AO53" s="634">
        <v>83</v>
      </c>
      <c r="AP53" s="634">
        <v>90</v>
      </c>
      <c r="AQ53" s="634">
        <v>88</v>
      </c>
      <c r="AR53" s="635">
        <v>104.25847699509076</v>
      </c>
      <c r="AS53" s="634">
        <v>99.8</v>
      </c>
      <c r="AT53" s="634">
        <v>93.500831944907247</v>
      </c>
      <c r="AU53" s="634">
        <v>105.49044027343297</v>
      </c>
    </row>
    <row r="54" spans="1:47" ht="12.75" x14ac:dyDescent="0.2">
      <c r="A54" s="569"/>
      <c r="B54" s="577"/>
      <c r="C54" s="577"/>
      <c r="D54" s="578"/>
      <c r="E54" s="578"/>
      <c r="F54" s="348"/>
      <c r="G54" s="348"/>
      <c r="H54" s="348"/>
      <c r="I54" s="348"/>
      <c r="J54" s="348"/>
      <c r="K54" s="348"/>
      <c r="L54" s="556"/>
      <c r="M54" s="348"/>
      <c r="N54" s="348"/>
      <c r="O54" s="348"/>
      <c r="P54" s="353"/>
      <c r="Q54" s="348"/>
      <c r="R54" s="348"/>
      <c r="S54" s="348"/>
      <c r="T54" s="353"/>
      <c r="U54" s="348"/>
      <c r="V54" s="348"/>
      <c r="W54" s="348"/>
      <c r="X54" s="353"/>
      <c r="Y54" s="348"/>
      <c r="Z54" s="348"/>
      <c r="AA54" s="348"/>
      <c r="AB54" s="353"/>
      <c r="AC54" s="348"/>
      <c r="AD54" s="348"/>
      <c r="AE54" s="348"/>
      <c r="AF54" s="353"/>
      <c r="AG54" s="348"/>
      <c r="AH54" s="348"/>
      <c r="AI54" s="348"/>
      <c r="AJ54" s="353"/>
      <c r="AK54" s="348"/>
      <c r="AL54" s="348"/>
      <c r="AM54" s="348"/>
      <c r="AN54" s="353"/>
      <c r="AO54" s="348"/>
      <c r="AP54" s="348"/>
      <c r="AQ54" s="348"/>
      <c r="AR54" s="353"/>
      <c r="AS54" s="348"/>
      <c r="AT54" s="348"/>
      <c r="AU54" s="348"/>
    </row>
    <row r="55" spans="1:47" ht="12.75" x14ac:dyDescent="0.2">
      <c r="A55" s="565" t="s">
        <v>641</v>
      </c>
      <c r="B55" s="577"/>
      <c r="C55" s="577"/>
      <c r="D55" s="630"/>
      <c r="E55" s="630"/>
      <c r="F55" s="348"/>
      <c r="G55" s="348"/>
      <c r="H55" s="348"/>
      <c r="I55" s="348"/>
      <c r="J55" s="348"/>
      <c r="K55" s="348"/>
      <c r="L55" s="556"/>
      <c r="M55" s="348"/>
      <c r="N55" s="348"/>
      <c r="O55" s="348"/>
      <c r="P55" s="353"/>
      <c r="Q55" s="348"/>
      <c r="R55" s="348"/>
      <c r="S55" s="348"/>
      <c r="T55" s="353"/>
      <c r="U55" s="348"/>
      <c r="V55" s="348"/>
      <c r="W55" s="348"/>
      <c r="X55" s="353"/>
      <c r="Y55" s="348"/>
      <c r="Z55" s="348"/>
      <c r="AA55" s="348"/>
      <c r="AB55" s="353"/>
      <c r="AC55" s="348"/>
      <c r="AD55" s="348"/>
      <c r="AE55" s="348"/>
      <c r="AF55" s="353"/>
      <c r="AG55" s="348"/>
      <c r="AH55" s="348"/>
      <c r="AI55" s="348"/>
      <c r="AJ55" s="353"/>
      <c r="AK55" s="348"/>
      <c r="AL55" s="348"/>
      <c r="AM55" s="348"/>
      <c r="AN55" s="353"/>
      <c r="AO55" s="348"/>
      <c r="AP55" s="348"/>
      <c r="AQ55" s="348"/>
      <c r="AR55" s="353"/>
      <c r="AS55" s="348"/>
      <c r="AT55" s="348"/>
      <c r="AU55" s="348"/>
    </row>
    <row r="56" spans="1:47" ht="12.75" x14ac:dyDescent="0.2">
      <c r="A56" s="569" t="s">
        <v>642</v>
      </c>
      <c r="B56" s="588">
        <v>1212</v>
      </c>
      <c r="C56" s="588">
        <v>1212</v>
      </c>
      <c r="D56" s="588">
        <v>1212</v>
      </c>
      <c r="E56" s="588">
        <v>1205.607634</v>
      </c>
      <c r="F56" s="588">
        <v>1201</v>
      </c>
      <c r="G56" s="602">
        <v>1204</v>
      </c>
      <c r="H56" s="602">
        <v>1206.3050000000001</v>
      </c>
      <c r="I56" s="602">
        <v>1206</v>
      </c>
      <c r="J56" s="602">
        <v>1206</v>
      </c>
      <c r="K56" s="602">
        <v>1208</v>
      </c>
      <c r="L56" s="556"/>
      <c r="M56" s="588">
        <v>1212</v>
      </c>
      <c r="N56" s="588">
        <v>1212</v>
      </c>
      <c r="O56" s="588">
        <v>1212</v>
      </c>
      <c r="P56" s="589">
        <v>1212</v>
      </c>
      <c r="Q56" s="588">
        <v>1212</v>
      </c>
      <c r="R56" s="588">
        <v>1214</v>
      </c>
      <c r="S56" s="588">
        <v>1209.8633910000001</v>
      </c>
      <c r="T56" s="589">
        <v>1200.9032130000001</v>
      </c>
      <c r="U56" s="588">
        <v>1199.222</v>
      </c>
      <c r="V56" s="588">
        <v>1199.80457</v>
      </c>
      <c r="W56" s="588">
        <v>1201.713493</v>
      </c>
      <c r="X56" s="589">
        <v>1202.696021</v>
      </c>
      <c r="Y56" s="588">
        <v>1203</v>
      </c>
      <c r="Z56" s="588">
        <v>1203.9224839999999</v>
      </c>
      <c r="AA56" s="588">
        <v>1204.855</v>
      </c>
      <c r="AB56" s="589">
        <v>1206</v>
      </c>
      <c r="AC56" s="588">
        <v>1205.999</v>
      </c>
      <c r="AD56" s="588">
        <v>1206.3800000000001</v>
      </c>
      <c r="AE56" s="588">
        <v>1207</v>
      </c>
      <c r="AF56" s="589">
        <v>1206</v>
      </c>
      <c r="AG56" s="588">
        <v>1206.2950000000001</v>
      </c>
      <c r="AH56" s="588">
        <v>1206.557</v>
      </c>
      <c r="AI56" s="588">
        <v>1206.5709999999999</v>
      </c>
      <c r="AJ56" s="589">
        <v>1205.903</v>
      </c>
      <c r="AK56" s="588">
        <v>1205.826</v>
      </c>
      <c r="AL56" s="588">
        <v>1206</v>
      </c>
      <c r="AM56" s="588">
        <v>1206.7383717076923</v>
      </c>
      <c r="AN56" s="589">
        <v>1206.8609714603172</v>
      </c>
      <c r="AO56" s="588">
        <v>1207.1120745714286</v>
      </c>
      <c r="AP56" s="588">
        <v>1207.8629251999998</v>
      </c>
      <c r="AQ56" s="588">
        <v>1208.1109288030302</v>
      </c>
      <c r="AR56" s="589">
        <v>1208.2847726612904</v>
      </c>
      <c r="AS56" s="588">
        <v>1208.5649282580644</v>
      </c>
      <c r="AT56" s="588">
        <v>1208.9256568135593</v>
      </c>
      <c r="AU56" s="588">
        <v>1208.988580121212</v>
      </c>
    </row>
    <row r="57" spans="1:47" ht="12.75" x14ac:dyDescent="0.2">
      <c r="A57" s="569" t="s">
        <v>643</v>
      </c>
      <c r="B57" s="609" t="s">
        <v>195</v>
      </c>
      <c r="C57" s="588" t="s">
        <v>195</v>
      </c>
      <c r="D57" s="588" t="s">
        <v>195</v>
      </c>
      <c r="E57" s="588">
        <v>1206.3074710000001</v>
      </c>
      <c r="F57" s="588">
        <v>1202</v>
      </c>
      <c r="G57" s="602">
        <v>1205</v>
      </c>
      <c r="H57" s="602">
        <v>1208.07</v>
      </c>
      <c r="I57" s="602">
        <v>1208</v>
      </c>
      <c r="J57" s="602">
        <v>1207</v>
      </c>
      <c r="K57" s="602">
        <v>1208</v>
      </c>
      <c r="L57" s="556"/>
      <c r="M57" s="588" t="s">
        <v>195</v>
      </c>
      <c r="N57" s="588" t="s">
        <v>195</v>
      </c>
      <c r="O57" s="588" t="s">
        <v>195</v>
      </c>
      <c r="P57" s="589" t="s">
        <v>195</v>
      </c>
      <c r="Q57" s="588" t="s">
        <v>195</v>
      </c>
      <c r="R57" s="588">
        <v>1214</v>
      </c>
      <c r="S57" s="588">
        <v>1210.867665</v>
      </c>
      <c r="T57" s="589">
        <v>1201.2693389999999</v>
      </c>
      <c r="U57" s="588">
        <v>1199.956318</v>
      </c>
      <c r="V57" s="588">
        <v>1200.262457</v>
      </c>
      <c r="W57" s="588">
        <v>1202.1115139999999</v>
      </c>
      <c r="X57" s="589">
        <v>1204.241</v>
      </c>
      <c r="Y57" s="588">
        <v>1204</v>
      </c>
      <c r="Z57" s="588">
        <v>1204.833075</v>
      </c>
      <c r="AA57" s="588">
        <v>1205.5840000000001</v>
      </c>
      <c r="AB57" s="589">
        <v>1207</v>
      </c>
      <c r="AC57" s="588">
        <v>1207.644</v>
      </c>
      <c r="AD57" s="588">
        <v>1208.23</v>
      </c>
      <c r="AE57" s="588">
        <v>1208</v>
      </c>
      <c r="AF57" s="589">
        <v>1208</v>
      </c>
      <c r="AG57" s="588">
        <v>1207.998</v>
      </c>
      <c r="AH57" s="588">
        <v>1208.0250000000001</v>
      </c>
      <c r="AI57" s="588">
        <v>1207.653</v>
      </c>
      <c r="AJ57" s="589">
        <v>1207.191</v>
      </c>
      <c r="AK57" s="588">
        <v>1207.06</v>
      </c>
      <c r="AL57" s="588">
        <v>1207</v>
      </c>
      <c r="AM57" s="588">
        <v>1207.6321683276922</v>
      </c>
      <c r="AN57" s="589">
        <v>1207.6462703603177</v>
      </c>
      <c r="AO57" s="588">
        <v>1207.7948756914284</v>
      </c>
      <c r="AP57" s="588">
        <v>1208.4239320699999</v>
      </c>
      <c r="AQ57" s="588">
        <v>1208.5355728430304</v>
      </c>
      <c r="AR57" s="589">
        <v>1208.6720099212905</v>
      </c>
      <c r="AS57" s="588">
        <v>1208.8768267980645</v>
      </c>
      <c r="AT57" s="588">
        <v>1209.1282162835594</v>
      </c>
      <c r="AU57" s="588">
        <v>1209.1659031212121</v>
      </c>
    </row>
    <row r="58" spans="1:47" ht="12.75" x14ac:dyDescent="0.2">
      <c r="A58" s="569" t="s">
        <v>644</v>
      </c>
      <c r="B58" s="612">
        <v>12.3</v>
      </c>
      <c r="C58" s="625">
        <v>12.7</v>
      </c>
      <c r="D58" s="625">
        <v>9.94</v>
      </c>
      <c r="E58" s="580">
        <v>15.63278090523438</v>
      </c>
      <c r="F58" s="612">
        <v>19.02</v>
      </c>
      <c r="G58" s="636">
        <v>19.71</v>
      </c>
      <c r="H58" s="636">
        <v>21.375191182992694</v>
      </c>
      <c r="I58" s="636">
        <v>27.8</v>
      </c>
      <c r="J58" s="636">
        <v>30.8</v>
      </c>
      <c r="K58" s="636">
        <v>35.700000000000003</v>
      </c>
      <c r="L58" s="556"/>
      <c r="M58" s="625">
        <v>14.31</v>
      </c>
      <c r="N58" s="625">
        <v>13.33</v>
      </c>
      <c r="O58" s="625">
        <v>10.33</v>
      </c>
      <c r="P58" s="627">
        <v>9.94</v>
      </c>
      <c r="Q58" s="625">
        <v>13.27</v>
      </c>
      <c r="R58" s="625">
        <v>14.45</v>
      </c>
      <c r="S58" s="625">
        <v>14.386748230817409</v>
      </c>
      <c r="T58" s="627">
        <v>15.63278090523438</v>
      </c>
      <c r="U58" s="625">
        <v>17.135998738512143</v>
      </c>
      <c r="V58" s="625">
        <v>16.536552885302513</v>
      </c>
      <c r="W58" s="625">
        <v>18.188290779081953</v>
      </c>
      <c r="X58" s="627">
        <v>18.996787314591455</v>
      </c>
      <c r="Y58" s="625">
        <v>20.56</v>
      </c>
      <c r="Z58" s="625">
        <v>19.438864840324115</v>
      </c>
      <c r="AA58" s="625">
        <v>20.399940518173111</v>
      </c>
      <c r="AB58" s="627">
        <v>19.71</v>
      </c>
      <c r="AC58" s="625">
        <v>21.745353824604958</v>
      </c>
      <c r="AD58" s="625">
        <v>17.440172776145744</v>
      </c>
      <c r="AE58" s="625">
        <v>19.3</v>
      </c>
      <c r="AF58" s="627">
        <v>21.38</v>
      </c>
      <c r="AG58" s="625">
        <v>23.887206165894934</v>
      </c>
      <c r="AH58" s="625">
        <v>23.758743852674733</v>
      </c>
      <c r="AI58" s="625">
        <v>26.331233421750664</v>
      </c>
      <c r="AJ58" s="627">
        <v>27.776810657117039</v>
      </c>
      <c r="AK58" s="625">
        <v>29.401157840543654</v>
      </c>
      <c r="AL58" s="625">
        <v>29.19</v>
      </c>
      <c r="AM58" s="625">
        <v>30.792565478839776</v>
      </c>
      <c r="AN58" s="627">
        <v>30.841927403575163</v>
      </c>
      <c r="AO58" s="625">
        <v>33.778553039235874</v>
      </c>
      <c r="AP58" s="625">
        <v>31.564905577098298</v>
      </c>
      <c r="AQ58" s="625">
        <v>32.820156346399955</v>
      </c>
      <c r="AR58" s="627">
        <v>35.749653395674784</v>
      </c>
      <c r="AS58" s="625">
        <v>35.151258041954513</v>
      </c>
      <c r="AT58" s="625">
        <v>31.938161119433602</v>
      </c>
      <c r="AU58" s="625">
        <v>33.419571455065444</v>
      </c>
    </row>
    <row r="59" spans="1:47" ht="12.75" x14ac:dyDescent="0.2">
      <c r="A59" s="618" t="s">
        <v>645</v>
      </c>
      <c r="B59" s="623">
        <v>2.95</v>
      </c>
      <c r="C59" s="623">
        <v>2.66</v>
      </c>
      <c r="D59" s="623">
        <v>3.55</v>
      </c>
      <c r="E59" s="622">
        <v>4.5039999999999996</v>
      </c>
      <c r="F59" s="637">
        <v>4.8899999999999997</v>
      </c>
      <c r="G59" s="638">
        <v>4.4800000000000004</v>
      </c>
      <c r="H59" s="638">
        <v>5.85</v>
      </c>
      <c r="I59" s="638">
        <v>6.96</v>
      </c>
      <c r="J59" s="638">
        <v>7.82</v>
      </c>
      <c r="K59" s="638">
        <v>7.23</v>
      </c>
      <c r="L59" s="556"/>
      <c r="M59" s="623">
        <v>0.87</v>
      </c>
      <c r="N59" s="623">
        <v>0.89</v>
      </c>
      <c r="O59" s="623">
        <v>0.88</v>
      </c>
      <c r="P59" s="624">
        <v>0.91</v>
      </c>
      <c r="Q59" s="623">
        <v>0.89</v>
      </c>
      <c r="R59" s="623">
        <v>1.0900000000000001</v>
      </c>
      <c r="S59" s="623">
        <v>1.1773463334994536</v>
      </c>
      <c r="T59" s="624">
        <v>1.3506356619015891</v>
      </c>
      <c r="U59" s="623">
        <v>1.1440750753405124</v>
      </c>
      <c r="V59" s="623">
        <v>1.3985000000000001</v>
      </c>
      <c r="W59" s="623">
        <v>1.1100000000000001</v>
      </c>
      <c r="X59" s="624">
        <v>1.23</v>
      </c>
      <c r="Y59" s="623">
        <v>1.18</v>
      </c>
      <c r="Z59" s="623">
        <v>0.85</v>
      </c>
      <c r="AA59" s="623">
        <v>1.1000000000000001</v>
      </c>
      <c r="AB59" s="624">
        <v>1.35</v>
      </c>
      <c r="AC59" s="623">
        <v>1.1499999999999999</v>
      </c>
      <c r="AD59" s="623">
        <v>1.4</v>
      </c>
      <c r="AE59" s="623">
        <v>1.6</v>
      </c>
      <c r="AF59" s="624">
        <v>1.7</v>
      </c>
      <c r="AG59" s="623">
        <v>1.66</v>
      </c>
      <c r="AH59" s="623">
        <v>1.47</v>
      </c>
      <c r="AI59" s="623">
        <v>1.86</v>
      </c>
      <c r="AJ59" s="624">
        <v>1.98</v>
      </c>
      <c r="AK59" s="623">
        <v>1.9</v>
      </c>
      <c r="AL59" s="623">
        <v>2.19</v>
      </c>
      <c r="AM59" s="623">
        <v>1.8512712054051934</v>
      </c>
      <c r="AN59" s="624">
        <v>1.8742838267965123</v>
      </c>
      <c r="AO59" s="623">
        <v>1.6634743718497869</v>
      </c>
      <c r="AP59" s="623">
        <v>1.6905891864028215</v>
      </c>
      <c r="AQ59" s="623">
        <v>1.9186979810675362</v>
      </c>
      <c r="AR59" s="624">
        <v>1.9556648014320401</v>
      </c>
      <c r="AS59" s="623">
        <v>1.8203407599878942</v>
      </c>
      <c r="AT59" s="623">
        <v>1.7354251588388234</v>
      </c>
      <c r="AU59" s="623">
        <v>1.6170541493485353</v>
      </c>
    </row>
    <row r="60" spans="1:47" ht="12.75" x14ac:dyDescent="0.2">
      <c r="A60" s="569" t="s">
        <v>646</v>
      </c>
      <c r="B60" s="609" t="s">
        <v>195</v>
      </c>
      <c r="C60" s="588" t="s">
        <v>195</v>
      </c>
      <c r="D60" s="588" t="s">
        <v>195</v>
      </c>
      <c r="E60" s="622">
        <v>4.4928999999999997</v>
      </c>
      <c r="F60" s="637">
        <v>4.8899999999999997</v>
      </c>
      <c r="G60" s="638">
        <v>4.4800000000000004</v>
      </c>
      <c r="H60" s="638">
        <v>5.84</v>
      </c>
      <c r="I60" s="638">
        <v>6.95</v>
      </c>
      <c r="J60" s="638">
        <v>7.81</v>
      </c>
      <c r="K60" s="638">
        <v>7.23</v>
      </c>
      <c r="L60" s="556"/>
      <c r="M60" s="588" t="s">
        <v>195</v>
      </c>
      <c r="N60" s="588" t="s">
        <v>195</v>
      </c>
      <c r="O60" s="588" t="s">
        <v>195</v>
      </c>
      <c r="P60" s="589" t="s">
        <v>195</v>
      </c>
      <c r="Q60" s="639" t="s">
        <v>195</v>
      </c>
      <c r="R60" s="639">
        <v>1.0900000000000001</v>
      </c>
      <c r="S60" s="639">
        <v>1.175633030772153</v>
      </c>
      <c r="T60" s="640">
        <v>1.3502000000000001</v>
      </c>
      <c r="U60" s="639">
        <v>1.1271</v>
      </c>
      <c r="V60" s="639">
        <v>1.3979999999999999</v>
      </c>
      <c r="W60" s="639">
        <v>1.1100000000000001</v>
      </c>
      <c r="X60" s="640">
        <v>1.22</v>
      </c>
      <c r="Y60" s="639">
        <v>1.18</v>
      </c>
      <c r="Z60" s="639">
        <v>0.83</v>
      </c>
      <c r="AA60" s="639">
        <v>1.0900000000000001</v>
      </c>
      <c r="AB60" s="640">
        <v>1.35</v>
      </c>
      <c r="AC60" s="639">
        <v>1.1499999999999999</v>
      </c>
      <c r="AD60" s="639">
        <v>1.4</v>
      </c>
      <c r="AE60" s="639">
        <v>1.59</v>
      </c>
      <c r="AF60" s="640">
        <v>1.7</v>
      </c>
      <c r="AG60" s="639">
        <v>1.65</v>
      </c>
      <c r="AH60" s="639">
        <v>1.47</v>
      </c>
      <c r="AI60" s="639">
        <v>1.85</v>
      </c>
      <c r="AJ60" s="640">
        <v>1.98</v>
      </c>
      <c r="AK60" s="639">
        <v>1.9</v>
      </c>
      <c r="AL60" s="639">
        <v>2.19</v>
      </c>
      <c r="AM60" s="639">
        <v>1.8499010365826905</v>
      </c>
      <c r="AN60" s="640">
        <v>1.8730650319692554</v>
      </c>
      <c r="AO60" s="639">
        <v>1.66253396202768</v>
      </c>
      <c r="AP60" s="639">
        <v>1.689804335885756</v>
      </c>
      <c r="AQ60" s="639">
        <v>1.918023806735784</v>
      </c>
      <c r="AR60" s="640">
        <v>1.9550382408159517</v>
      </c>
      <c r="AS60" s="639">
        <v>1.8198710995454432</v>
      </c>
      <c r="AT60" s="639">
        <v>1.7351344313579284</v>
      </c>
      <c r="AU60" s="639">
        <v>1.6168170099351722</v>
      </c>
    </row>
    <row r="61" spans="1:47" ht="12.75" x14ac:dyDescent="0.2">
      <c r="A61" s="569" t="s">
        <v>647</v>
      </c>
      <c r="B61" s="605"/>
      <c r="C61" s="605"/>
      <c r="D61" s="605">
        <v>29.1</v>
      </c>
      <c r="E61" s="605">
        <v>33.218729735351332</v>
      </c>
      <c r="F61" s="605">
        <v>28.291799520282051</v>
      </c>
      <c r="G61" s="605">
        <v>22.694409415720891</v>
      </c>
      <c r="H61" s="605">
        <v>29.457429048414024</v>
      </c>
      <c r="I61" s="605">
        <v>28.4</v>
      </c>
      <c r="J61" s="605">
        <v>26.8</v>
      </c>
      <c r="K61" s="605">
        <v>22.2</v>
      </c>
      <c r="L61" s="556"/>
      <c r="M61" s="348"/>
      <c r="N61" s="348"/>
      <c r="O61" s="348"/>
      <c r="P61" s="353"/>
      <c r="Q61" s="605">
        <v>29.207720340126876</v>
      </c>
      <c r="R61" s="605">
        <v>30.771821120689658</v>
      </c>
      <c r="S61" s="605">
        <v>32.551904558244644</v>
      </c>
      <c r="T61" s="607">
        <v>33.218729735351332</v>
      </c>
      <c r="U61" s="605">
        <v>31.681447282470298</v>
      </c>
      <c r="V61" s="605">
        <v>32.3111904458328</v>
      </c>
      <c r="W61" s="641">
        <v>30.540817943328356</v>
      </c>
      <c r="X61" s="607">
        <v>28.291799520282051</v>
      </c>
      <c r="Y61" s="605">
        <v>27</v>
      </c>
      <c r="Z61" s="605">
        <v>23.44931921331316</v>
      </c>
      <c r="AA61" s="605">
        <v>22.432501708817497</v>
      </c>
      <c r="AB61" s="607">
        <v>22.694409415720891</v>
      </c>
      <c r="AC61" s="605">
        <v>21.929788712248151</v>
      </c>
      <c r="AD61" s="605">
        <v>25.4</v>
      </c>
      <c r="AE61" s="605">
        <v>28</v>
      </c>
      <c r="AF61" s="607">
        <v>29.5</v>
      </c>
      <c r="AG61" s="605">
        <v>30.710395643120297</v>
      </c>
      <c r="AH61" s="605">
        <v>30.42812254516889</v>
      </c>
      <c r="AI61" s="605">
        <v>29.184922330448636</v>
      </c>
      <c r="AJ61" s="607">
        <v>28.39510347626133</v>
      </c>
      <c r="AK61" s="605">
        <v>27.654902459981539</v>
      </c>
      <c r="AL61" s="605">
        <v>29.3</v>
      </c>
      <c r="AM61" s="605">
        <v>27.938984833873938</v>
      </c>
      <c r="AN61" s="607">
        <v>26.767519087219366</v>
      </c>
      <c r="AO61" s="605">
        <v>24.927117674304551</v>
      </c>
      <c r="AP61" s="605">
        <v>22.944745744509479</v>
      </c>
      <c r="AQ61" s="605">
        <v>22.618017876333514</v>
      </c>
      <c r="AR61" s="607">
        <v>22.174531416670902</v>
      </c>
      <c r="AS61" s="605">
        <v>22.070244867672521</v>
      </c>
      <c r="AT61" s="605">
        <v>22.406607940508572</v>
      </c>
      <c r="AU61" s="605">
        <v>21.216971607279174</v>
      </c>
    </row>
    <row r="62" spans="1:47" ht="12.75" x14ac:dyDescent="0.2">
      <c r="A62" s="569" t="s">
        <v>648</v>
      </c>
      <c r="B62" s="637">
        <v>4.5999999999999996</v>
      </c>
      <c r="C62" s="637">
        <v>4</v>
      </c>
      <c r="D62" s="637">
        <v>3.8</v>
      </c>
      <c r="E62" s="637">
        <v>3.2</v>
      </c>
      <c r="F62" s="637">
        <v>5.57</v>
      </c>
      <c r="G62" s="637">
        <v>5.82</v>
      </c>
      <c r="H62" s="637">
        <v>5.692590182416553</v>
      </c>
      <c r="I62" s="637">
        <v>4.6900000000000004</v>
      </c>
      <c r="J62" s="637">
        <v>5.15</v>
      </c>
      <c r="K62" s="637">
        <v>7.56</v>
      </c>
      <c r="L62" s="556"/>
      <c r="M62" s="642">
        <v>0.91666666666666663</v>
      </c>
      <c r="N62" s="642">
        <v>1.0833333333333333</v>
      </c>
      <c r="O62" s="642">
        <v>1.0247524752475248</v>
      </c>
      <c r="P62" s="643">
        <v>0.77887788778877887</v>
      </c>
      <c r="Q62" s="642" t="s">
        <v>649</v>
      </c>
      <c r="R62" s="642">
        <v>0.2</v>
      </c>
      <c r="S62" s="642">
        <v>0.6</v>
      </c>
      <c r="T62" s="643">
        <v>1.9</v>
      </c>
      <c r="U62" s="642">
        <v>0.39358850988390809</v>
      </c>
      <c r="V62" s="642">
        <v>1.2552044204999153</v>
      </c>
      <c r="W62" s="642">
        <v>1.566929231442024</v>
      </c>
      <c r="X62" s="643">
        <v>2.3505523845081382</v>
      </c>
      <c r="Y62" s="642">
        <v>1.27</v>
      </c>
      <c r="Z62" s="642">
        <v>1.63</v>
      </c>
      <c r="AA62" s="642">
        <v>1.1246166551161758</v>
      </c>
      <c r="AB62" s="643">
        <v>1.79</v>
      </c>
      <c r="AC62" s="642">
        <v>1.34</v>
      </c>
      <c r="AD62" s="642">
        <v>1.02</v>
      </c>
      <c r="AE62" s="642">
        <v>1.3</v>
      </c>
      <c r="AF62" s="643">
        <v>2</v>
      </c>
      <c r="AG62" s="642">
        <v>0.71872966397108495</v>
      </c>
      <c r="AH62" s="642">
        <v>1.211712335181844</v>
      </c>
      <c r="AI62" s="642">
        <v>1.5034341120414796</v>
      </c>
      <c r="AJ62" s="643">
        <v>1.2596369691426259</v>
      </c>
      <c r="AK62" s="642">
        <v>0.28030578209459739</v>
      </c>
      <c r="AL62" s="642">
        <v>1.28</v>
      </c>
      <c r="AM62" s="642">
        <v>1.5653765922159402</v>
      </c>
      <c r="AN62" s="643">
        <v>2.0176309099246277</v>
      </c>
      <c r="AO62" s="642">
        <v>1.4729369686996616</v>
      </c>
      <c r="AP62" s="642">
        <v>1.3321047996680413</v>
      </c>
      <c r="AQ62" s="642">
        <v>1.4800364414976033</v>
      </c>
      <c r="AR62" s="643">
        <v>3.28</v>
      </c>
      <c r="AS62" s="642">
        <v>1.2982339329186392</v>
      </c>
      <c r="AT62" s="642">
        <v>0.91320751923644472</v>
      </c>
      <c r="AU62" s="642">
        <v>2.0479928766173776</v>
      </c>
    </row>
    <row r="63" spans="1:47" ht="12.75" x14ac:dyDescent="0.2">
      <c r="A63" s="174" t="s">
        <v>650</v>
      </c>
      <c r="B63" s="629"/>
      <c r="C63" s="629"/>
      <c r="D63" s="630"/>
      <c r="E63" s="644">
        <v>2.1</v>
      </c>
      <c r="F63" s="644">
        <v>2.4</v>
      </c>
      <c r="G63" s="644">
        <v>2.5</v>
      </c>
      <c r="H63" s="644">
        <v>3</v>
      </c>
      <c r="I63" s="638">
        <v>3.4</v>
      </c>
      <c r="J63" s="638">
        <v>3.8</v>
      </c>
      <c r="K63" s="638" t="s">
        <v>651</v>
      </c>
      <c r="L63" s="556"/>
      <c r="M63" s="644"/>
      <c r="N63" s="644"/>
      <c r="O63" s="644"/>
      <c r="P63" s="645"/>
      <c r="Q63" s="644"/>
      <c r="R63" s="644"/>
      <c r="S63" s="644"/>
      <c r="T63" s="645">
        <v>2.1</v>
      </c>
      <c r="U63" s="644"/>
      <c r="V63" s="644"/>
      <c r="W63" s="644"/>
      <c r="X63" s="645">
        <v>2.4</v>
      </c>
      <c r="Y63" s="644"/>
      <c r="Z63" s="644"/>
      <c r="AA63" s="644"/>
      <c r="AB63" s="646">
        <v>2.5</v>
      </c>
      <c r="AC63" s="644"/>
      <c r="AD63" s="644"/>
      <c r="AE63" s="644"/>
      <c r="AF63" s="646">
        <v>3</v>
      </c>
      <c r="AG63" s="644"/>
      <c r="AH63" s="644"/>
      <c r="AI63" s="644"/>
      <c r="AJ63" s="647">
        <v>3.4</v>
      </c>
      <c r="AK63" s="644"/>
      <c r="AL63" s="644"/>
      <c r="AM63" s="644"/>
      <c r="AN63" s="647">
        <v>3.8</v>
      </c>
      <c r="AO63" s="644"/>
      <c r="AP63" s="644"/>
      <c r="AQ63" s="644"/>
      <c r="AR63" s="647" t="str">
        <f>K63</f>
        <v>3.80</v>
      </c>
      <c r="AS63" s="644"/>
      <c r="AT63" s="644"/>
      <c r="AU63" s="644"/>
    </row>
    <row r="64" spans="1:47" ht="12.75" x14ac:dyDescent="0.2">
      <c r="A64" s="174" t="s">
        <v>652</v>
      </c>
      <c r="B64" s="629"/>
      <c r="C64" s="629"/>
      <c r="D64" s="630"/>
      <c r="E64" s="648">
        <f>E63/E59</f>
        <v>0.46625222024866791</v>
      </c>
      <c r="F64" s="649">
        <v>0.49</v>
      </c>
      <c r="G64" s="649">
        <v>0.56000000000000005</v>
      </c>
      <c r="H64" s="649">
        <v>0.51</v>
      </c>
      <c r="I64" s="650">
        <v>0.49</v>
      </c>
      <c r="J64" s="650">
        <v>0.49</v>
      </c>
      <c r="K64" s="650">
        <f>3.8/K59</f>
        <v>0.52558782849239272</v>
      </c>
      <c r="L64" s="556"/>
      <c r="M64" s="591"/>
      <c r="N64" s="591"/>
      <c r="O64" s="591"/>
      <c r="P64" s="594"/>
      <c r="Q64" s="591"/>
      <c r="R64" s="591"/>
      <c r="S64" s="591"/>
      <c r="T64" s="651">
        <v>0.47</v>
      </c>
      <c r="U64" s="591"/>
      <c r="V64" s="591"/>
      <c r="W64" s="591"/>
      <c r="X64" s="651">
        <v>0.49</v>
      </c>
      <c r="Y64" s="591"/>
      <c r="Z64" s="591"/>
      <c r="AA64" s="591"/>
      <c r="AB64" s="652">
        <v>0.56000000000000005</v>
      </c>
      <c r="AC64" s="591"/>
      <c r="AD64" s="591"/>
      <c r="AE64" s="591"/>
      <c r="AF64" s="652">
        <v>0.51</v>
      </c>
      <c r="AG64" s="591"/>
      <c r="AH64" s="591"/>
      <c r="AI64" s="591"/>
      <c r="AJ64" s="653">
        <v>0.49</v>
      </c>
      <c r="AK64" s="591"/>
      <c r="AL64" s="591"/>
      <c r="AM64" s="591"/>
      <c r="AN64" s="653">
        <v>0.49</v>
      </c>
      <c r="AO64" s="591"/>
      <c r="AP64" s="591"/>
      <c r="AQ64" s="591"/>
      <c r="AR64" s="647">
        <f>K64</f>
        <v>0.52558782849239272</v>
      </c>
      <c r="AS64" s="591"/>
      <c r="AT64" s="591"/>
      <c r="AU64" s="591"/>
    </row>
    <row r="65" spans="1:47" ht="12.75" x14ac:dyDescent="0.2">
      <c r="A65" s="174" t="s">
        <v>653</v>
      </c>
      <c r="B65" s="629"/>
      <c r="C65" s="629"/>
      <c r="D65" s="630"/>
      <c r="E65" s="630"/>
      <c r="F65" s="644"/>
      <c r="G65" s="644">
        <v>3</v>
      </c>
      <c r="H65" s="644"/>
      <c r="I65" s="644"/>
      <c r="J65" s="644"/>
      <c r="K65" s="644"/>
      <c r="L65" s="556"/>
      <c r="M65" s="644"/>
      <c r="N65" s="644"/>
      <c r="O65" s="644"/>
      <c r="P65" s="645"/>
      <c r="Q65" s="644"/>
      <c r="R65" s="644"/>
      <c r="S65" s="644"/>
      <c r="T65" s="645"/>
      <c r="U65" s="644"/>
      <c r="V65" s="644"/>
      <c r="W65" s="644"/>
      <c r="X65" s="645"/>
      <c r="Y65" s="644"/>
      <c r="Z65" s="644"/>
      <c r="AA65" s="644"/>
      <c r="AB65" s="646">
        <v>3</v>
      </c>
      <c r="AC65" s="644"/>
      <c r="AD65" s="644"/>
      <c r="AE65" s="644"/>
      <c r="AF65" s="646"/>
      <c r="AG65" s="644"/>
      <c r="AH65" s="644"/>
      <c r="AI65" s="644"/>
      <c r="AJ65" s="353"/>
      <c r="AK65" s="644"/>
      <c r="AL65" s="644"/>
      <c r="AM65" s="644"/>
      <c r="AN65" s="353"/>
      <c r="AO65" s="644"/>
      <c r="AP65" s="644"/>
      <c r="AQ65" s="644"/>
      <c r="AR65" s="353"/>
      <c r="AS65" s="644"/>
      <c r="AT65" s="644"/>
      <c r="AU65" s="644"/>
    </row>
    <row r="66" spans="1:47" ht="12.75" x14ac:dyDescent="0.2">
      <c r="A66" s="569"/>
      <c r="B66" s="584"/>
      <c r="C66" s="584"/>
      <c r="D66" s="621"/>
      <c r="E66" s="621"/>
      <c r="F66" s="348"/>
      <c r="G66" s="348"/>
      <c r="H66" s="348"/>
      <c r="I66" s="348"/>
      <c r="J66" s="348"/>
      <c r="K66" s="348"/>
      <c r="L66" s="556"/>
      <c r="M66" s="348"/>
      <c r="N66" s="348"/>
      <c r="O66" s="348"/>
      <c r="P66" s="353"/>
      <c r="Q66" s="348"/>
      <c r="R66" s="348"/>
      <c r="S66" s="348"/>
      <c r="T66" s="353"/>
      <c r="U66" s="348"/>
      <c r="V66" s="348"/>
      <c r="W66" s="348"/>
      <c r="X66" s="353"/>
      <c r="Y66" s="348"/>
      <c r="Z66" s="348"/>
      <c r="AA66" s="348"/>
      <c r="AB66" s="353"/>
      <c r="AC66" s="348"/>
      <c r="AD66" s="348"/>
      <c r="AE66" s="348"/>
      <c r="AF66" s="353"/>
      <c r="AG66" s="348"/>
      <c r="AH66" s="348"/>
      <c r="AI66" s="348"/>
      <c r="AJ66" s="353"/>
      <c r="AK66" s="348"/>
      <c r="AL66" s="348"/>
      <c r="AM66" s="348"/>
      <c r="AN66" s="353"/>
      <c r="AO66" s="348"/>
      <c r="AP66" s="348"/>
      <c r="AQ66" s="348"/>
      <c r="AR66" s="353"/>
      <c r="AS66" s="348"/>
      <c r="AT66" s="348"/>
      <c r="AU66" s="348"/>
    </row>
    <row r="67" spans="1:47" ht="12.75" x14ac:dyDescent="0.2">
      <c r="A67" s="565" t="s">
        <v>654</v>
      </c>
      <c r="B67" s="584"/>
      <c r="C67" s="584"/>
      <c r="D67" s="621"/>
      <c r="E67" s="621"/>
      <c r="F67" s="348"/>
      <c r="G67" s="348"/>
      <c r="H67" s="348"/>
      <c r="I67" s="348"/>
      <c r="J67" s="348"/>
      <c r="K67" s="348"/>
      <c r="L67" s="556"/>
      <c r="M67" s="348"/>
      <c r="N67" s="348"/>
      <c r="O67" s="348"/>
      <c r="P67" s="353"/>
      <c r="Q67" s="348"/>
      <c r="R67" s="348"/>
      <c r="S67" s="348"/>
      <c r="T67" s="353"/>
      <c r="U67" s="348"/>
      <c r="V67" s="348"/>
      <c r="W67" s="348"/>
      <c r="X67" s="353"/>
      <c r="Y67" s="348"/>
      <c r="Z67" s="348"/>
      <c r="AA67" s="348"/>
      <c r="AB67" s="353"/>
      <c r="AC67" s="348"/>
      <c r="AD67" s="348"/>
      <c r="AE67" s="348"/>
      <c r="AF67" s="353"/>
      <c r="AG67" s="348"/>
      <c r="AH67" s="348"/>
      <c r="AI67" s="348"/>
      <c r="AJ67" s="353"/>
      <c r="AK67" s="348"/>
      <c r="AL67" s="348"/>
      <c r="AM67" s="348"/>
      <c r="AN67" s="353"/>
      <c r="AO67" s="348"/>
      <c r="AP67" s="348"/>
      <c r="AQ67" s="348"/>
      <c r="AR67" s="353"/>
      <c r="AS67" s="348"/>
      <c r="AT67" s="348"/>
      <c r="AU67" s="348"/>
    </row>
    <row r="68" spans="1:47" ht="12.75" x14ac:dyDescent="0.2">
      <c r="A68" s="174" t="s">
        <v>655</v>
      </c>
      <c r="B68" s="604"/>
      <c r="C68" s="604"/>
      <c r="D68" s="654">
        <v>12948</v>
      </c>
      <c r="E68" s="348">
        <v>13847</v>
      </c>
      <c r="F68" s="356">
        <v>14268</v>
      </c>
      <c r="G68" s="356">
        <v>13840</v>
      </c>
      <c r="H68" s="356">
        <v>15529</v>
      </c>
      <c r="I68" s="356">
        <v>16996</v>
      </c>
      <c r="J68" s="356">
        <v>18211</v>
      </c>
      <c r="K68" s="356">
        <v>18874</v>
      </c>
      <c r="L68" s="556"/>
      <c r="M68" s="356"/>
      <c r="N68" s="356"/>
      <c r="O68" s="356"/>
      <c r="P68" s="357">
        <v>12948</v>
      </c>
      <c r="Q68" s="356">
        <v>13271.37</v>
      </c>
      <c r="R68" s="356">
        <v>13572.39</v>
      </c>
      <c r="S68" s="356">
        <v>13837.48</v>
      </c>
      <c r="T68" s="357">
        <v>13847</v>
      </c>
      <c r="U68" s="356">
        <v>13939</v>
      </c>
      <c r="V68" s="356">
        <v>14620</v>
      </c>
      <c r="W68" s="356">
        <v>14670</v>
      </c>
      <c r="X68" s="357">
        <v>14268</v>
      </c>
      <c r="Y68" s="356">
        <v>14176.6356987</v>
      </c>
      <c r="Z68" s="356">
        <v>13967.1542605</v>
      </c>
      <c r="AA68" s="356">
        <v>13902.244087700001</v>
      </c>
      <c r="AB68" s="357">
        <v>13840.4785889</v>
      </c>
      <c r="AC68" s="356">
        <v>13947</v>
      </c>
      <c r="AD68" s="356">
        <v>14569</v>
      </c>
      <c r="AE68" s="356">
        <v>15198</v>
      </c>
      <c r="AF68" s="357">
        <v>15529</v>
      </c>
      <c r="AG68" s="356">
        <v>15548</v>
      </c>
      <c r="AH68" s="356">
        <v>15912</v>
      </c>
      <c r="AI68" s="356">
        <v>16217</v>
      </c>
      <c r="AJ68" s="357">
        <v>16996</v>
      </c>
      <c r="AK68" s="356">
        <v>16042</v>
      </c>
      <c r="AL68" s="356">
        <v>18056</v>
      </c>
      <c r="AM68" s="356">
        <v>18146</v>
      </c>
      <c r="AN68" s="357">
        <v>18211</v>
      </c>
      <c r="AO68" s="356">
        <v>18156.621501000001</v>
      </c>
      <c r="AP68" s="356">
        <v>19081.437000999998</v>
      </c>
      <c r="AQ68" s="356">
        <v>18908.072345600001</v>
      </c>
      <c r="AR68" s="357">
        <v>18874</v>
      </c>
      <c r="AS68" s="356">
        <v>19042</v>
      </c>
      <c r="AT68" s="356">
        <v>19080</v>
      </c>
      <c r="AU68" s="356">
        <v>19067</v>
      </c>
    </row>
    <row r="69" spans="1:47" ht="12.75" x14ac:dyDescent="0.2">
      <c r="A69" s="174" t="s">
        <v>656</v>
      </c>
      <c r="B69" s="604"/>
      <c r="C69" s="604"/>
      <c r="D69" s="356">
        <v>1397</v>
      </c>
      <c r="E69" s="356">
        <v>1610</v>
      </c>
      <c r="F69" s="356">
        <v>1366</v>
      </c>
      <c r="G69" s="356">
        <v>1109</v>
      </c>
      <c r="H69" s="356">
        <v>1474</v>
      </c>
      <c r="I69" s="356">
        <v>1630</v>
      </c>
      <c r="J69" s="356">
        <v>1762</v>
      </c>
      <c r="K69" s="356">
        <v>1495</v>
      </c>
      <c r="L69" s="556"/>
      <c r="M69" s="348"/>
      <c r="N69" s="356"/>
      <c r="O69" s="356"/>
      <c r="P69" s="357">
        <v>1397</v>
      </c>
      <c r="Q69" s="356">
        <v>1513.53</v>
      </c>
      <c r="R69" s="356">
        <v>1602.76</v>
      </c>
      <c r="S69" s="356">
        <v>1705.98</v>
      </c>
      <c r="T69" s="357">
        <v>1609.74</v>
      </c>
      <c r="U69" s="356">
        <v>1531</v>
      </c>
      <c r="V69" s="356">
        <v>1576</v>
      </c>
      <c r="W69" s="356">
        <v>1485</v>
      </c>
      <c r="X69" s="357">
        <v>1366</v>
      </c>
      <c r="Y69" s="356">
        <v>1332.2333999999998</v>
      </c>
      <c r="Z69" s="356">
        <v>1144.5119999000001</v>
      </c>
      <c r="AA69" s="356">
        <v>1108.239</v>
      </c>
      <c r="AB69" s="357">
        <v>1109.492</v>
      </c>
      <c r="AC69" s="356">
        <v>1200</v>
      </c>
      <c r="AD69" s="356">
        <v>1354</v>
      </c>
      <c r="AE69" s="356">
        <v>1404</v>
      </c>
      <c r="AF69" s="357">
        <v>1474</v>
      </c>
      <c r="AG69" s="356">
        <v>1521</v>
      </c>
      <c r="AH69" s="356">
        <v>1582</v>
      </c>
      <c r="AI69" s="356">
        <v>1615</v>
      </c>
      <c r="AJ69" s="357">
        <v>1630</v>
      </c>
      <c r="AK69" s="356">
        <v>1722</v>
      </c>
      <c r="AL69" s="356">
        <v>1783</v>
      </c>
      <c r="AM69" s="356">
        <v>1795</v>
      </c>
      <c r="AN69" s="357">
        <v>1762</v>
      </c>
      <c r="AO69" s="356">
        <v>1742.59</v>
      </c>
      <c r="AP69" s="356">
        <v>1700.39</v>
      </c>
      <c r="AQ69" s="356">
        <v>1592.43</v>
      </c>
      <c r="AR69" s="357">
        <v>1495</v>
      </c>
      <c r="AS69" s="356">
        <v>1516</v>
      </c>
      <c r="AT69" s="356">
        <v>1558</v>
      </c>
      <c r="AU69" s="356">
        <v>1568</v>
      </c>
    </row>
    <row r="70" spans="1:47" ht="12.75" x14ac:dyDescent="0.2">
      <c r="A70" s="174" t="s">
        <v>657</v>
      </c>
      <c r="B70" s="604"/>
      <c r="C70" s="655">
        <v>11749</v>
      </c>
      <c r="D70" s="655">
        <v>12355</v>
      </c>
      <c r="E70" s="655">
        <v>13517</v>
      </c>
      <c r="F70" s="655">
        <v>14398</v>
      </c>
      <c r="G70" s="655">
        <v>14012</v>
      </c>
      <c r="H70" s="655">
        <v>14611</v>
      </c>
      <c r="I70" s="655">
        <v>15969</v>
      </c>
      <c r="J70" s="655">
        <v>17923</v>
      </c>
      <c r="K70" s="655">
        <v>18778</v>
      </c>
      <c r="L70" s="556"/>
      <c r="M70" s="348"/>
      <c r="N70" s="348"/>
      <c r="O70" s="348"/>
      <c r="P70" s="357">
        <v>12354.738565051926</v>
      </c>
      <c r="Q70" s="356">
        <v>12595.5</v>
      </c>
      <c r="R70" s="356">
        <v>12926.17</v>
      </c>
      <c r="S70" s="356">
        <v>13235.71</v>
      </c>
      <c r="T70" s="357">
        <v>13517.11</v>
      </c>
      <c r="U70" s="356">
        <v>13733</v>
      </c>
      <c r="V70" s="356">
        <v>14022</v>
      </c>
      <c r="W70" s="356">
        <v>14249</v>
      </c>
      <c r="X70" s="357">
        <v>14398</v>
      </c>
      <c r="Y70" s="356">
        <v>14454.0698625</v>
      </c>
      <c r="Z70" s="356">
        <v>14361.1978499</v>
      </c>
      <c r="AA70" s="356">
        <v>14195.348250700001</v>
      </c>
      <c r="AB70" s="357">
        <v>14012.2706932</v>
      </c>
      <c r="AC70" s="356">
        <v>13929</v>
      </c>
      <c r="AD70" s="356">
        <v>13980</v>
      </c>
      <c r="AE70" s="356">
        <v>14251</v>
      </c>
      <c r="AF70" s="357">
        <v>14611</v>
      </c>
      <c r="AG70" s="356">
        <v>14992</v>
      </c>
      <c r="AH70" s="356">
        <v>15370</v>
      </c>
      <c r="AI70" s="356">
        <v>15658</v>
      </c>
      <c r="AJ70" s="357">
        <v>15969</v>
      </c>
      <c r="AK70" s="356">
        <v>16483</v>
      </c>
      <c r="AL70" s="356">
        <v>17036</v>
      </c>
      <c r="AM70" s="356">
        <v>17535</v>
      </c>
      <c r="AN70" s="357">
        <v>17923</v>
      </c>
      <c r="AO70" s="356">
        <v>18117.077842800001</v>
      </c>
      <c r="AP70" s="356">
        <v>18424.845635999998</v>
      </c>
      <c r="AQ70" s="356">
        <v>18618.4380814</v>
      </c>
      <c r="AR70" s="357">
        <v>18778</v>
      </c>
      <c r="AS70" s="356">
        <v>18980</v>
      </c>
      <c r="AT70" s="356">
        <v>18956</v>
      </c>
      <c r="AU70" s="356">
        <v>18992</v>
      </c>
    </row>
    <row r="71" spans="1:47" ht="12.75" x14ac:dyDescent="0.2">
      <c r="A71" s="174" t="s">
        <v>658</v>
      </c>
      <c r="B71" s="604"/>
      <c r="C71" s="655"/>
      <c r="D71" s="655"/>
      <c r="E71" s="656">
        <v>8.9</v>
      </c>
      <c r="F71" s="656">
        <v>6</v>
      </c>
      <c r="G71" s="656">
        <v>4.8</v>
      </c>
      <c r="H71" s="656">
        <v>5.0999999999999996</v>
      </c>
      <c r="I71" s="656">
        <v>5.7</v>
      </c>
      <c r="J71" s="656">
        <v>5.0999999999999996</v>
      </c>
      <c r="K71" s="656">
        <v>4.3</v>
      </c>
      <c r="L71" s="556"/>
      <c r="M71" s="348"/>
      <c r="N71" s="348"/>
      <c r="O71" s="348"/>
      <c r="P71" s="357"/>
      <c r="Q71" s="356"/>
      <c r="R71" s="356"/>
      <c r="S71" s="356"/>
      <c r="T71" s="590">
        <v>8.9</v>
      </c>
      <c r="U71" s="580"/>
      <c r="V71" s="580"/>
      <c r="W71" s="580"/>
      <c r="X71" s="590">
        <v>6</v>
      </c>
      <c r="Y71" s="580"/>
      <c r="Z71" s="580"/>
      <c r="AA71" s="580"/>
      <c r="AB71" s="590">
        <v>4.8</v>
      </c>
      <c r="AC71" s="580">
        <v>4.3</v>
      </c>
      <c r="AD71" s="580">
        <v>4.7</v>
      </c>
      <c r="AE71" s="580">
        <v>5.3</v>
      </c>
      <c r="AF71" s="590">
        <v>5.0999999999999996</v>
      </c>
      <c r="AG71" s="580">
        <v>5.3</v>
      </c>
      <c r="AH71" s="580">
        <v>5.6</v>
      </c>
      <c r="AI71" s="580">
        <v>5.6</v>
      </c>
      <c r="AJ71" s="590">
        <v>5.7</v>
      </c>
      <c r="AK71" s="580">
        <v>6.2</v>
      </c>
      <c r="AL71" s="580">
        <v>5.5</v>
      </c>
      <c r="AM71" s="580">
        <v>5.0999999999999996</v>
      </c>
      <c r="AN71" s="590">
        <v>5.0999999999999996</v>
      </c>
      <c r="AO71" s="580">
        <v>4.5670798000000001</v>
      </c>
      <c r="AP71" s="580">
        <v>4.6537303999999997</v>
      </c>
      <c r="AQ71" s="580">
        <v>4.4000000000000004</v>
      </c>
      <c r="AR71" s="590">
        <v>4.3</v>
      </c>
      <c r="AS71" s="580">
        <v>4.3</v>
      </c>
      <c r="AT71" s="580">
        <v>4.2</v>
      </c>
      <c r="AU71" s="580">
        <v>4.0999999999999996</v>
      </c>
    </row>
    <row r="72" spans="1:47" ht="12.75" x14ac:dyDescent="0.2">
      <c r="A72" s="174" t="s">
        <v>659</v>
      </c>
      <c r="B72" s="580">
        <v>4.5999999999999996</v>
      </c>
      <c r="C72" s="580">
        <v>3.8</v>
      </c>
      <c r="D72" s="580">
        <v>4.3</v>
      </c>
      <c r="E72" s="580">
        <v>3.4</v>
      </c>
      <c r="F72" s="580">
        <v>2.7</v>
      </c>
      <c r="G72" s="580">
        <v>2</v>
      </c>
      <c r="H72" s="580">
        <v>2.1</v>
      </c>
      <c r="I72" s="580">
        <v>2.2999999999999998</v>
      </c>
      <c r="J72" s="580">
        <v>2.2000000000000002</v>
      </c>
      <c r="K72" s="580">
        <v>1.8</v>
      </c>
      <c r="L72" s="556"/>
      <c r="M72" s="580">
        <v>3.9</v>
      </c>
      <c r="N72" s="580">
        <v>3.7</v>
      </c>
      <c r="O72" s="580">
        <v>4.0999999999999996</v>
      </c>
      <c r="P72" s="590">
        <v>4.3</v>
      </c>
      <c r="Q72" s="580">
        <v>4.3</v>
      </c>
      <c r="R72" s="580">
        <v>4.4000000000000004</v>
      </c>
      <c r="S72" s="580">
        <v>4.0999999999999996</v>
      </c>
      <c r="T72" s="590">
        <v>3.4</v>
      </c>
      <c r="U72" s="580">
        <v>3.4</v>
      </c>
      <c r="V72" s="580">
        <v>3</v>
      </c>
      <c r="W72" s="580">
        <v>2.5</v>
      </c>
      <c r="X72" s="590">
        <v>2.7</v>
      </c>
      <c r="Y72" s="580">
        <v>2.6</v>
      </c>
      <c r="Z72" s="580">
        <v>2.2999999999999998</v>
      </c>
      <c r="AA72" s="580">
        <v>2.2999999999999998</v>
      </c>
      <c r="AB72" s="590">
        <v>2</v>
      </c>
      <c r="AC72" s="580">
        <v>1.5</v>
      </c>
      <c r="AD72" s="580">
        <v>1.6</v>
      </c>
      <c r="AE72" s="580">
        <v>1.9</v>
      </c>
      <c r="AF72" s="590">
        <v>2.1</v>
      </c>
      <c r="AG72" s="580">
        <v>2.2000000000000002</v>
      </c>
      <c r="AH72" s="580">
        <v>2.4</v>
      </c>
      <c r="AI72" s="580">
        <v>2.4</v>
      </c>
      <c r="AJ72" s="590">
        <v>2.2999999999999998</v>
      </c>
      <c r="AK72" s="580">
        <v>2.4</v>
      </c>
      <c r="AL72" s="580">
        <v>2.1</v>
      </c>
      <c r="AM72" s="580">
        <v>2.1</v>
      </c>
      <c r="AN72" s="590">
        <v>2.2000000000000002</v>
      </c>
      <c r="AO72" s="580">
        <v>2.2999999999999998</v>
      </c>
      <c r="AP72" s="580">
        <v>2.1</v>
      </c>
      <c r="AQ72" s="580">
        <v>1.7943948999999999</v>
      </c>
      <c r="AR72" s="590">
        <v>1.8</v>
      </c>
      <c r="AS72" s="580">
        <v>1.7</v>
      </c>
      <c r="AT72" s="580">
        <v>1.6</v>
      </c>
      <c r="AU72" s="580">
        <v>1.6</v>
      </c>
    </row>
    <row r="73" spans="1:47" ht="12.75" x14ac:dyDescent="0.2">
      <c r="A73" s="174" t="s">
        <v>660</v>
      </c>
      <c r="B73" s="629"/>
      <c r="C73" s="629">
        <v>15.1</v>
      </c>
      <c r="D73" s="578">
        <v>15.7</v>
      </c>
      <c r="E73" s="578">
        <v>16</v>
      </c>
      <c r="F73" s="348">
        <v>15.5</v>
      </c>
      <c r="G73" s="348">
        <v>15.7</v>
      </c>
      <c r="H73" s="348">
        <v>17.100000000000001</v>
      </c>
      <c r="I73" s="348">
        <v>18.2</v>
      </c>
      <c r="J73" s="348">
        <v>19</v>
      </c>
      <c r="K73" s="348">
        <v>19.8</v>
      </c>
      <c r="L73" s="556"/>
      <c r="M73" s="348"/>
      <c r="N73" s="348"/>
      <c r="O73" s="348"/>
      <c r="P73" s="353"/>
      <c r="Q73" s="348"/>
      <c r="R73" s="348"/>
      <c r="S73" s="348"/>
      <c r="T73" s="353"/>
      <c r="U73" s="348">
        <v>16.100000000000001</v>
      </c>
      <c r="V73" s="348">
        <v>15.6</v>
      </c>
      <c r="W73" s="348">
        <v>15.7</v>
      </c>
      <c r="X73" s="353">
        <v>15.5</v>
      </c>
      <c r="Y73" s="348">
        <v>15.5</v>
      </c>
      <c r="Z73" s="348">
        <v>15.5</v>
      </c>
      <c r="AA73" s="348">
        <v>15.6</v>
      </c>
      <c r="AB73" s="353">
        <v>15.7</v>
      </c>
      <c r="AC73" s="580">
        <v>15.79613</v>
      </c>
      <c r="AD73" s="580">
        <v>16.2</v>
      </c>
      <c r="AE73" s="580">
        <v>16.7</v>
      </c>
      <c r="AF73" s="353">
        <v>17.100000000000001</v>
      </c>
      <c r="AG73" s="580">
        <v>17.600000000000001</v>
      </c>
      <c r="AH73" s="580">
        <v>17.899999999999999</v>
      </c>
      <c r="AI73" s="580">
        <v>18.100000000000001</v>
      </c>
      <c r="AJ73" s="353">
        <v>18.2</v>
      </c>
      <c r="AK73" s="580">
        <v>18.600000000000001</v>
      </c>
      <c r="AL73" s="580">
        <v>18.8</v>
      </c>
      <c r="AM73" s="580">
        <v>18.8</v>
      </c>
      <c r="AN73" s="590">
        <v>19</v>
      </c>
      <c r="AO73" s="580">
        <v>19</v>
      </c>
      <c r="AP73" s="580">
        <v>19.2</v>
      </c>
      <c r="AQ73" s="580">
        <v>19.600000000000001</v>
      </c>
      <c r="AR73" s="590">
        <v>19.8</v>
      </c>
      <c r="AS73" s="580">
        <v>19.97</v>
      </c>
      <c r="AT73" s="580">
        <v>20.12997</v>
      </c>
      <c r="AU73" s="580">
        <v>20.3</v>
      </c>
    </row>
    <row r="74" spans="1:47" ht="12.75" x14ac:dyDescent="0.2">
      <c r="A74" s="90" t="s">
        <v>661</v>
      </c>
      <c r="B74" s="629"/>
      <c r="C74" s="629"/>
      <c r="D74" s="578"/>
      <c r="E74" s="578"/>
      <c r="F74" s="348"/>
      <c r="G74" s="580">
        <v>21</v>
      </c>
      <c r="H74" s="348">
        <v>22.5</v>
      </c>
      <c r="I74" s="348">
        <v>22.7</v>
      </c>
      <c r="J74" s="348">
        <v>23.4</v>
      </c>
      <c r="K74" s="348">
        <v>24.4</v>
      </c>
      <c r="L74" s="556"/>
      <c r="M74" s="348"/>
      <c r="N74" s="348"/>
      <c r="O74" s="348"/>
      <c r="P74" s="353"/>
      <c r="Q74" s="348"/>
      <c r="R74" s="348"/>
      <c r="S74" s="348"/>
      <c r="T74" s="353"/>
      <c r="U74" s="348"/>
      <c r="V74" s="348"/>
      <c r="W74" s="348"/>
      <c r="X74" s="353"/>
      <c r="Y74" s="348">
        <v>20.3</v>
      </c>
      <c r="Z74" s="348">
        <v>20.399999999999999</v>
      </c>
      <c r="AA74" s="348">
        <v>20.3</v>
      </c>
      <c r="AB74" s="590">
        <v>21</v>
      </c>
      <c r="AC74" s="580">
        <v>21.3</v>
      </c>
      <c r="AD74" s="580">
        <v>20.6</v>
      </c>
      <c r="AE74" s="580">
        <v>21.5</v>
      </c>
      <c r="AF74" s="353">
        <v>22.5</v>
      </c>
      <c r="AG74" s="580">
        <v>23</v>
      </c>
      <c r="AH74" s="580">
        <v>22.4</v>
      </c>
      <c r="AI74" s="580">
        <v>22.7</v>
      </c>
      <c r="AJ74" s="353">
        <v>22.7</v>
      </c>
      <c r="AK74" s="580">
        <v>23.5</v>
      </c>
      <c r="AL74" s="580">
        <v>23.1</v>
      </c>
      <c r="AM74" s="580">
        <v>23.4</v>
      </c>
      <c r="AN74" s="353">
        <v>23.4</v>
      </c>
      <c r="AO74" s="580">
        <v>23.5</v>
      </c>
      <c r="AP74" s="580">
        <v>23.6</v>
      </c>
      <c r="AQ74" s="580">
        <v>24</v>
      </c>
      <c r="AR74" s="353">
        <v>24.4</v>
      </c>
      <c r="AS74" s="580">
        <v>24.47</v>
      </c>
      <c r="AT74" s="580">
        <v>25.47757</v>
      </c>
      <c r="AU74" s="580">
        <v>24.9</v>
      </c>
    </row>
    <row r="75" spans="1:47" ht="12.75" x14ac:dyDescent="0.2">
      <c r="A75" s="584" t="s">
        <v>662</v>
      </c>
      <c r="B75" s="580">
        <v>2.11</v>
      </c>
      <c r="C75" s="580">
        <v>2.2999999999999998</v>
      </c>
      <c r="D75" s="580">
        <v>2.16</v>
      </c>
      <c r="E75" s="580">
        <v>2.2000000000000002</v>
      </c>
      <c r="F75" s="580">
        <v>2.12</v>
      </c>
      <c r="G75" s="580">
        <v>2.1</v>
      </c>
      <c r="H75" s="580">
        <v>2.4300000000000002</v>
      </c>
      <c r="I75" s="580">
        <v>2.4</v>
      </c>
      <c r="J75" s="580">
        <v>2.1</v>
      </c>
      <c r="K75" s="580">
        <v>2.2000000000000002</v>
      </c>
      <c r="L75" s="556"/>
      <c r="M75" s="580">
        <v>2.2999999999999998</v>
      </c>
      <c r="N75" s="580">
        <v>2.2000000000000002</v>
      </c>
      <c r="O75" s="580">
        <v>2.15</v>
      </c>
      <c r="P75" s="590">
        <v>2.16</v>
      </c>
      <c r="Q75" s="580">
        <v>2.1</v>
      </c>
      <c r="R75" s="580">
        <v>2.1</v>
      </c>
      <c r="S75" s="580">
        <v>2.16281486544715</v>
      </c>
      <c r="T75" s="590">
        <v>2.1694629901857598</v>
      </c>
      <c r="U75" s="580">
        <v>2.16228</v>
      </c>
      <c r="V75" s="580">
        <v>2.1944000000000004</v>
      </c>
      <c r="W75" s="580">
        <v>2.1635</v>
      </c>
      <c r="X75" s="590">
        <v>2.12</v>
      </c>
      <c r="Y75" s="580">
        <v>2.1</v>
      </c>
      <c r="Z75" s="580">
        <v>2.03294</v>
      </c>
      <c r="AA75" s="580">
        <v>2.0552899999999998</v>
      </c>
      <c r="AB75" s="590">
        <v>2.0552899999999998</v>
      </c>
      <c r="AC75" s="580">
        <v>2.1490900000000002</v>
      </c>
      <c r="AD75" s="580">
        <v>2.2999999999999998</v>
      </c>
      <c r="AE75" s="580">
        <v>2.4</v>
      </c>
      <c r="AF75" s="590">
        <v>2.4300000000000002</v>
      </c>
      <c r="AG75" s="580">
        <v>2.6139800000000002</v>
      </c>
      <c r="AH75" s="580">
        <v>2.5299999999999998</v>
      </c>
      <c r="AI75" s="580">
        <v>2.5</v>
      </c>
      <c r="AJ75" s="590">
        <v>2.4</v>
      </c>
      <c r="AK75" s="580">
        <v>2.2000000000000002</v>
      </c>
      <c r="AL75" s="580">
        <v>2.1</v>
      </c>
      <c r="AM75" s="580">
        <v>2.1</v>
      </c>
      <c r="AN75" s="590">
        <v>2.1</v>
      </c>
      <c r="AO75" s="580">
        <v>2.2000000000000002</v>
      </c>
      <c r="AP75" s="580">
        <v>2.2000000000000002</v>
      </c>
      <c r="AQ75" s="580">
        <v>2.2000000000000002</v>
      </c>
      <c r="AR75" s="590">
        <v>2.2000000000000002</v>
      </c>
      <c r="AS75" s="580">
        <v>2.1</v>
      </c>
      <c r="AT75" s="580">
        <v>2.1514099999999998</v>
      </c>
      <c r="AU75" s="580">
        <v>2.1</v>
      </c>
    </row>
    <row r="76" spans="1:47" ht="12.75" x14ac:dyDescent="0.2">
      <c r="A76" s="227" t="s">
        <v>663</v>
      </c>
      <c r="B76" s="604"/>
      <c r="C76" s="604"/>
      <c r="D76" s="621"/>
      <c r="E76" s="621"/>
      <c r="F76" s="655">
        <v>105272</v>
      </c>
      <c r="G76" s="655">
        <v>83317</v>
      </c>
      <c r="H76" s="655">
        <v>82383.483175000001</v>
      </c>
      <c r="I76" s="655">
        <v>91168</v>
      </c>
      <c r="J76" s="655">
        <v>93258</v>
      </c>
      <c r="K76" s="655">
        <v>102590</v>
      </c>
      <c r="L76" s="556"/>
      <c r="M76" s="348"/>
      <c r="N76" s="348"/>
      <c r="O76" s="348"/>
      <c r="P76" s="353"/>
      <c r="Q76" s="348"/>
      <c r="R76" s="348"/>
      <c r="S76" s="348"/>
      <c r="T76" s="353"/>
      <c r="U76" s="356">
        <v>130231</v>
      </c>
      <c r="V76" s="356">
        <v>123288</v>
      </c>
      <c r="W76" s="356">
        <v>111924</v>
      </c>
      <c r="X76" s="357">
        <v>105272</v>
      </c>
      <c r="Y76" s="356">
        <v>96411</v>
      </c>
      <c r="Z76" s="356">
        <v>91425</v>
      </c>
      <c r="AA76" s="356">
        <v>87672</v>
      </c>
      <c r="AB76" s="357">
        <v>83317</v>
      </c>
      <c r="AC76" s="356">
        <v>79967</v>
      </c>
      <c r="AD76" s="356">
        <v>79944</v>
      </c>
      <c r="AE76" s="356">
        <v>80099</v>
      </c>
      <c r="AF76" s="357">
        <v>82383.483175000001</v>
      </c>
      <c r="AG76" s="356">
        <v>84890</v>
      </c>
      <c r="AH76" s="356">
        <v>85110</v>
      </c>
      <c r="AI76" s="356">
        <v>87590</v>
      </c>
      <c r="AJ76" s="357">
        <v>91168</v>
      </c>
      <c r="AK76" s="356">
        <v>91948</v>
      </c>
      <c r="AL76" s="356">
        <v>91822</v>
      </c>
      <c r="AM76" s="356">
        <v>89881</v>
      </c>
      <c r="AN76" s="357">
        <v>93258</v>
      </c>
      <c r="AO76" s="356">
        <v>96987</v>
      </c>
      <c r="AP76" s="356">
        <v>102310</v>
      </c>
      <c r="AQ76" s="356">
        <v>106070</v>
      </c>
      <c r="AR76" s="357">
        <v>102590</v>
      </c>
      <c r="AS76" s="356">
        <v>101961</v>
      </c>
      <c r="AT76" s="356">
        <v>100271</v>
      </c>
      <c r="AU76" s="356">
        <v>104683</v>
      </c>
    </row>
    <row r="77" spans="1:47" ht="13.5" thickBot="1" x14ac:dyDescent="0.25">
      <c r="A77" s="657" t="s">
        <v>664</v>
      </c>
      <c r="B77" s="658">
        <v>5.37</v>
      </c>
      <c r="C77" s="658">
        <v>5.17</v>
      </c>
      <c r="D77" s="658">
        <v>6.2362976781598585</v>
      </c>
      <c r="E77" s="658">
        <v>5.6</v>
      </c>
      <c r="F77" s="658">
        <v>4.5</v>
      </c>
      <c r="G77" s="658">
        <v>4.0999999999999996</v>
      </c>
      <c r="H77" s="658">
        <v>3.6294593990042943</v>
      </c>
      <c r="I77" s="658">
        <v>3.18</v>
      </c>
      <c r="J77" s="658">
        <v>2.7</v>
      </c>
      <c r="K77" s="658">
        <v>2.7</v>
      </c>
      <c r="L77" s="556"/>
      <c r="M77" s="658">
        <v>5.6463888704720837</v>
      </c>
      <c r="N77" s="658">
        <v>5.548382319310428</v>
      </c>
      <c r="O77" s="658">
        <v>5.8304998739530012</v>
      </c>
      <c r="P77" s="659">
        <v>6.2362976781598585</v>
      </c>
      <c r="Q77" s="658">
        <v>6.2132534377407653</v>
      </c>
      <c r="R77" s="658">
        <v>6.2521680046773254</v>
      </c>
      <c r="S77" s="658">
        <v>6.2383032508052079</v>
      </c>
      <c r="T77" s="659">
        <v>5.6279778923314741</v>
      </c>
      <c r="U77" s="658">
        <v>5.4980342841943948</v>
      </c>
      <c r="V77" s="658">
        <v>5.1577854403756032</v>
      </c>
      <c r="W77" s="658">
        <v>4.6590176006662762</v>
      </c>
      <c r="X77" s="659">
        <v>4.5</v>
      </c>
      <c r="Y77" s="658">
        <v>4.2</v>
      </c>
      <c r="Z77" s="658">
        <v>4.2</v>
      </c>
      <c r="AA77" s="658">
        <v>4.2300000000000004</v>
      </c>
      <c r="AB77" s="659">
        <v>4.0999999999999996</v>
      </c>
      <c r="AC77" s="658">
        <v>3.93</v>
      </c>
      <c r="AD77" s="658">
        <v>3.8</v>
      </c>
      <c r="AE77" s="658">
        <v>3.7</v>
      </c>
      <c r="AF77" s="659">
        <v>3.6294593990042943</v>
      </c>
      <c r="AG77" s="658">
        <v>3.5</v>
      </c>
      <c r="AH77" s="658">
        <v>3.36</v>
      </c>
      <c r="AI77" s="658">
        <v>3.2</v>
      </c>
      <c r="AJ77" s="659">
        <v>3.18</v>
      </c>
      <c r="AK77" s="658">
        <v>3.14</v>
      </c>
      <c r="AL77" s="658">
        <v>2.82</v>
      </c>
      <c r="AM77" s="658">
        <v>2.7</v>
      </c>
      <c r="AN77" s="659">
        <v>2.7</v>
      </c>
      <c r="AO77" s="658">
        <v>2.7</v>
      </c>
      <c r="AP77" s="658">
        <v>2.9</v>
      </c>
      <c r="AQ77" s="658">
        <v>2.9</v>
      </c>
      <c r="AR77" s="659">
        <v>2.7</v>
      </c>
      <c r="AS77" s="658">
        <v>2.7</v>
      </c>
      <c r="AT77" s="658">
        <v>2.7</v>
      </c>
      <c r="AU77" s="658">
        <v>2.9</v>
      </c>
    </row>
    <row r="78" spans="1:47" ht="12.75" x14ac:dyDescent="0.2">
      <c r="A78" s="660" t="s">
        <v>665</v>
      </c>
      <c r="B78" s="63"/>
      <c r="C78" s="63"/>
      <c r="D78" s="63"/>
      <c r="E78" s="63"/>
      <c r="F78" s="557"/>
      <c r="G78" s="558"/>
      <c r="H78" s="558"/>
      <c r="I78" s="558"/>
      <c r="J78" s="558"/>
      <c r="K78" s="558"/>
      <c r="L78" s="559"/>
      <c r="M78" s="557"/>
      <c r="N78" s="557"/>
      <c r="O78" s="557"/>
      <c r="P78" s="560"/>
      <c r="Q78" s="557"/>
      <c r="R78" s="557"/>
      <c r="S78" s="557"/>
      <c r="T78" s="560"/>
      <c r="U78" s="557"/>
      <c r="V78" s="557"/>
      <c r="W78" s="557"/>
      <c r="X78" s="560"/>
      <c r="Y78" s="557"/>
      <c r="Z78" s="557"/>
      <c r="AA78" s="557"/>
      <c r="AB78" s="560"/>
      <c r="AC78" s="557"/>
      <c r="AD78" s="557"/>
      <c r="AE78" s="557"/>
      <c r="AF78" s="560"/>
      <c r="AG78" s="557"/>
      <c r="AH78" s="557"/>
      <c r="AI78" s="557"/>
      <c r="AJ78" s="560"/>
      <c r="AK78" s="557"/>
      <c r="AL78" s="557"/>
      <c r="AM78" s="557"/>
      <c r="AN78" s="560"/>
      <c r="AO78" s="557"/>
      <c r="AP78" s="557"/>
      <c r="AQ78" s="557"/>
      <c r="AR78" s="560"/>
      <c r="AS78" s="557"/>
      <c r="AT78" s="557"/>
      <c r="AU78" s="557"/>
    </row>
    <row r="79" spans="1:47" ht="12.75" x14ac:dyDescent="0.2">
      <c r="A79" s="557" t="s">
        <v>666</v>
      </c>
      <c r="B79" s="557"/>
      <c r="C79" s="557"/>
      <c r="D79" s="557"/>
      <c r="E79" s="557"/>
      <c r="F79" s="557"/>
      <c r="G79" s="558"/>
      <c r="H79" s="558"/>
      <c r="I79" s="558"/>
      <c r="J79" s="558"/>
      <c r="K79" s="558"/>
      <c r="L79" s="559"/>
      <c r="M79" s="557"/>
      <c r="N79" s="557"/>
      <c r="O79" s="557"/>
      <c r="P79" s="560"/>
      <c r="Q79" s="557"/>
      <c r="R79" s="557"/>
      <c r="S79" s="557"/>
      <c r="T79" s="560"/>
      <c r="U79" s="557"/>
      <c r="V79" s="557"/>
      <c r="W79" s="557"/>
      <c r="X79" s="560"/>
      <c r="Y79" s="557"/>
      <c r="Z79" s="557"/>
      <c r="AA79" s="557"/>
      <c r="AB79" s="560"/>
      <c r="AC79" s="557"/>
      <c r="AD79" s="557"/>
      <c r="AE79" s="557"/>
      <c r="AF79" s="560"/>
      <c r="AG79" s="557"/>
      <c r="AH79" s="557"/>
      <c r="AI79" s="557"/>
      <c r="AJ79" s="560"/>
      <c r="AK79" s="557"/>
      <c r="AL79" s="557"/>
      <c r="AM79" s="557"/>
      <c r="AN79" s="560"/>
      <c r="AO79" s="557"/>
      <c r="AP79" s="557"/>
      <c r="AQ79" s="557"/>
      <c r="AR79" s="560"/>
      <c r="AS79" s="557"/>
      <c r="AT79" s="557"/>
      <c r="AU79" s="557"/>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1B6B-C05A-4905-A79B-7FC70D243C0D}">
  <sheetPr>
    <tabColor rgb="FFFFC000"/>
    <pageSetUpPr fitToPage="1"/>
  </sheetPr>
  <dimension ref="A1:K129"/>
  <sheetViews>
    <sheetView showGridLines="0" workbookViewId="0"/>
  </sheetViews>
  <sheetFormatPr defaultColWidth="10" defaultRowHeight="13.35" customHeight="1" x14ac:dyDescent="0.2"/>
  <cols>
    <col min="1" max="1" width="11.140625" customWidth="1"/>
    <col min="2" max="2" width="65.85546875" customWidth="1"/>
    <col min="4" max="4" width="9.5703125" customWidth="1"/>
    <col min="5" max="5" width="11.140625" customWidth="1"/>
    <col min="6" max="6" width="11.140625" bestFit="1" customWidth="1"/>
    <col min="7" max="10" width="11.140625" customWidth="1"/>
  </cols>
  <sheetData>
    <row r="1" spans="1:11" ht="16.5" thickBot="1" x14ac:dyDescent="0.3">
      <c r="A1" s="661" t="s">
        <v>667</v>
      </c>
      <c r="B1" s="661"/>
      <c r="C1" s="661"/>
      <c r="D1" s="661"/>
      <c r="E1" s="661"/>
      <c r="F1" s="661"/>
      <c r="G1" s="661"/>
      <c r="H1" s="661"/>
      <c r="I1" s="661"/>
      <c r="J1" s="661"/>
      <c r="K1" s="661"/>
    </row>
    <row r="2" spans="1:11" ht="46.5" thickTop="1" thickBot="1" x14ac:dyDescent="0.25">
      <c r="A2" s="662" t="s">
        <v>668</v>
      </c>
      <c r="B2" s="19" t="s">
        <v>32</v>
      </c>
      <c r="C2" s="663"/>
      <c r="D2" s="663"/>
      <c r="E2" s="663"/>
      <c r="F2" s="663"/>
      <c r="G2" s="663"/>
      <c r="H2" s="663"/>
      <c r="I2" s="663"/>
      <c r="J2" s="663"/>
      <c r="K2" s="664"/>
    </row>
    <row r="3" spans="1:11" ht="23.25" thickTop="1" x14ac:dyDescent="0.2">
      <c r="A3" s="665"/>
      <c r="B3" s="666" t="s">
        <v>669</v>
      </c>
      <c r="C3" s="667">
        <v>2018</v>
      </c>
      <c r="D3" s="667">
        <v>2019</v>
      </c>
      <c r="E3" s="667" t="s">
        <v>670</v>
      </c>
      <c r="F3" s="667">
        <v>2020</v>
      </c>
      <c r="G3" s="667">
        <v>2021</v>
      </c>
      <c r="H3" s="667">
        <v>2022</v>
      </c>
      <c r="I3" s="667">
        <v>2023</v>
      </c>
      <c r="J3" s="667">
        <v>2024</v>
      </c>
      <c r="K3" s="667" t="s">
        <v>671</v>
      </c>
    </row>
    <row r="4" spans="1:11" ht="12.75" x14ac:dyDescent="0.2">
      <c r="A4" s="665"/>
      <c r="B4" s="668" t="s">
        <v>672</v>
      </c>
      <c r="C4" s="669"/>
      <c r="D4" s="669"/>
      <c r="E4" s="669"/>
      <c r="F4" s="669"/>
      <c r="G4" s="669"/>
      <c r="H4" s="669"/>
      <c r="I4" s="669"/>
      <c r="J4" s="670"/>
      <c r="K4" s="670"/>
    </row>
    <row r="5" spans="1:11" ht="12.75" x14ac:dyDescent="0.2">
      <c r="A5" s="665" t="s">
        <v>673</v>
      </c>
      <c r="B5" s="665" t="s">
        <v>674</v>
      </c>
      <c r="C5" s="671">
        <v>6</v>
      </c>
      <c r="D5" s="671">
        <v>6</v>
      </c>
      <c r="E5" s="671">
        <v>17</v>
      </c>
      <c r="F5" s="671">
        <v>5</v>
      </c>
      <c r="G5" s="671">
        <v>6</v>
      </c>
      <c r="H5" s="671">
        <v>8</v>
      </c>
      <c r="I5" s="671">
        <v>10</v>
      </c>
      <c r="J5" s="671">
        <v>12</v>
      </c>
      <c r="K5" s="671"/>
    </row>
    <row r="6" spans="1:11" ht="12.75" x14ac:dyDescent="0.2">
      <c r="A6" s="665" t="s">
        <v>673</v>
      </c>
      <c r="B6" s="665" t="s">
        <v>675</v>
      </c>
      <c r="C6" s="671"/>
      <c r="D6" s="671"/>
      <c r="E6" s="671">
        <v>22</v>
      </c>
      <c r="F6" s="671"/>
      <c r="G6" s="671"/>
      <c r="H6" s="671"/>
      <c r="I6" s="671"/>
      <c r="J6" s="671">
        <v>18</v>
      </c>
      <c r="K6" s="671"/>
    </row>
    <row r="7" spans="1:11" ht="12.75" x14ac:dyDescent="0.2">
      <c r="A7" s="665" t="s">
        <v>673</v>
      </c>
      <c r="B7" s="665" t="s">
        <v>676</v>
      </c>
      <c r="C7" s="671"/>
      <c r="D7" s="671">
        <v>6</v>
      </c>
      <c r="E7" s="671">
        <v>39</v>
      </c>
      <c r="F7" s="671"/>
      <c r="G7" s="671"/>
      <c r="H7" s="671"/>
      <c r="I7" s="671">
        <v>10</v>
      </c>
      <c r="J7" s="671">
        <v>30</v>
      </c>
      <c r="K7" s="671"/>
    </row>
    <row r="8" spans="1:11" ht="12.75" x14ac:dyDescent="0.2">
      <c r="A8" s="665" t="s">
        <v>673</v>
      </c>
      <c r="B8" s="665" t="s">
        <v>677</v>
      </c>
      <c r="C8" s="671">
        <v>29</v>
      </c>
      <c r="D8" s="671">
        <v>22</v>
      </c>
      <c r="E8" s="671">
        <v>53</v>
      </c>
      <c r="F8" s="671">
        <v>22</v>
      </c>
      <c r="G8" s="671">
        <v>27</v>
      </c>
      <c r="H8" s="671">
        <v>18</v>
      </c>
      <c r="I8" s="671">
        <v>17</v>
      </c>
      <c r="J8" s="671">
        <v>20</v>
      </c>
      <c r="K8" s="671"/>
    </row>
    <row r="9" spans="1:11" ht="12.75" x14ac:dyDescent="0.2">
      <c r="A9" s="665" t="s">
        <v>673</v>
      </c>
      <c r="B9" s="665" t="s">
        <v>678</v>
      </c>
      <c r="C9" s="671"/>
      <c r="D9" s="672"/>
      <c r="E9" s="672" t="s">
        <v>195</v>
      </c>
      <c r="F9" s="671"/>
      <c r="G9" s="671"/>
      <c r="H9" s="671"/>
      <c r="I9" s="672" t="s">
        <v>195</v>
      </c>
      <c r="J9" s="672" t="s">
        <v>195</v>
      </c>
      <c r="K9" s="671"/>
    </row>
    <row r="10" spans="1:11" ht="12.75" x14ac:dyDescent="0.2">
      <c r="A10" s="665" t="s">
        <v>673</v>
      </c>
      <c r="B10" s="665" t="s">
        <v>679</v>
      </c>
      <c r="C10" s="671">
        <v>29</v>
      </c>
      <c r="D10" s="671">
        <v>22</v>
      </c>
      <c r="E10" s="671">
        <v>53</v>
      </c>
      <c r="F10" s="671">
        <v>22</v>
      </c>
      <c r="G10" s="671">
        <v>27</v>
      </c>
      <c r="H10" s="671">
        <v>18</v>
      </c>
      <c r="I10" s="671">
        <v>17</v>
      </c>
      <c r="J10" s="671">
        <v>20</v>
      </c>
      <c r="K10" s="671"/>
    </row>
    <row r="11" spans="1:11" ht="12.75" x14ac:dyDescent="0.2">
      <c r="A11" s="665" t="s">
        <v>673</v>
      </c>
      <c r="B11" s="665" t="s">
        <v>680</v>
      </c>
      <c r="C11" s="671">
        <v>33</v>
      </c>
      <c r="D11" s="671"/>
      <c r="E11" s="671">
        <v>58</v>
      </c>
      <c r="F11" s="671">
        <v>27</v>
      </c>
      <c r="G11" s="671">
        <v>36</v>
      </c>
      <c r="H11" s="671">
        <v>31</v>
      </c>
      <c r="I11" s="671">
        <v>32</v>
      </c>
      <c r="J11" s="671">
        <v>36</v>
      </c>
      <c r="K11" s="671"/>
    </row>
    <row r="12" spans="1:11" ht="12.75" x14ac:dyDescent="0.2">
      <c r="A12" s="665" t="s">
        <v>681</v>
      </c>
      <c r="B12" s="665" t="s">
        <v>682</v>
      </c>
      <c r="C12" s="671">
        <v>35</v>
      </c>
      <c r="D12" s="671">
        <v>28</v>
      </c>
      <c r="E12" s="671">
        <v>92</v>
      </c>
      <c r="F12" s="671">
        <v>27</v>
      </c>
      <c r="G12" s="671">
        <v>33</v>
      </c>
      <c r="H12" s="671">
        <v>26</v>
      </c>
      <c r="I12" s="671">
        <v>27</v>
      </c>
      <c r="J12" s="671">
        <v>49</v>
      </c>
      <c r="K12" s="673"/>
    </row>
    <row r="13" spans="1:11" ht="12.75" x14ac:dyDescent="0.2">
      <c r="A13" s="665"/>
      <c r="B13" s="664" t="s">
        <v>683</v>
      </c>
      <c r="C13" s="671"/>
      <c r="D13" s="671"/>
      <c r="E13" s="671"/>
      <c r="F13" s="671"/>
      <c r="G13" s="671"/>
      <c r="H13" s="671"/>
      <c r="I13" s="671"/>
      <c r="J13" s="671"/>
      <c r="K13" s="671">
        <v>53</v>
      </c>
    </row>
    <row r="14" spans="1:11" ht="12.75" x14ac:dyDescent="0.2">
      <c r="A14" s="665" t="s">
        <v>673</v>
      </c>
      <c r="B14" s="665" t="s">
        <v>684</v>
      </c>
      <c r="C14" s="671"/>
      <c r="D14" s="671"/>
      <c r="E14" s="671">
        <v>694</v>
      </c>
      <c r="F14" s="671"/>
      <c r="G14" s="671"/>
      <c r="H14" s="671"/>
      <c r="I14" s="671">
        <v>919</v>
      </c>
      <c r="J14" s="671">
        <v>770</v>
      </c>
      <c r="K14" s="673"/>
    </row>
    <row r="15" spans="1:11" ht="12.75" x14ac:dyDescent="0.2">
      <c r="A15" s="665"/>
      <c r="B15" s="664" t="s">
        <v>683</v>
      </c>
      <c r="C15" s="671"/>
      <c r="D15" s="671"/>
      <c r="E15" s="671"/>
      <c r="F15" s="671"/>
      <c r="G15" s="671"/>
      <c r="H15" s="671"/>
      <c r="I15" s="671"/>
      <c r="J15" s="671"/>
      <c r="K15" s="671">
        <v>799</v>
      </c>
    </row>
    <row r="16" spans="1:11" ht="12.75" x14ac:dyDescent="0.2">
      <c r="A16" s="665" t="s">
        <v>673</v>
      </c>
      <c r="B16" s="665" t="s">
        <v>685</v>
      </c>
      <c r="C16" s="671">
        <v>128</v>
      </c>
      <c r="D16" s="671">
        <v>105</v>
      </c>
      <c r="E16" s="671">
        <v>160</v>
      </c>
      <c r="F16" s="671">
        <v>83</v>
      </c>
      <c r="G16" s="671">
        <v>82</v>
      </c>
      <c r="H16" s="671">
        <v>91</v>
      </c>
      <c r="I16" s="671">
        <v>99</v>
      </c>
      <c r="J16" s="671">
        <v>121</v>
      </c>
      <c r="K16" s="673"/>
    </row>
    <row r="17" spans="1:11" ht="12.75" x14ac:dyDescent="0.2">
      <c r="A17" s="665"/>
      <c r="B17" s="664" t="s">
        <v>683</v>
      </c>
      <c r="C17" s="671"/>
      <c r="D17" s="671"/>
      <c r="E17" s="671"/>
      <c r="F17" s="671"/>
      <c r="G17" s="671"/>
      <c r="H17" s="671"/>
      <c r="I17" s="671"/>
      <c r="J17" s="671"/>
      <c r="K17" s="671">
        <v>134</v>
      </c>
    </row>
    <row r="18" spans="1:11" ht="12.75" x14ac:dyDescent="0.2">
      <c r="A18" s="665" t="s">
        <v>673</v>
      </c>
      <c r="B18" s="665" t="s">
        <v>686</v>
      </c>
      <c r="C18" s="673"/>
      <c r="D18" s="379">
        <v>5326</v>
      </c>
      <c r="E18" s="379">
        <v>6304</v>
      </c>
      <c r="F18" s="379">
        <v>3815</v>
      </c>
      <c r="G18" s="379">
        <v>4825</v>
      </c>
      <c r="H18" s="379">
        <v>5186</v>
      </c>
      <c r="I18" s="379">
        <v>5653</v>
      </c>
      <c r="J18" s="379">
        <v>5709</v>
      </c>
      <c r="K18" s="673"/>
    </row>
    <row r="19" spans="1:11" ht="12.75" x14ac:dyDescent="0.2">
      <c r="A19" s="665"/>
      <c r="B19" s="664" t="s">
        <v>683</v>
      </c>
      <c r="C19" s="673"/>
      <c r="D19" s="379"/>
      <c r="E19" s="379"/>
      <c r="F19" s="379"/>
      <c r="G19" s="379"/>
      <c r="H19" s="379"/>
      <c r="I19" s="379">
        <v>4861</v>
      </c>
      <c r="J19" s="379">
        <v>6325</v>
      </c>
      <c r="K19" s="379">
        <v>5736</v>
      </c>
    </row>
    <row r="20" spans="1:11" ht="12.75" x14ac:dyDescent="0.2">
      <c r="A20" s="665" t="s">
        <v>687</v>
      </c>
      <c r="B20" s="665" t="s">
        <v>688</v>
      </c>
      <c r="C20" s="671"/>
      <c r="D20" s="674"/>
      <c r="E20" s="674"/>
      <c r="F20" s="674"/>
      <c r="G20" s="673">
        <v>35</v>
      </c>
      <c r="H20" s="673">
        <v>39</v>
      </c>
      <c r="I20" s="673">
        <v>42</v>
      </c>
      <c r="J20" s="673">
        <v>42</v>
      </c>
      <c r="K20" s="674"/>
    </row>
    <row r="21" spans="1:11" ht="12.75" x14ac:dyDescent="0.2">
      <c r="A21" s="665"/>
      <c r="B21" s="664" t="s">
        <v>683</v>
      </c>
      <c r="C21" s="671"/>
      <c r="D21" s="674"/>
      <c r="E21" s="674"/>
      <c r="F21" s="674"/>
      <c r="G21" s="673"/>
      <c r="H21" s="673"/>
      <c r="I21" s="673">
        <v>45</v>
      </c>
      <c r="J21" s="673">
        <v>45</v>
      </c>
      <c r="K21" s="673">
        <v>47</v>
      </c>
    </row>
    <row r="22" spans="1:11" ht="12.75" x14ac:dyDescent="0.2">
      <c r="A22" s="665" t="s">
        <v>673</v>
      </c>
      <c r="B22" s="665" t="s">
        <v>689</v>
      </c>
      <c r="C22" s="671"/>
      <c r="D22" s="674"/>
      <c r="E22" s="674"/>
      <c r="F22" s="674"/>
      <c r="G22" s="673"/>
      <c r="H22" s="673"/>
      <c r="I22" s="672" t="s">
        <v>690</v>
      </c>
      <c r="J22" s="672" t="s">
        <v>691</v>
      </c>
      <c r="K22" s="673"/>
    </row>
    <row r="23" spans="1:11" ht="12.75" x14ac:dyDescent="0.2">
      <c r="A23" s="665" t="s">
        <v>673</v>
      </c>
      <c r="B23" s="665" t="s">
        <v>692</v>
      </c>
      <c r="C23" s="671"/>
      <c r="D23" s="674"/>
      <c r="E23" s="674"/>
      <c r="F23" s="674"/>
      <c r="G23" s="673"/>
      <c r="H23" s="673"/>
      <c r="I23" s="672" t="s">
        <v>690</v>
      </c>
      <c r="J23" s="672" t="s">
        <v>691</v>
      </c>
      <c r="K23" s="673"/>
    </row>
    <row r="24" spans="1:11" ht="12.75" x14ac:dyDescent="0.2">
      <c r="A24" s="665"/>
      <c r="B24" s="675" t="s">
        <v>693</v>
      </c>
      <c r="C24" s="670"/>
      <c r="D24" s="670"/>
      <c r="E24" s="670"/>
      <c r="F24" s="670"/>
      <c r="G24" s="670"/>
      <c r="H24" s="670"/>
      <c r="I24" s="670"/>
      <c r="J24" s="670"/>
      <c r="K24" s="670"/>
    </row>
    <row r="25" spans="1:11" ht="12.75" x14ac:dyDescent="0.2">
      <c r="A25" s="676" t="s">
        <v>694</v>
      </c>
      <c r="B25" s="32" t="s">
        <v>695</v>
      </c>
      <c r="C25" s="414"/>
      <c r="D25" s="414"/>
      <c r="E25" s="414"/>
      <c r="F25" s="414"/>
      <c r="G25" s="414"/>
      <c r="H25" s="414"/>
      <c r="I25" s="414">
        <v>86</v>
      </c>
      <c r="J25" s="414">
        <v>172</v>
      </c>
      <c r="K25" s="414"/>
    </row>
    <row r="26" spans="1:11" ht="12.75" x14ac:dyDescent="0.2">
      <c r="A26" s="676" t="s">
        <v>694</v>
      </c>
      <c r="B26" s="32" t="s">
        <v>696</v>
      </c>
      <c r="C26" s="414"/>
      <c r="D26" s="414"/>
      <c r="E26" s="414"/>
      <c r="F26" s="414"/>
      <c r="G26" s="414"/>
      <c r="H26" s="414"/>
      <c r="I26" s="414">
        <v>0</v>
      </c>
      <c r="J26" s="414">
        <v>1</v>
      </c>
      <c r="K26" s="414"/>
    </row>
    <row r="27" spans="1:11" ht="12.75" x14ac:dyDescent="0.2">
      <c r="A27" s="676" t="s">
        <v>694</v>
      </c>
      <c r="B27" s="32" t="s">
        <v>697</v>
      </c>
      <c r="C27" s="272"/>
      <c r="D27" s="272"/>
      <c r="E27" s="272"/>
      <c r="F27" s="272"/>
      <c r="G27" s="272"/>
      <c r="H27" s="272"/>
      <c r="I27" s="414">
        <v>112</v>
      </c>
      <c r="J27" s="414">
        <v>118</v>
      </c>
      <c r="K27" s="414"/>
    </row>
    <row r="28" spans="1:11" ht="12.75" x14ac:dyDescent="0.2">
      <c r="A28" s="676" t="s">
        <v>694</v>
      </c>
      <c r="B28" s="32" t="s">
        <v>698</v>
      </c>
      <c r="C28" s="414">
        <v>172</v>
      </c>
      <c r="D28" s="414">
        <v>161</v>
      </c>
      <c r="E28" s="414"/>
      <c r="F28" s="414">
        <v>146</v>
      </c>
      <c r="G28" s="414">
        <v>177</v>
      </c>
      <c r="H28" s="414">
        <v>175</v>
      </c>
      <c r="I28" s="414">
        <v>198</v>
      </c>
      <c r="J28" s="414">
        <v>291</v>
      </c>
      <c r="K28" s="414"/>
    </row>
    <row r="29" spans="1:11" ht="12.75" x14ac:dyDescent="0.2">
      <c r="A29" s="676" t="s">
        <v>694</v>
      </c>
      <c r="B29" s="32" t="s">
        <v>699</v>
      </c>
      <c r="C29" s="414">
        <v>49</v>
      </c>
      <c r="D29" s="414">
        <v>39</v>
      </c>
      <c r="E29" s="414"/>
      <c r="F29" s="414">
        <v>57</v>
      </c>
      <c r="G29" s="414">
        <v>53</v>
      </c>
      <c r="H29" s="414">
        <v>60</v>
      </c>
      <c r="I29" s="414">
        <v>56</v>
      </c>
      <c r="J29" s="414">
        <v>59</v>
      </c>
      <c r="K29" s="414"/>
    </row>
    <row r="30" spans="1:11" ht="12.75" x14ac:dyDescent="0.2">
      <c r="A30" s="676"/>
      <c r="B30" s="677" t="s">
        <v>683</v>
      </c>
      <c r="C30" s="414"/>
      <c r="D30" s="414"/>
      <c r="E30" s="414"/>
      <c r="F30" s="414"/>
      <c r="G30" s="414"/>
      <c r="H30" s="414"/>
      <c r="I30" s="414"/>
      <c r="J30" s="414">
        <v>64</v>
      </c>
      <c r="K30" s="414">
        <v>58</v>
      </c>
    </row>
    <row r="31" spans="1:11" ht="12.75" x14ac:dyDescent="0.2">
      <c r="A31" s="676" t="s">
        <v>694</v>
      </c>
      <c r="B31" s="32" t="s">
        <v>700</v>
      </c>
      <c r="C31" s="414"/>
      <c r="D31" s="414"/>
      <c r="E31" s="414"/>
      <c r="F31" s="414"/>
      <c r="G31" s="414"/>
      <c r="H31" s="414"/>
      <c r="I31" s="414">
        <v>57</v>
      </c>
      <c r="J31" s="414">
        <v>41</v>
      </c>
      <c r="K31" s="414"/>
    </row>
    <row r="32" spans="1:11" ht="12.75" x14ac:dyDescent="0.2">
      <c r="A32" s="676" t="s">
        <v>694</v>
      </c>
      <c r="B32" s="32" t="s">
        <v>701</v>
      </c>
      <c r="C32" s="414"/>
      <c r="D32" s="414"/>
      <c r="E32" s="414"/>
      <c r="F32" s="414"/>
      <c r="G32" s="414"/>
      <c r="H32" s="414"/>
      <c r="I32" s="414">
        <v>61</v>
      </c>
      <c r="J32" s="414">
        <v>44</v>
      </c>
      <c r="K32" s="414"/>
    </row>
    <row r="33" spans="1:11" ht="12.75" x14ac:dyDescent="0.2">
      <c r="A33" s="676" t="s">
        <v>694</v>
      </c>
      <c r="B33" s="32" t="s">
        <v>702</v>
      </c>
      <c r="C33" s="414"/>
      <c r="D33" s="414"/>
      <c r="E33" s="414"/>
      <c r="F33" s="414"/>
      <c r="G33" s="414"/>
      <c r="H33" s="414"/>
      <c r="I33" s="678" t="s">
        <v>703</v>
      </c>
      <c r="J33" s="678" t="s">
        <v>704</v>
      </c>
      <c r="K33" s="414"/>
    </row>
    <row r="34" spans="1:11" ht="12.75" x14ac:dyDescent="0.2">
      <c r="A34" s="676"/>
      <c r="B34" s="679" t="s">
        <v>705</v>
      </c>
      <c r="C34" s="680"/>
      <c r="D34" s="680"/>
      <c r="E34" s="680"/>
      <c r="F34" s="680"/>
      <c r="G34" s="680"/>
      <c r="H34" s="680"/>
      <c r="I34" s="680"/>
      <c r="J34" s="680"/>
      <c r="K34" s="680"/>
    </row>
    <row r="35" spans="1:11" ht="12.75" x14ac:dyDescent="0.2">
      <c r="A35" s="676" t="s">
        <v>706</v>
      </c>
      <c r="B35" s="32" t="s">
        <v>707</v>
      </c>
      <c r="C35" s="414">
        <v>65</v>
      </c>
      <c r="D35" s="414">
        <v>55</v>
      </c>
      <c r="E35" s="414"/>
      <c r="F35" s="414">
        <v>82</v>
      </c>
      <c r="G35" s="414">
        <v>95</v>
      </c>
      <c r="H35" s="414">
        <v>85</v>
      </c>
      <c r="I35" s="414">
        <v>116</v>
      </c>
      <c r="J35" s="414">
        <v>147</v>
      </c>
      <c r="K35" s="681"/>
    </row>
    <row r="36" spans="1:11" ht="12.75" x14ac:dyDescent="0.2">
      <c r="A36" s="665" t="s">
        <v>706</v>
      </c>
      <c r="B36" s="665" t="s">
        <v>708</v>
      </c>
      <c r="C36" s="682">
        <v>2.9</v>
      </c>
      <c r="D36" s="682">
        <v>2.4</v>
      </c>
      <c r="E36" s="682"/>
      <c r="F36" s="682">
        <v>4</v>
      </c>
      <c r="G36" s="682">
        <v>4.2</v>
      </c>
      <c r="H36" s="682">
        <v>3</v>
      </c>
      <c r="I36" s="682">
        <v>3.3</v>
      </c>
      <c r="J36" s="682">
        <v>3.37</v>
      </c>
      <c r="K36" s="674"/>
    </row>
    <row r="37" spans="1:11" ht="12.75" x14ac:dyDescent="0.2">
      <c r="A37" s="665"/>
      <c r="B37" s="664" t="s">
        <v>683</v>
      </c>
      <c r="C37" s="683"/>
      <c r="D37" s="674"/>
      <c r="E37" s="674"/>
      <c r="F37" s="674"/>
      <c r="G37" s="674"/>
      <c r="H37" s="674"/>
      <c r="I37" s="674">
        <v>3.2</v>
      </c>
      <c r="J37" s="674">
        <v>3.3</v>
      </c>
      <c r="K37" s="684" t="s">
        <v>709</v>
      </c>
    </row>
    <row r="38" spans="1:11" ht="12.75" x14ac:dyDescent="0.2">
      <c r="A38" s="665"/>
      <c r="B38" s="668" t="s">
        <v>710</v>
      </c>
      <c r="C38" s="669"/>
      <c r="D38" s="669"/>
      <c r="E38" s="669"/>
      <c r="F38" s="669"/>
      <c r="G38" s="669"/>
      <c r="H38" s="669"/>
      <c r="I38" s="669"/>
      <c r="J38" s="670"/>
      <c r="K38" s="670"/>
    </row>
    <row r="39" spans="1:11" ht="12.75" x14ac:dyDescent="0.2">
      <c r="A39" s="665" t="s">
        <v>711</v>
      </c>
      <c r="B39" s="665" t="s">
        <v>712</v>
      </c>
      <c r="C39" s="685"/>
      <c r="D39" s="685"/>
      <c r="E39" s="685"/>
      <c r="F39" s="685"/>
      <c r="G39" s="599" t="s">
        <v>195</v>
      </c>
      <c r="H39" s="686">
        <v>0.7</v>
      </c>
      <c r="I39" s="685">
        <v>0</v>
      </c>
      <c r="J39" s="685">
        <v>0</v>
      </c>
      <c r="K39" s="664"/>
    </row>
    <row r="40" spans="1:11" ht="12.75" x14ac:dyDescent="0.2">
      <c r="A40" s="665" t="s">
        <v>711</v>
      </c>
      <c r="B40" s="665" t="s">
        <v>713</v>
      </c>
      <c r="C40" s="663"/>
      <c r="D40" s="663"/>
      <c r="E40" s="663"/>
      <c r="F40" s="663"/>
      <c r="G40" s="687">
        <v>0.6</v>
      </c>
      <c r="H40" s="687">
        <v>0.9</v>
      </c>
      <c r="I40" s="687">
        <v>4.0999999999999996</v>
      </c>
      <c r="J40" s="687">
        <v>4.7</v>
      </c>
      <c r="K40" s="664"/>
    </row>
    <row r="41" spans="1:11" ht="12.75" x14ac:dyDescent="0.2">
      <c r="A41" s="665" t="s">
        <v>714</v>
      </c>
      <c r="B41" s="665" t="s">
        <v>715</v>
      </c>
      <c r="C41" s="663"/>
      <c r="D41" s="663"/>
      <c r="E41" s="663"/>
      <c r="F41" s="663"/>
      <c r="G41" s="687">
        <v>7.6</v>
      </c>
      <c r="H41" s="687">
        <v>6.7</v>
      </c>
      <c r="I41" s="687">
        <v>9</v>
      </c>
      <c r="J41" s="687">
        <v>9</v>
      </c>
      <c r="K41" s="664"/>
    </row>
    <row r="42" spans="1:11" ht="12.75" x14ac:dyDescent="0.2">
      <c r="A42" s="665" t="s">
        <v>716</v>
      </c>
      <c r="B42" s="665" t="s">
        <v>717</v>
      </c>
      <c r="C42" s="663"/>
      <c r="D42" s="663"/>
      <c r="E42" s="663"/>
      <c r="F42" s="663"/>
      <c r="G42" s="687">
        <v>10.1</v>
      </c>
      <c r="H42" s="687">
        <v>13.6</v>
      </c>
      <c r="I42" s="687">
        <v>15.7</v>
      </c>
      <c r="J42" s="687">
        <v>12.5</v>
      </c>
      <c r="K42" s="664"/>
    </row>
    <row r="43" spans="1:11" ht="12.75" x14ac:dyDescent="0.2">
      <c r="A43" s="665" t="s">
        <v>718</v>
      </c>
      <c r="B43" s="665" t="s">
        <v>719</v>
      </c>
      <c r="C43" s="663"/>
      <c r="D43" s="663"/>
      <c r="E43" s="663"/>
      <c r="F43" s="663"/>
      <c r="G43" s="687">
        <v>11.2</v>
      </c>
      <c r="H43" s="687">
        <v>10.5</v>
      </c>
      <c r="I43" s="687">
        <v>13.6</v>
      </c>
      <c r="J43" s="687">
        <v>13.1</v>
      </c>
      <c r="K43" s="688"/>
    </row>
    <row r="44" spans="1:11" ht="12.75" x14ac:dyDescent="0.2">
      <c r="A44" s="665"/>
      <c r="B44" s="665"/>
      <c r="C44" s="663"/>
      <c r="D44" s="663"/>
      <c r="E44" s="663"/>
      <c r="F44" s="663"/>
      <c r="G44" s="687"/>
      <c r="H44" s="687"/>
      <c r="I44" s="687"/>
      <c r="J44" s="682"/>
      <c r="K44" s="688"/>
    </row>
    <row r="45" spans="1:11" ht="12.75" x14ac:dyDescent="0.2">
      <c r="A45" s="665"/>
      <c r="B45" s="666" t="s">
        <v>720</v>
      </c>
      <c r="C45" s="689">
        <v>2018</v>
      </c>
      <c r="D45" s="689">
        <v>2019</v>
      </c>
      <c r="E45" s="689">
        <v>2020</v>
      </c>
      <c r="F45" s="689">
        <v>2021</v>
      </c>
      <c r="G45" s="689">
        <v>2022</v>
      </c>
      <c r="H45" s="689">
        <v>2023</v>
      </c>
      <c r="I45" s="689">
        <v>2024</v>
      </c>
      <c r="J45" s="689" t="s">
        <v>671</v>
      </c>
      <c r="K45" s="664"/>
    </row>
    <row r="46" spans="1:11" ht="12.75" x14ac:dyDescent="0.2">
      <c r="A46" s="665"/>
      <c r="B46" s="668" t="s">
        <v>721</v>
      </c>
      <c r="C46" s="669"/>
      <c r="D46" s="669"/>
      <c r="E46" s="669"/>
      <c r="F46" s="669"/>
      <c r="G46" s="669"/>
      <c r="H46" s="669"/>
      <c r="I46" s="670"/>
      <c r="J46" s="670"/>
      <c r="K46" s="664"/>
    </row>
    <row r="47" spans="1:11" ht="12.75" x14ac:dyDescent="0.2">
      <c r="A47" s="591" t="s">
        <v>722</v>
      </c>
      <c r="B47" s="577" t="s">
        <v>655</v>
      </c>
      <c r="C47" s="356">
        <v>13847</v>
      </c>
      <c r="D47" s="356">
        <v>14268</v>
      </c>
      <c r="E47" s="356">
        <v>13840</v>
      </c>
      <c r="F47" s="356">
        <v>15529</v>
      </c>
      <c r="G47" s="356">
        <v>16996</v>
      </c>
      <c r="H47" s="356">
        <v>18211</v>
      </c>
      <c r="I47" s="690">
        <v>18874</v>
      </c>
      <c r="J47" s="348"/>
      <c r="K47" s="591"/>
    </row>
    <row r="48" spans="1:11" ht="12.75" x14ac:dyDescent="0.2">
      <c r="A48" s="591" t="s">
        <v>722</v>
      </c>
      <c r="B48" s="577" t="s">
        <v>656</v>
      </c>
      <c r="C48" s="356">
        <v>1610</v>
      </c>
      <c r="D48" s="356">
        <v>1366</v>
      </c>
      <c r="E48" s="356">
        <v>1109</v>
      </c>
      <c r="F48" s="356">
        <v>1474</v>
      </c>
      <c r="G48" s="356">
        <v>1630</v>
      </c>
      <c r="H48" s="356">
        <v>1762</v>
      </c>
      <c r="I48" s="690">
        <v>1495</v>
      </c>
      <c r="J48" s="348"/>
      <c r="K48" s="591"/>
    </row>
    <row r="49" spans="1:11" ht="12.75" x14ac:dyDescent="0.2">
      <c r="A49" s="665" t="s">
        <v>723</v>
      </c>
      <c r="B49" s="665" t="s">
        <v>724</v>
      </c>
      <c r="C49" s="671">
        <v>30</v>
      </c>
      <c r="D49" s="671">
        <v>32</v>
      </c>
      <c r="E49" s="671">
        <v>33</v>
      </c>
      <c r="F49" s="671">
        <v>34</v>
      </c>
      <c r="G49" s="671">
        <v>32</v>
      </c>
      <c r="H49" s="671">
        <v>39</v>
      </c>
      <c r="I49" s="691">
        <v>39</v>
      </c>
      <c r="J49" s="692"/>
      <c r="K49" s="591"/>
    </row>
    <row r="50" spans="1:11" ht="12.75" x14ac:dyDescent="0.2">
      <c r="A50" s="665" t="s">
        <v>725</v>
      </c>
      <c r="B50" s="665" t="s">
        <v>726</v>
      </c>
      <c r="C50" s="682">
        <v>7.4</v>
      </c>
      <c r="D50" s="682">
        <v>7.4</v>
      </c>
      <c r="E50" s="682">
        <v>5.5</v>
      </c>
      <c r="F50" s="682">
        <v>6.9</v>
      </c>
      <c r="G50" s="682">
        <v>8.8000000000000007</v>
      </c>
      <c r="H50" s="682">
        <v>6.9</v>
      </c>
      <c r="I50" s="691">
        <v>6.8</v>
      </c>
      <c r="J50" s="674"/>
      <c r="K50" s="591"/>
    </row>
    <row r="51" spans="1:11" ht="12.75" x14ac:dyDescent="0.2">
      <c r="A51" s="665" t="s">
        <v>725</v>
      </c>
      <c r="B51" s="665" t="s">
        <v>727</v>
      </c>
      <c r="C51" s="682"/>
      <c r="D51" s="682"/>
      <c r="E51" s="682"/>
      <c r="F51" s="682"/>
      <c r="G51" s="682"/>
      <c r="H51" s="682"/>
      <c r="I51" s="691">
        <v>15</v>
      </c>
      <c r="J51" s="674"/>
      <c r="K51" s="591"/>
    </row>
    <row r="52" spans="1:11" ht="12.75" x14ac:dyDescent="0.2">
      <c r="A52" s="665" t="s">
        <v>725</v>
      </c>
      <c r="B52" s="665" t="s">
        <v>728</v>
      </c>
      <c r="C52" s="682"/>
      <c r="D52" s="682"/>
      <c r="E52" s="682"/>
      <c r="F52" s="682"/>
      <c r="G52" s="682"/>
      <c r="H52" s="671">
        <v>2431</v>
      </c>
      <c r="I52" s="691">
        <v>3098</v>
      </c>
      <c r="J52" s="674"/>
      <c r="K52" s="591"/>
    </row>
    <row r="53" spans="1:11" ht="22.5" x14ac:dyDescent="0.2">
      <c r="A53" s="693" t="s">
        <v>729</v>
      </c>
      <c r="B53" s="694" t="s">
        <v>730</v>
      </c>
      <c r="C53" s="682"/>
      <c r="D53" s="682"/>
      <c r="E53" s="682"/>
      <c r="F53" s="682"/>
      <c r="G53" s="682"/>
      <c r="H53" s="671"/>
      <c r="I53" s="691">
        <v>9829</v>
      </c>
      <c r="J53" s="674"/>
      <c r="K53" s="591"/>
    </row>
    <row r="54" spans="1:11" ht="12.75" x14ac:dyDescent="0.2">
      <c r="A54" s="676"/>
      <c r="B54" s="695" t="s">
        <v>731</v>
      </c>
      <c r="C54" s="696"/>
      <c r="D54" s="696"/>
      <c r="E54" s="696"/>
      <c r="F54" s="696"/>
      <c r="G54" s="696"/>
      <c r="H54" s="414"/>
      <c r="I54" s="311">
        <v>3550</v>
      </c>
      <c r="J54" s="681"/>
      <c r="K54" s="697"/>
    </row>
    <row r="55" spans="1:11" ht="12.75" x14ac:dyDescent="0.2">
      <c r="A55" s="676"/>
      <c r="B55" s="433" t="s">
        <v>732</v>
      </c>
      <c r="C55" s="696"/>
      <c r="D55" s="696"/>
      <c r="E55" s="696"/>
      <c r="F55" s="696"/>
      <c r="G55" s="696"/>
      <c r="H55" s="414"/>
      <c r="I55" s="311">
        <v>2253</v>
      </c>
      <c r="J55" s="681"/>
      <c r="K55" s="697"/>
    </row>
    <row r="56" spans="1:11" ht="12.75" x14ac:dyDescent="0.2">
      <c r="A56" s="676"/>
      <c r="B56" s="433" t="s">
        <v>364</v>
      </c>
      <c r="C56" s="696"/>
      <c r="D56" s="696"/>
      <c r="E56" s="696"/>
      <c r="F56" s="696"/>
      <c r="G56" s="696"/>
      <c r="H56" s="414"/>
      <c r="I56" s="311">
        <v>2131</v>
      </c>
      <c r="J56" s="681"/>
      <c r="K56" s="697"/>
    </row>
    <row r="57" spans="1:11" ht="12.75" x14ac:dyDescent="0.2">
      <c r="A57" s="676"/>
      <c r="B57" s="433" t="s">
        <v>384</v>
      </c>
      <c r="C57" s="696"/>
      <c r="D57" s="696"/>
      <c r="E57" s="696"/>
      <c r="F57" s="696"/>
      <c r="G57" s="696"/>
      <c r="H57" s="414"/>
      <c r="I57" s="311">
        <v>1895</v>
      </c>
      <c r="J57" s="681"/>
      <c r="K57" s="697"/>
    </row>
    <row r="58" spans="1:11" ht="12.75" x14ac:dyDescent="0.2">
      <c r="A58" s="591" t="s">
        <v>733</v>
      </c>
      <c r="B58" s="591" t="s">
        <v>734</v>
      </c>
      <c r="C58" s="348"/>
      <c r="D58" s="348"/>
      <c r="E58" s="348"/>
      <c r="F58" s="348"/>
      <c r="G58" s="348"/>
      <c r="H58" s="348"/>
      <c r="I58" s="690">
        <v>18600</v>
      </c>
      <c r="J58" s="348"/>
      <c r="K58" s="591"/>
    </row>
    <row r="59" spans="1:11" ht="12.75" x14ac:dyDescent="0.2">
      <c r="A59" s="591" t="s">
        <v>733</v>
      </c>
      <c r="B59" s="591" t="s">
        <v>735</v>
      </c>
      <c r="C59" s="348"/>
      <c r="D59" s="348"/>
      <c r="E59" s="348"/>
      <c r="F59" s="348"/>
      <c r="G59" s="348"/>
      <c r="H59" s="348"/>
      <c r="I59" s="690">
        <v>273</v>
      </c>
      <c r="J59" s="348"/>
      <c r="K59" s="591"/>
    </row>
    <row r="60" spans="1:11" ht="12.75" x14ac:dyDescent="0.2">
      <c r="A60" s="591" t="s">
        <v>733</v>
      </c>
      <c r="B60" s="591" t="s">
        <v>736</v>
      </c>
      <c r="C60" s="348"/>
      <c r="D60" s="348"/>
      <c r="E60" s="348"/>
      <c r="F60" s="348"/>
      <c r="G60" s="348"/>
      <c r="H60" s="348"/>
      <c r="I60" s="690">
        <v>534</v>
      </c>
      <c r="J60" s="348"/>
      <c r="K60" s="591"/>
    </row>
    <row r="61" spans="1:11" ht="12.75" x14ac:dyDescent="0.2">
      <c r="A61" s="591" t="s">
        <v>733</v>
      </c>
      <c r="B61" s="591" t="s">
        <v>737</v>
      </c>
      <c r="C61" s="348"/>
      <c r="D61" s="348"/>
      <c r="E61" s="348"/>
      <c r="F61" s="348"/>
      <c r="G61" s="348"/>
      <c r="H61" s="348"/>
      <c r="I61" s="690">
        <v>18655</v>
      </c>
      <c r="J61" s="348"/>
      <c r="K61" s="591"/>
    </row>
    <row r="62" spans="1:11" ht="12.75" x14ac:dyDescent="0.2">
      <c r="A62" s="591" t="s">
        <v>733</v>
      </c>
      <c r="B62" s="591" t="s">
        <v>738</v>
      </c>
      <c r="C62" s="348"/>
      <c r="D62" s="348"/>
      <c r="E62" s="348"/>
      <c r="F62" s="348"/>
      <c r="G62" s="348"/>
      <c r="H62" s="348"/>
      <c r="I62" s="690">
        <v>219</v>
      </c>
      <c r="J62" s="348"/>
      <c r="K62" s="591"/>
    </row>
    <row r="63" spans="1:11" ht="12.75" x14ac:dyDescent="0.2">
      <c r="A63" s="665" t="s">
        <v>729</v>
      </c>
      <c r="B63" s="665" t="s">
        <v>739</v>
      </c>
      <c r="C63" s="671">
        <v>42</v>
      </c>
      <c r="D63" s="671">
        <v>45</v>
      </c>
      <c r="E63" s="671">
        <v>44</v>
      </c>
      <c r="F63" s="671">
        <v>40</v>
      </c>
      <c r="G63" s="671">
        <v>39</v>
      </c>
      <c r="H63" s="671">
        <v>39</v>
      </c>
      <c r="I63" s="671">
        <v>37</v>
      </c>
      <c r="J63" s="692"/>
      <c r="K63" s="591"/>
    </row>
    <row r="64" spans="1:11" ht="12.75" x14ac:dyDescent="0.2">
      <c r="A64" s="665" t="s">
        <v>740</v>
      </c>
      <c r="B64" s="665" t="s">
        <v>741</v>
      </c>
      <c r="C64" s="698">
        <v>16</v>
      </c>
      <c r="D64" s="682">
        <v>15.5</v>
      </c>
      <c r="E64" s="682">
        <v>15.7</v>
      </c>
      <c r="F64" s="682">
        <v>17.100000000000001</v>
      </c>
      <c r="G64" s="682">
        <v>18.2</v>
      </c>
      <c r="H64" s="682">
        <v>19</v>
      </c>
      <c r="I64" s="682">
        <v>19.78</v>
      </c>
      <c r="J64" s="682"/>
      <c r="K64" s="591"/>
    </row>
    <row r="65" spans="1:11" ht="12.75" x14ac:dyDescent="0.2">
      <c r="A65" s="676"/>
      <c r="B65" s="699" t="s">
        <v>683</v>
      </c>
      <c r="C65" s="414"/>
      <c r="D65" s="700"/>
      <c r="E65" s="700"/>
      <c r="F65" s="700"/>
      <c r="G65" s="700"/>
      <c r="H65" s="700">
        <v>19.3</v>
      </c>
      <c r="I65" s="700">
        <v>19.600000000000001</v>
      </c>
      <c r="J65" s="701" t="s">
        <v>742</v>
      </c>
      <c r="K65" s="697"/>
    </row>
    <row r="66" spans="1:11" ht="12.75" x14ac:dyDescent="0.2">
      <c r="A66" s="665" t="s">
        <v>740</v>
      </c>
      <c r="B66" s="665" t="s">
        <v>743</v>
      </c>
      <c r="C66" s="671"/>
      <c r="D66" s="682">
        <v>11.8</v>
      </c>
      <c r="E66" s="682"/>
      <c r="F66" s="682"/>
      <c r="G66" s="682"/>
      <c r="H66" s="682">
        <v>18.399999999999999</v>
      </c>
      <c r="I66" s="682">
        <v>17.7</v>
      </c>
      <c r="J66" s="692"/>
      <c r="K66" s="591"/>
    </row>
    <row r="67" spans="1:11" ht="12.75" x14ac:dyDescent="0.2">
      <c r="A67" s="665" t="s">
        <v>740</v>
      </c>
      <c r="B67" s="665" t="s">
        <v>744</v>
      </c>
      <c r="C67" s="671"/>
      <c r="D67" s="682">
        <v>14.8</v>
      </c>
      <c r="E67" s="682"/>
      <c r="F67" s="682"/>
      <c r="G67" s="682"/>
      <c r="H67" s="682">
        <v>19.399999999999999</v>
      </c>
      <c r="I67" s="682">
        <v>20.8</v>
      </c>
      <c r="J67" s="692"/>
      <c r="K67" s="591"/>
    </row>
    <row r="68" spans="1:11" ht="12.75" x14ac:dyDescent="0.2">
      <c r="A68" s="665" t="s">
        <v>740</v>
      </c>
      <c r="B68" s="665" t="s">
        <v>745</v>
      </c>
      <c r="C68" s="671"/>
      <c r="D68" s="682">
        <v>10.3</v>
      </c>
      <c r="E68" s="682"/>
      <c r="F68" s="682"/>
      <c r="G68" s="682"/>
      <c r="H68" s="682">
        <v>10.9</v>
      </c>
      <c r="I68" s="682">
        <v>10.9</v>
      </c>
      <c r="J68" s="692"/>
      <c r="K68" s="591"/>
    </row>
    <row r="69" spans="1:11" ht="12.75" x14ac:dyDescent="0.2">
      <c r="A69" s="665" t="s">
        <v>740</v>
      </c>
      <c r="B69" s="665" t="s">
        <v>746</v>
      </c>
      <c r="C69" s="671"/>
      <c r="D69" s="682">
        <v>29.3</v>
      </c>
      <c r="E69" s="682"/>
      <c r="F69" s="682"/>
      <c r="G69" s="682"/>
      <c r="H69" s="682">
        <v>33.200000000000003</v>
      </c>
      <c r="I69" s="682">
        <v>34.4</v>
      </c>
      <c r="J69" s="692"/>
      <c r="K69" s="591"/>
    </row>
    <row r="70" spans="1:11" ht="12.75" x14ac:dyDescent="0.2">
      <c r="A70" s="665" t="s">
        <v>740</v>
      </c>
      <c r="B70" s="665" t="s">
        <v>747</v>
      </c>
      <c r="C70" s="671"/>
      <c r="D70" s="682">
        <v>5.0999999999999996</v>
      </c>
      <c r="E70" s="682"/>
      <c r="F70" s="682"/>
      <c r="G70" s="682"/>
      <c r="H70" s="682">
        <v>7.8</v>
      </c>
      <c r="I70" s="682">
        <v>8.5</v>
      </c>
      <c r="J70" s="692"/>
      <c r="K70" s="591"/>
    </row>
    <row r="71" spans="1:11" ht="12.75" x14ac:dyDescent="0.2">
      <c r="A71" s="665" t="s">
        <v>740</v>
      </c>
      <c r="B71" s="665" t="s">
        <v>748</v>
      </c>
      <c r="C71" s="698">
        <v>20</v>
      </c>
      <c r="D71" s="682">
        <v>19.3</v>
      </c>
      <c r="E71" s="682">
        <v>21</v>
      </c>
      <c r="F71" s="682">
        <v>22.5</v>
      </c>
      <c r="G71" s="682">
        <v>22.7</v>
      </c>
      <c r="H71" s="682">
        <v>23.4</v>
      </c>
      <c r="I71" s="682">
        <v>24.4</v>
      </c>
      <c r="J71" s="673"/>
      <c r="K71" s="664"/>
    </row>
    <row r="72" spans="1:11" ht="12.75" x14ac:dyDescent="0.2">
      <c r="A72" s="676"/>
      <c r="B72" s="699" t="s">
        <v>683</v>
      </c>
      <c r="C72" s="414"/>
      <c r="D72" s="700"/>
      <c r="E72" s="700"/>
      <c r="F72" s="700"/>
      <c r="G72" s="700"/>
      <c r="H72" s="700">
        <v>24</v>
      </c>
      <c r="I72" s="700">
        <v>24.4</v>
      </c>
      <c r="J72" s="701" t="s">
        <v>749</v>
      </c>
      <c r="K72" s="702"/>
    </row>
    <row r="73" spans="1:11" ht="22.5" x14ac:dyDescent="0.2">
      <c r="A73" s="693" t="s">
        <v>740</v>
      </c>
      <c r="B73" s="703" t="s">
        <v>750</v>
      </c>
      <c r="C73" s="671"/>
      <c r="D73" s="692"/>
      <c r="E73" s="692"/>
      <c r="F73" s="692"/>
      <c r="G73" s="692"/>
      <c r="H73" s="682">
        <v>40.9</v>
      </c>
      <c r="I73" s="682">
        <v>30.7</v>
      </c>
      <c r="J73" s="704"/>
      <c r="K73" s="664"/>
    </row>
    <row r="74" spans="1:11" ht="12.75" x14ac:dyDescent="0.2">
      <c r="A74" s="665"/>
      <c r="B74" s="668" t="s">
        <v>751</v>
      </c>
      <c r="C74" s="670"/>
      <c r="D74" s="670"/>
      <c r="E74" s="670"/>
      <c r="F74" s="670"/>
      <c r="G74" s="670"/>
      <c r="H74" s="670"/>
      <c r="I74" s="670"/>
      <c r="J74" s="670"/>
      <c r="K74" s="664"/>
    </row>
    <row r="75" spans="1:11" ht="12.75" x14ac:dyDescent="0.2">
      <c r="A75" s="665" t="s">
        <v>752</v>
      </c>
      <c r="B75" s="665" t="s">
        <v>753</v>
      </c>
      <c r="C75" s="671">
        <v>88</v>
      </c>
      <c r="D75" s="671">
        <v>88</v>
      </c>
      <c r="E75" s="671">
        <v>87</v>
      </c>
      <c r="F75" s="671">
        <v>87</v>
      </c>
      <c r="G75" s="671">
        <v>86</v>
      </c>
      <c r="H75" s="671">
        <v>79</v>
      </c>
      <c r="I75" s="671">
        <v>84</v>
      </c>
      <c r="J75" s="674"/>
      <c r="K75" s="664"/>
    </row>
    <row r="76" spans="1:11" ht="12.75" x14ac:dyDescent="0.2">
      <c r="A76" s="665" t="s">
        <v>752</v>
      </c>
      <c r="B76" s="665" t="s">
        <v>754</v>
      </c>
      <c r="C76" s="705" t="s">
        <v>195</v>
      </c>
      <c r="D76" s="671">
        <v>69</v>
      </c>
      <c r="E76" s="671">
        <v>71</v>
      </c>
      <c r="F76" s="671">
        <v>72</v>
      </c>
      <c r="G76" s="671">
        <v>72</v>
      </c>
      <c r="H76" s="671">
        <v>72</v>
      </c>
      <c r="I76" s="671">
        <v>72</v>
      </c>
      <c r="J76" s="674"/>
      <c r="K76" s="664"/>
    </row>
    <row r="77" spans="1:11" ht="12.75" x14ac:dyDescent="0.2">
      <c r="A77" s="665"/>
      <c r="B77" s="668" t="s">
        <v>755</v>
      </c>
      <c r="C77" s="670"/>
      <c r="D77" s="670"/>
      <c r="E77" s="670"/>
      <c r="F77" s="670"/>
      <c r="G77" s="670"/>
      <c r="H77" s="670"/>
      <c r="I77" s="706"/>
      <c r="J77" s="706"/>
      <c r="K77" s="664"/>
    </row>
    <row r="78" spans="1:11" ht="12.75" x14ac:dyDescent="0.2">
      <c r="A78" s="665" t="s">
        <v>756</v>
      </c>
      <c r="B78" s="665" t="s">
        <v>757</v>
      </c>
      <c r="C78" s="671">
        <v>0</v>
      </c>
      <c r="D78" s="671">
        <v>1</v>
      </c>
      <c r="E78" s="671">
        <v>0</v>
      </c>
      <c r="F78" s="671">
        <v>0</v>
      </c>
      <c r="G78" s="671">
        <v>0</v>
      </c>
      <c r="H78" s="671">
        <v>1</v>
      </c>
      <c r="I78" s="671">
        <v>0</v>
      </c>
      <c r="J78" s="674"/>
      <c r="K78" s="664"/>
    </row>
    <row r="79" spans="1:11" ht="12.75" x14ac:dyDescent="0.2">
      <c r="A79" s="676"/>
      <c r="B79" s="699" t="s">
        <v>683</v>
      </c>
      <c r="C79" s="707"/>
      <c r="D79" s="707"/>
      <c r="E79" s="707"/>
      <c r="F79" s="707"/>
      <c r="G79" s="707"/>
      <c r="H79" s="707">
        <v>0</v>
      </c>
      <c r="I79" s="707">
        <v>0</v>
      </c>
      <c r="J79" s="708">
        <v>0</v>
      </c>
      <c r="K79" s="702"/>
    </row>
    <row r="80" spans="1:11" ht="12.75" x14ac:dyDescent="0.2">
      <c r="A80" s="665" t="s">
        <v>756</v>
      </c>
      <c r="B80" s="665" t="s">
        <v>758</v>
      </c>
      <c r="C80" s="671">
        <v>257</v>
      </c>
      <c r="D80" s="671">
        <v>184</v>
      </c>
      <c r="E80" s="671">
        <v>141</v>
      </c>
      <c r="F80" s="671">
        <v>155</v>
      </c>
      <c r="G80" s="671">
        <v>192</v>
      </c>
      <c r="H80" s="671">
        <v>193</v>
      </c>
      <c r="I80" s="671">
        <v>170</v>
      </c>
      <c r="J80" s="674"/>
      <c r="K80" s="664"/>
    </row>
    <row r="81" spans="1:11" ht="12.75" x14ac:dyDescent="0.2">
      <c r="A81" s="665" t="s">
        <v>756</v>
      </c>
      <c r="B81" s="665" t="s">
        <v>759</v>
      </c>
      <c r="C81" s="682">
        <v>8.9</v>
      </c>
      <c r="D81" s="682">
        <v>6</v>
      </c>
      <c r="E81" s="682">
        <v>4.8</v>
      </c>
      <c r="F81" s="682">
        <v>5.0999999999999996</v>
      </c>
      <c r="G81" s="682">
        <v>5.7</v>
      </c>
      <c r="H81" s="682">
        <v>5.0999999999999996</v>
      </c>
      <c r="I81" s="682">
        <v>4.3</v>
      </c>
      <c r="J81" s="674"/>
      <c r="K81" s="664"/>
    </row>
    <row r="82" spans="1:11" ht="12.75" x14ac:dyDescent="0.2">
      <c r="A82" s="676"/>
      <c r="B82" s="699" t="s">
        <v>683</v>
      </c>
      <c r="C82" s="709"/>
      <c r="D82" s="709"/>
      <c r="E82" s="710"/>
      <c r="F82" s="710"/>
      <c r="G82" s="710"/>
      <c r="H82" s="711" t="s">
        <v>760</v>
      </c>
      <c r="I82" s="711" t="s">
        <v>761</v>
      </c>
      <c r="J82" s="712" t="s">
        <v>762</v>
      </c>
      <c r="K82" s="702"/>
    </row>
    <row r="83" spans="1:11" ht="12.75" x14ac:dyDescent="0.2">
      <c r="A83" s="665" t="s">
        <v>756</v>
      </c>
      <c r="B83" s="665" t="s">
        <v>763</v>
      </c>
      <c r="C83" s="683"/>
      <c r="D83" s="683"/>
      <c r="E83" s="683"/>
      <c r="F83" s="683">
        <v>6</v>
      </c>
      <c r="G83" s="683">
        <v>4</v>
      </c>
      <c r="H83" s="683">
        <v>5</v>
      </c>
      <c r="I83" s="683">
        <v>2</v>
      </c>
      <c r="J83" s="674"/>
      <c r="K83" s="664"/>
    </row>
    <row r="84" spans="1:11" ht="12.75" x14ac:dyDescent="0.2">
      <c r="A84" s="665" t="s">
        <v>756</v>
      </c>
      <c r="B84" s="665" t="s">
        <v>764</v>
      </c>
      <c r="C84" s="683"/>
      <c r="D84" s="683"/>
      <c r="E84" s="683"/>
      <c r="F84" s="671">
        <v>1731</v>
      </c>
      <c r="G84" s="671">
        <v>1857</v>
      </c>
      <c r="H84" s="671">
        <v>1743</v>
      </c>
      <c r="I84" s="671">
        <v>1978</v>
      </c>
      <c r="J84" s="674"/>
      <c r="K84" s="664"/>
    </row>
    <row r="85" spans="1:11" ht="12.75" x14ac:dyDescent="0.2">
      <c r="A85" s="665" t="s">
        <v>756</v>
      </c>
      <c r="B85" s="665" t="s">
        <v>765</v>
      </c>
      <c r="C85" s="682">
        <v>2.2000000000000002</v>
      </c>
      <c r="D85" s="682">
        <v>2.1</v>
      </c>
      <c r="E85" s="682">
        <v>2.1</v>
      </c>
      <c r="F85" s="682">
        <v>2.4</v>
      </c>
      <c r="G85" s="682">
        <v>2.4</v>
      </c>
      <c r="H85" s="682">
        <v>2.1</v>
      </c>
      <c r="I85" s="682">
        <v>2.2000000000000002</v>
      </c>
      <c r="J85" s="674"/>
      <c r="K85" s="664"/>
    </row>
    <row r="86" spans="1:11" ht="12.75" x14ac:dyDescent="0.2">
      <c r="A86" s="32"/>
      <c r="B86" s="699" t="s">
        <v>683</v>
      </c>
      <c r="C86" s="707"/>
      <c r="D86" s="713"/>
      <c r="E86" s="713"/>
      <c r="F86" s="714"/>
      <c r="G86" s="714"/>
      <c r="H86" s="713" t="s">
        <v>766</v>
      </c>
      <c r="I86" s="713" t="s">
        <v>766</v>
      </c>
      <c r="J86" s="715" t="s">
        <v>766</v>
      </c>
      <c r="K86" s="32"/>
    </row>
    <row r="87" spans="1:11" ht="12.75" x14ac:dyDescent="0.2">
      <c r="A87" s="676"/>
      <c r="B87" s="702"/>
      <c r="C87" s="716"/>
      <c r="D87" s="717"/>
      <c r="E87" s="717"/>
      <c r="F87" s="717"/>
      <c r="G87" s="717"/>
      <c r="H87" s="717"/>
      <c r="I87" s="717"/>
      <c r="J87" s="718"/>
      <c r="K87" s="702"/>
    </row>
    <row r="88" spans="1:11" ht="12.75" x14ac:dyDescent="0.2">
      <c r="A88" s="665"/>
      <c r="B88" s="666" t="s">
        <v>767</v>
      </c>
      <c r="C88" s="689">
        <v>2018</v>
      </c>
      <c r="D88" s="689">
        <v>2019</v>
      </c>
      <c r="E88" s="689">
        <v>2020</v>
      </c>
      <c r="F88" s="689">
        <v>2021</v>
      </c>
      <c r="G88" s="689">
        <v>2022</v>
      </c>
      <c r="H88" s="689">
        <v>2023</v>
      </c>
      <c r="I88" s="689">
        <v>2024</v>
      </c>
      <c r="J88" s="689" t="s">
        <v>671</v>
      </c>
      <c r="K88" s="664"/>
    </row>
    <row r="89" spans="1:11" ht="12.75" x14ac:dyDescent="0.2">
      <c r="A89" s="665"/>
      <c r="B89" s="668" t="s">
        <v>768</v>
      </c>
      <c r="C89" s="669"/>
      <c r="D89" s="669"/>
      <c r="E89" s="669"/>
      <c r="F89" s="669"/>
      <c r="G89" s="669"/>
      <c r="H89" s="669"/>
      <c r="I89" s="669"/>
      <c r="J89" s="669"/>
      <c r="K89" s="664"/>
    </row>
    <row r="90" spans="1:11" ht="12.75" x14ac:dyDescent="0.2">
      <c r="A90" s="665" t="s">
        <v>769</v>
      </c>
      <c r="B90" s="665" t="s">
        <v>770</v>
      </c>
      <c r="C90" s="663"/>
      <c r="D90" s="719"/>
      <c r="E90" s="683"/>
      <c r="F90" s="683"/>
      <c r="G90" s="683"/>
      <c r="H90" s="671">
        <v>87</v>
      </c>
      <c r="I90" s="671">
        <v>100</v>
      </c>
      <c r="J90" s="674"/>
      <c r="K90" s="664"/>
    </row>
    <row r="91" spans="1:11" ht="12.75" x14ac:dyDescent="0.2">
      <c r="A91" s="676"/>
      <c r="B91" s="699" t="s">
        <v>683</v>
      </c>
      <c r="C91" s="720"/>
      <c r="D91" s="720"/>
      <c r="E91" s="720"/>
      <c r="F91" s="720"/>
      <c r="G91" s="721"/>
      <c r="H91" s="721"/>
      <c r="I91" s="721">
        <v>95</v>
      </c>
      <c r="J91" s="681">
        <v>100</v>
      </c>
      <c r="K91" s="702"/>
    </row>
    <row r="92" spans="1:11" ht="12.75" x14ac:dyDescent="0.2">
      <c r="A92" s="665" t="s">
        <v>771</v>
      </c>
      <c r="B92" s="665" t="s">
        <v>772</v>
      </c>
      <c r="C92" s="663"/>
      <c r="D92" s="663"/>
      <c r="E92" s="663"/>
      <c r="F92" s="663"/>
      <c r="G92" s="671">
        <v>99</v>
      </c>
      <c r="H92" s="671">
        <v>100</v>
      </c>
      <c r="I92" s="671">
        <v>99</v>
      </c>
      <c r="J92" s="674"/>
      <c r="K92" s="664"/>
    </row>
    <row r="93" spans="1:11" ht="12.75" x14ac:dyDescent="0.2">
      <c r="A93" s="676"/>
      <c r="B93" s="699" t="s">
        <v>683</v>
      </c>
      <c r="C93" s="720"/>
      <c r="D93" s="720"/>
      <c r="E93" s="707"/>
      <c r="F93" s="707"/>
      <c r="G93" s="721"/>
      <c r="H93" s="721">
        <v>100</v>
      </c>
      <c r="I93" s="721">
        <v>100</v>
      </c>
      <c r="J93" s="681">
        <v>100</v>
      </c>
      <c r="K93" s="702"/>
    </row>
    <row r="94" spans="1:11" ht="12.75" x14ac:dyDescent="0.2">
      <c r="A94" s="665" t="s">
        <v>771</v>
      </c>
      <c r="B94" s="665" t="s">
        <v>773</v>
      </c>
      <c r="C94" s="663">
        <v>98</v>
      </c>
      <c r="D94" s="722">
        <v>99</v>
      </c>
      <c r="E94" s="722">
        <v>99</v>
      </c>
      <c r="F94" s="722">
        <v>100</v>
      </c>
      <c r="G94" s="723">
        <v>99</v>
      </c>
      <c r="H94" s="723">
        <v>99</v>
      </c>
      <c r="I94" s="723">
        <v>100</v>
      </c>
      <c r="J94" s="674"/>
      <c r="K94" s="664"/>
    </row>
    <row r="95" spans="1:11" ht="12.75" x14ac:dyDescent="0.2">
      <c r="A95" s="676"/>
      <c r="B95" s="699" t="s">
        <v>683</v>
      </c>
      <c r="C95" s="720"/>
      <c r="D95" s="720"/>
      <c r="E95" s="707"/>
      <c r="F95" s="707"/>
      <c r="G95" s="721"/>
      <c r="H95" s="721">
        <v>100</v>
      </c>
      <c r="I95" s="721">
        <v>100</v>
      </c>
      <c r="J95" s="681">
        <v>100</v>
      </c>
      <c r="K95" s="702"/>
    </row>
    <row r="96" spans="1:11" ht="12.75" x14ac:dyDescent="0.2">
      <c r="A96" s="665" t="s">
        <v>774</v>
      </c>
      <c r="B96" s="665" t="s">
        <v>775</v>
      </c>
      <c r="C96" s="663">
        <v>11</v>
      </c>
      <c r="D96" s="663">
        <v>11</v>
      </c>
      <c r="E96" s="663">
        <v>3</v>
      </c>
      <c r="F96" s="663">
        <v>4</v>
      </c>
      <c r="G96" s="671">
        <v>5</v>
      </c>
      <c r="H96" s="671">
        <v>6</v>
      </c>
      <c r="I96" s="671">
        <v>11</v>
      </c>
      <c r="J96" s="674"/>
      <c r="K96" s="664"/>
    </row>
    <row r="97" spans="1:11" ht="12.75" x14ac:dyDescent="0.2">
      <c r="A97" s="665" t="s">
        <v>776</v>
      </c>
      <c r="B97" s="665" t="s">
        <v>777</v>
      </c>
      <c r="C97" s="663">
        <v>91</v>
      </c>
      <c r="D97" s="663">
        <v>95</v>
      </c>
      <c r="E97" s="663">
        <v>99</v>
      </c>
      <c r="F97" s="663">
        <v>100</v>
      </c>
      <c r="G97" s="671">
        <v>98</v>
      </c>
      <c r="H97" s="671">
        <v>100</v>
      </c>
      <c r="I97" s="671">
        <v>100</v>
      </c>
      <c r="J97" s="674"/>
      <c r="K97" s="664"/>
    </row>
    <row r="98" spans="1:11" ht="12.75" x14ac:dyDescent="0.2">
      <c r="A98" s="676"/>
      <c r="B98" s="699" t="s">
        <v>683</v>
      </c>
      <c r="C98" s="720"/>
      <c r="D98" s="720"/>
      <c r="E98" s="707"/>
      <c r="F98" s="707"/>
      <c r="G98" s="721"/>
      <c r="H98" s="721">
        <v>100</v>
      </c>
      <c r="I98" s="721">
        <v>100</v>
      </c>
      <c r="J98" s="681">
        <v>100</v>
      </c>
      <c r="K98" s="702"/>
    </row>
    <row r="99" spans="1:11" ht="12.75" x14ac:dyDescent="0.2">
      <c r="A99" s="665" t="s">
        <v>776</v>
      </c>
      <c r="B99" s="665" t="s">
        <v>778</v>
      </c>
      <c r="C99" s="663"/>
      <c r="D99" s="663"/>
      <c r="E99" s="671"/>
      <c r="F99" s="671"/>
      <c r="G99" s="671">
        <v>94</v>
      </c>
      <c r="H99" s="671">
        <v>98</v>
      </c>
      <c r="I99" s="671">
        <v>99</v>
      </c>
      <c r="J99" s="674"/>
      <c r="K99" s="664"/>
    </row>
    <row r="100" spans="1:11" ht="12.75" x14ac:dyDescent="0.2">
      <c r="A100" s="676"/>
      <c r="B100" s="699" t="s">
        <v>683</v>
      </c>
      <c r="C100" s="720"/>
      <c r="D100" s="720"/>
      <c r="E100" s="707"/>
      <c r="F100" s="707"/>
      <c r="G100" s="721"/>
      <c r="H100" s="721">
        <v>96</v>
      </c>
      <c r="I100" s="721">
        <v>97</v>
      </c>
      <c r="J100" s="715" t="s">
        <v>779</v>
      </c>
      <c r="K100" s="724"/>
    </row>
    <row r="101" spans="1:11" ht="12.75" x14ac:dyDescent="0.2">
      <c r="A101" s="665" t="s">
        <v>776</v>
      </c>
      <c r="B101" s="703" t="s">
        <v>780</v>
      </c>
      <c r="C101" s="725">
        <v>26</v>
      </c>
      <c r="D101" s="725">
        <v>44</v>
      </c>
      <c r="E101" s="725">
        <v>64</v>
      </c>
      <c r="F101" s="725">
        <v>100</v>
      </c>
      <c r="G101" s="726">
        <v>121</v>
      </c>
      <c r="H101" s="726">
        <v>194</v>
      </c>
      <c r="I101" s="726">
        <v>195</v>
      </c>
      <c r="J101" s="727"/>
      <c r="K101" s="673"/>
    </row>
    <row r="102" spans="1:11" ht="12.75" x14ac:dyDescent="0.2">
      <c r="A102" s="673"/>
      <c r="B102" s="674"/>
      <c r="C102" s="683"/>
      <c r="D102" s="683"/>
      <c r="E102" s="683"/>
      <c r="F102" s="683"/>
      <c r="G102" s="683"/>
      <c r="H102" s="683"/>
      <c r="I102" s="683"/>
      <c r="J102" s="674"/>
      <c r="K102" s="673"/>
    </row>
    <row r="103" spans="1:11" ht="12.75" x14ac:dyDescent="0.2">
      <c r="A103" s="665" t="s">
        <v>781</v>
      </c>
      <c r="B103" s="666" t="s">
        <v>782</v>
      </c>
      <c r="C103" s="689">
        <v>2018</v>
      </c>
      <c r="D103" s="689">
        <v>2019</v>
      </c>
      <c r="E103" s="689">
        <v>2020</v>
      </c>
      <c r="F103" s="689">
        <v>2021</v>
      </c>
      <c r="G103" s="689">
        <v>2022</v>
      </c>
      <c r="H103" s="689">
        <v>2023</v>
      </c>
      <c r="I103" s="689">
        <v>2024</v>
      </c>
      <c r="J103" s="728"/>
      <c r="K103" s="664"/>
    </row>
    <row r="104" spans="1:11" ht="12.75" x14ac:dyDescent="0.2">
      <c r="A104" s="665"/>
      <c r="B104" s="703" t="s">
        <v>783</v>
      </c>
      <c r="C104" s="729" t="s">
        <v>784</v>
      </c>
      <c r="D104" s="729" t="s">
        <v>784</v>
      </c>
      <c r="E104" s="729" t="s">
        <v>784</v>
      </c>
      <c r="F104" s="729" t="s">
        <v>784</v>
      </c>
      <c r="G104" s="729" t="s">
        <v>784</v>
      </c>
      <c r="H104" s="729" t="s">
        <v>784</v>
      </c>
      <c r="I104" s="729" t="s">
        <v>784</v>
      </c>
      <c r="J104" s="688"/>
      <c r="K104" s="664"/>
    </row>
    <row r="105" spans="1:11" ht="12.75" x14ac:dyDescent="0.2">
      <c r="A105" s="665"/>
      <c r="B105" s="703" t="s">
        <v>785</v>
      </c>
      <c r="C105" s="725">
        <v>8</v>
      </c>
      <c r="D105" s="725">
        <v>8</v>
      </c>
      <c r="E105" s="725">
        <v>9</v>
      </c>
      <c r="F105" s="725">
        <v>9</v>
      </c>
      <c r="G105" s="725">
        <v>10</v>
      </c>
      <c r="H105" s="725">
        <v>9</v>
      </c>
      <c r="I105" s="725">
        <v>9</v>
      </c>
      <c r="J105" s="688"/>
      <c r="K105" s="664"/>
    </row>
    <row r="106" spans="1:11" ht="12.75" x14ac:dyDescent="0.2">
      <c r="A106" s="665"/>
      <c r="B106" s="703" t="s">
        <v>786</v>
      </c>
      <c r="C106" s="725">
        <v>5</v>
      </c>
      <c r="D106" s="725">
        <v>5</v>
      </c>
      <c r="E106" s="725">
        <v>6</v>
      </c>
      <c r="F106" s="725">
        <v>6</v>
      </c>
      <c r="G106" s="725">
        <v>7</v>
      </c>
      <c r="H106" s="725">
        <v>7</v>
      </c>
      <c r="I106" s="725">
        <v>7</v>
      </c>
      <c r="J106" s="688"/>
      <c r="K106" s="664"/>
    </row>
    <row r="107" spans="1:11" ht="12.75" x14ac:dyDescent="0.2">
      <c r="A107" s="665"/>
      <c r="B107" s="703" t="s">
        <v>787</v>
      </c>
      <c r="C107" s="730">
        <f t="shared" ref="C107:I107" si="0">SUM(C106/C105)</f>
        <v>0.625</v>
      </c>
      <c r="D107" s="730">
        <f t="shared" si="0"/>
        <v>0.625</v>
      </c>
      <c r="E107" s="730">
        <f t="shared" si="0"/>
        <v>0.66666666666666663</v>
      </c>
      <c r="F107" s="730">
        <f t="shared" si="0"/>
        <v>0.66666666666666663</v>
      </c>
      <c r="G107" s="730">
        <f t="shared" si="0"/>
        <v>0.7</v>
      </c>
      <c r="H107" s="730">
        <f t="shared" si="0"/>
        <v>0.77777777777777779</v>
      </c>
      <c r="I107" s="730">
        <f t="shared" si="0"/>
        <v>0.77777777777777779</v>
      </c>
      <c r="J107" s="688"/>
      <c r="K107" s="664"/>
    </row>
    <row r="108" spans="1:11" ht="12.75" x14ac:dyDescent="0.2">
      <c r="A108" s="665"/>
      <c r="B108" s="703" t="s">
        <v>788</v>
      </c>
      <c r="C108" s="725">
        <v>3</v>
      </c>
      <c r="D108" s="725">
        <v>3</v>
      </c>
      <c r="E108" s="725">
        <v>4</v>
      </c>
      <c r="F108" s="725">
        <v>4</v>
      </c>
      <c r="G108" s="725">
        <v>5</v>
      </c>
      <c r="H108" s="725">
        <v>5</v>
      </c>
      <c r="I108" s="725">
        <v>5</v>
      </c>
      <c r="J108" s="688"/>
      <c r="K108" s="664"/>
    </row>
    <row r="109" spans="1:11" ht="12.75" x14ac:dyDescent="0.2">
      <c r="A109" s="665"/>
      <c r="B109" s="703" t="s">
        <v>789</v>
      </c>
      <c r="C109" s="730">
        <f t="shared" ref="C109:I109" si="1">C108/C105</f>
        <v>0.375</v>
      </c>
      <c r="D109" s="730">
        <f t="shared" si="1"/>
        <v>0.375</v>
      </c>
      <c r="E109" s="730">
        <f t="shared" si="1"/>
        <v>0.44444444444444442</v>
      </c>
      <c r="F109" s="730">
        <f t="shared" si="1"/>
        <v>0.44444444444444442</v>
      </c>
      <c r="G109" s="730">
        <f t="shared" si="1"/>
        <v>0.5</v>
      </c>
      <c r="H109" s="730">
        <f t="shared" si="1"/>
        <v>0.55555555555555558</v>
      </c>
      <c r="I109" s="730">
        <f t="shared" si="1"/>
        <v>0.55555555555555558</v>
      </c>
      <c r="J109" s="688"/>
      <c r="K109" s="664"/>
    </row>
    <row r="110" spans="1:11" ht="12.75" x14ac:dyDescent="0.2">
      <c r="A110" s="665"/>
      <c r="B110" s="703" t="s">
        <v>790</v>
      </c>
      <c r="C110" s="725">
        <v>3</v>
      </c>
      <c r="D110" s="725">
        <v>3</v>
      </c>
      <c r="E110" s="725">
        <v>4</v>
      </c>
      <c r="F110" s="725">
        <v>4</v>
      </c>
      <c r="G110" s="725">
        <v>5</v>
      </c>
      <c r="H110" s="725">
        <v>5</v>
      </c>
      <c r="I110" s="725">
        <v>5</v>
      </c>
      <c r="J110" s="688"/>
      <c r="K110" s="664"/>
    </row>
    <row r="111" spans="1:11" ht="12.75" x14ac:dyDescent="0.2">
      <c r="A111" s="665"/>
      <c r="B111" s="703" t="s">
        <v>791</v>
      </c>
      <c r="C111" s="730">
        <f t="shared" ref="C111:I111" si="2">C110/C105</f>
        <v>0.375</v>
      </c>
      <c r="D111" s="730">
        <f t="shared" si="2"/>
        <v>0.375</v>
      </c>
      <c r="E111" s="730">
        <f t="shared" si="2"/>
        <v>0.44444444444444442</v>
      </c>
      <c r="F111" s="730">
        <f t="shared" si="2"/>
        <v>0.44444444444444442</v>
      </c>
      <c r="G111" s="730">
        <f t="shared" si="2"/>
        <v>0.5</v>
      </c>
      <c r="H111" s="730">
        <f t="shared" si="2"/>
        <v>0.55555555555555558</v>
      </c>
      <c r="I111" s="730">
        <f t="shared" si="2"/>
        <v>0.55555555555555558</v>
      </c>
      <c r="J111" s="688"/>
      <c r="K111" s="664"/>
    </row>
    <row r="112" spans="1:11" ht="12.75" x14ac:dyDescent="0.2">
      <c r="A112" s="665"/>
      <c r="B112" s="703" t="s">
        <v>792</v>
      </c>
      <c r="C112" s="725">
        <v>6</v>
      </c>
      <c r="D112" s="725">
        <v>9</v>
      </c>
      <c r="E112" s="725">
        <v>8</v>
      </c>
      <c r="F112" s="725">
        <v>10</v>
      </c>
      <c r="G112" s="725">
        <v>10</v>
      </c>
      <c r="H112" s="725">
        <v>8</v>
      </c>
      <c r="I112" s="725">
        <v>8</v>
      </c>
      <c r="J112" s="688"/>
      <c r="K112" s="664"/>
    </row>
    <row r="113" spans="1:11" ht="12.75" x14ac:dyDescent="0.2">
      <c r="A113" s="665"/>
      <c r="B113" s="703" t="s">
        <v>793</v>
      </c>
      <c r="C113" s="730">
        <f>SUM(5.625/C112)</f>
        <v>0.9375</v>
      </c>
      <c r="D113" s="730">
        <f>SUM(9/D112)</f>
        <v>1</v>
      </c>
      <c r="E113" s="730">
        <f>SUM(7.67/E112)</f>
        <v>0.95874999999999999</v>
      </c>
      <c r="F113" s="730">
        <f>SUM(9.89/F112)</f>
        <v>0.9890000000000001</v>
      </c>
      <c r="G113" s="730">
        <f>SUM(9.9/G112)</f>
        <v>0.99</v>
      </c>
      <c r="H113" s="730">
        <f>SUM(8/H112)</f>
        <v>1</v>
      </c>
      <c r="I113" s="730">
        <f>SUM(7.75/I112)</f>
        <v>0.96875</v>
      </c>
      <c r="J113" s="688"/>
      <c r="K113" s="664"/>
    </row>
    <row r="114" spans="1:11" ht="12.75" x14ac:dyDescent="0.2">
      <c r="A114" s="665"/>
      <c r="B114" s="703" t="s">
        <v>794</v>
      </c>
      <c r="C114" s="725">
        <v>60</v>
      </c>
      <c r="D114" s="725">
        <v>61</v>
      </c>
      <c r="E114" s="725">
        <v>61.375</v>
      </c>
      <c r="F114" s="725">
        <v>62.375</v>
      </c>
      <c r="G114" s="725">
        <v>61.44</v>
      </c>
      <c r="H114" s="725">
        <v>60.625</v>
      </c>
      <c r="I114" s="725">
        <v>61.625</v>
      </c>
      <c r="J114" s="688"/>
      <c r="K114" s="664"/>
    </row>
    <row r="115" spans="1:11" ht="12.75" x14ac:dyDescent="0.2">
      <c r="A115" s="665"/>
      <c r="B115" s="703" t="s">
        <v>795</v>
      </c>
      <c r="C115" s="725">
        <v>62</v>
      </c>
      <c r="D115" s="725">
        <v>63</v>
      </c>
      <c r="E115" s="725">
        <v>64</v>
      </c>
      <c r="F115" s="725">
        <v>65</v>
      </c>
      <c r="G115" s="725">
        <v>66</v>
      </c>
      <c r="H115" s="725">
        <v>67</v>
      </c>
      <c r="I115" s="725">
        <v>68</v>
      </c>
      <c r="J115" s="688"/>
      <c r="K115" s="664"/>
    </row>
    <row r="116" spans="1:11" ht="12.75" x14ac:dyDescent="0.2">
      <c r="A116" s="665"/>
      <c r="B116" s="703" t="s">
        <v>796</v>
      </c>
      <c r="C116" s="725">
        <v>0.71</v>
      </c>
      <c r="D116" s="725">
        <v>1.71</v>
      </c>
      <c r="E116" s="725">
        <v>2.375</v>
      </c>
      <c r="F116" s="725">
        <v>3.375</v>
      </c>
      <c r="G116" s="725">
        <v>3.89</v>
      </c>
      <c r="H116" s="725">
        <v>4.75</v>
      </c>
      <c r="I116" s="725">
        <v>5.75</v>
      </c>
      <c r="J116" s="688"/>
      <c r="K116" s="664"/>
    </row>
    <row r="117" spans="1:11" ht="12.75" x14ac:dyDescent="0.2">
      <c r="A117" s="665"/>
      <c r="B117" s="703" t="s">
        <v>797</v>
      </c>
      <c r="C117" s="731">
        <v>3791</v>
      </c>
      <c r="D117" s="731">
        <v>4871</v>
      </c>
      <c r="E117" s="731">
        <v>5133</v>
      </c>
      <c r="F117" s="731">
        <v>5387</v>
      </c>
      <c r="G117" s="731">
        <v>6328</v>
      </c>
      <c r="H117" s="731">
        <v>6684</v>
      </c>
      <c r="I117" s="731">
        <v>6583</v>
      </c>
      <c r="J117" s="732"/>
      <c r="K117" s="664"/>
    </row>
    <row r="118" spans="1:11" ht="12.75" x14ac:dyDescent="0.2">
      <c r="A118" s="665"/>
      <c r="B118" s="703" t="s">
        <v>798</v>
      </c>
      <c r="C118" s="731">
        <v>1648</v>
      </c>
      <c r="D118" s="731">
        <v>2015</v>
      </c>
      <c r="E118" s="731">
        <v>2050</v>
      </c>
      <c r="F118" s="731">
        <v>2104</v>
      </c>
      <c r="G118" s="731">
        <v>2365</v>
      </c>
      <c r="H118" s="731">
        <v>2542</v>
      </c>
      <c r="I118" s="731">
        <v>2668</v>
      </c>
      <c r="J118" s="732"/>
      <c r="K118" s="664"/>
    </row>
    <row r="119" spans="1:11" ht="12.75" x14ac:dyDescent="0.2">
      <c r="A119" s="665"/>
      <c r="B119" s="703" t="s">
        <v>799</v>
      </c>
      <c r="C119" s="731">
        <v>541.57142857142856</v>
      </c>
      <c r="D119" s="731">
        <v>695.85714285714289</v>
      </c>
      <c r="E119" s="731">
        <v>641.625</v>
      </c>
      <c r="F119" s="731">
        <v>673.375</v>
      </c>
      <c r="G119" s="731">
        <v>703.11111111111109</v>
      </c>
      <c r="H119" s="731">
        <v>835.5</v>
      </c>
      <c r="I119" s="731">
        <v>822.875</v>
      </c>
      <c r="J119" s="732"/>
      <c r="K119" s="664"/>
    </row>
    <row r="120" spans="1:11" ht="12.75" x14ac:dyDescent="0.2">
      <c r="A120" s="665"/>
      <c r="B120" s="703" t="s">
        <v>800</v>
      </c>
      <c r="C120" s="731">
        <v>5204</v>
      </c>
      <c r="D120" s="731">
        <v>7271</v>
      </c>
      <c r="E120" s="731">
        <v>8658</v>
      </c>
      <c r="F120" s="731">
        <v>11131</v>
      </c>
      <c r="G120" s="731">
        <v>8035</v>
      </c>
      <c r="H120" s="731">
        <v>10890</v>
      </c>
      <c r="I120" s="731">
        <v>9844</v>
      </c>
      <c r="J120" s="732"/>
      <c r="K120" s="664"/>
    </row>
    <row r="121" spans="1:11" ht="12.75" x14ac:dyDescent="0.2">
      <c r="A121" s="665"/>
      <c r="B121" s="733"/>
      <c r="C121" s="734"/>
      <c r="D121" s="734"/>
      <c r="E121" s="734"/>
      <c r="F121" s="734"/>
      <c r="G121" s="734"/>
      <c r="H121" s="734"/>
      <c r="I121" s="734"/>
      <c r="J121" s="688"/>
      <c r="K121" s="664"/>
    </row>
    <row r="122" spans="1:11" ht="12.75" x14ac:dyDescent="0.2">
      <c r="A122" s="665"/>
      <c r="B122" s="666" t="s">
        <v>801</v>
      </c>
      <c r="C122" s="689">
        <v>2018</v>
      </c>
      <c r="D122" s="689">
        <v>2019</v>
      </c>
      <c r="E122" s="689">
        <v>2020</v>
      </c>
      <c r="F122" s="689">
        <v>2021</v>
      </c>
      <c r="G122" s="689">
        <v>2022</v>
      </c>
      <c r="H122" s="689">
        <v>2023</v>
      </c>
      <c r="I122" s="689">
        <v>2024</v>
      </c>
      <c r="J122" s="728"/>
      <c r="K122" s="664"/>
    </row>
    <row r="123" spans="1:11" ht="12.75" x14ac:dyDescent="0.2">
      <c r="A123" s="665"/>
      <c r="B123" s="665" t="s">
        <v>802</v>
      </c>
      <c r="C123" s="665"/>
      <c r="D123" s="665"/>
      <c r="E123" s="734"/>
      <c r="F123" s="734"/>
      <c r="G123" s="734"/>
      <c r="H123" s="735" t="s">
        <v>803</v>
      </c>
      <c r="I123" s="735" t="s">
        <v>803</v>
      </c>
      <c r="J123" s="688"/>
      <c r="K123" s="664"/>
    </row>
    <row r="124" spans="1:11" ht="12.75" x14ac:dyDescent="0.2">
      <c r="A124" s="665"/>
      <c r="B124" s="665" t="s">
        <v>804</v>
      </c>
      <c r="C124" s="665"/>
      <c r="D124" s="665"/>
      <c r="E124" s="734"/>
      <c r="F124" s="734"/>
      <c r="G124" s="734"/>
      <c r="H124" s="735" t="s">
        <v>805</v>
      </c>
      <c r="I124" s="735" t="s">
        <v>805</v>
      </c>
      <c r="J124" s="688"/>
      <c r="K124" s="664"/>
    </row>
    <row r="125" spans="1:11" ht="12.75" x14ac:dyDescent="0.2">
      <c r="A125" s="665"/>
      <c r="B125" s="703" t="s">
        <v>806</v>
      </c>
      <c r="C125" s="665"/>
      <c r="D125" s="665"/>
      <c r="E125" s="734"/>
      <c r="F125" s="734"/>
      <c r="G125" s="734"/>
      <c r="H125" s="736" t="s">
        <v>807</v>
      </c>
      <c r="I125" s="736" t="s">
        <v>808</v>
      </c>
      <c r="J125" s="688"/>
      <c r="K125" s="664"/>
    </row>
    <row r="126" spans="1:11" ht="12.75" x14ac:dyDescent="0.2">
      <c r="A126" s="665"/>
      <c r="B126" s="665" t="s">
        <v>809</v>
      </c>
      <c r="C126" s="665"/>
      <c r="D126" s="665"/>
      <c r="E126" s="734"/>
      <c r="F126" s="734"/>
      <c r="G126" s="734"/>
      <c r="H126" s="735" t="s">
        <v>810</v>
      </c>
      <c r="I126" s="735" t="s">
        <v>609</v>
      </c>
      <c r="J126" s="688"/>
      <c r="K126" s="664"/>
    </row>
    <row r="127" spans="1:11" ht="12.75" x14ac:dyDescent="0.2">
      <c r="A127" s="665"/>
      <c r="B127" s="665" t="s">
        <v>811</v>
      </c>
      <c r="C127" s="665"/>
      <c r="D127" s="665"/>
      <c r="E127" s="734"/>
      <c r="F127" s="734"/>
      <c r="G127" s="734"/>
      <c r="H127" s="735" t="s">
        <v>812</v>
      </c>
      <c r="I127" s="737" t="s">
        <v>813</v>
      </c>
      <c r="J127" s="688"/>
      <c r="K127" s="664"/>
    </row>
    <row r="128" spans="1:11" ht="12.75" x14ac:dyDescent="0.2">
      <c r="A128" s="665"/>
      <c r="B128" s="663"/>
      <c r="C128" s="663"/>
      <c r="D128" s="663"/>
      <c r="E128" s="663"/>
      <c r="F128" s="663"/>
      <c r="G128" s="665"/>
      <c r="H128" s="663"/>
      <c r="I128" s="663"/>
      <c r="J128" s="664"/>
      <c r="K128" s="664"/>
    </row>
    <row r="129" spans="1:11" ht="12.75" x14ac:dyDescent="0.2">
      <c r="A129" s="665"/>
      <c r="B129" s="665" t="s">
        <v>814</v>
      </c>
      <c r="C129" s="663"/>
      <c r="D129" s="663"/>
      <c r="E129" s="663"/>
      <c r="F129" s="663"/>
      <c r="G129" s="663"/>
      <c r="H129" s="663"/>
      <c r="I129" s="663"/>
      <c r="J129" s="663"/>
      <c r="K129" s="664"/>
    </row>
  </sheetData>
  <hyperlinks>
    <hyperlink ref="B2" location="'START PAGE'!A1" display="Back to start page" xr:uid="{D2EE3F6C-492B-4B5D-943D-05AD79A8D9C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1"/>
  <sheetViews>
    <sheetView showGridLines="0" workbookViewId="0"/>
  </sheetViews>
  <sheetFormatPr defaultColWidth="8.42578125" defaultRowHeight="13.35" customHeight="1" x14ac:dyDescent="0.2"/>
  <cols>
    <col min="1" max="1" width="15.140625" bestFit="1" customWidth="1"/>
    <col min="2" max="2" width="68" customWidth="1"/>
    <col min="3" max="3" width="5.85546875" customWidth="1"/>
    <col min="4" max="4" width="5" bestFit="1" customWidth="1"/>
    <col min="5" max="5" width="23.85546875" customWidth="1"/>
    <col min="6" max="6" width="14.5703125" customWidth="1"/>
    <col min="7" max="7" width="5.5703125" bestFit="1" customWidth="1"/>
    <col min="8" max="8" width="7.85546875" customWidth="1"/>
    <col min="9" max="9" width="17.85546875" bestFit="1" customWidth="1"/>
    <col min="10" max="10" width="49.5703125" bestFit="1" customWidth="1"/>
    <col min="11" max="11" width="19.42578125" customWidth="1"/>
    <col min="12" max="12" width="26.85546875" customWidth="1"/>
    <col min="13" max="13" width="11.85546875" bestFit="1" customWidth="1"/>
    <col min="14" max="14" width="13.42578125" customWidth="1"/>
    <col min="15" max="15" width="5.85546875" customWidth="1"/>
    <col min="16" max="16" width="10.140625" customWidth="1"/>
    <col min="17" max="17" width="109.42578125" bestFit="1" customWidth="1"/>
    <col min="18" max="18" width="142.140625" bestFit="1" customWidth="1"/>
  </cols>
  <sheetData>
    <row r="1" spans="1:18" ht="16.5" thickBot="1" x14ac:dyDescent="0.25">
      <c r="A1" s="738" t="s">
        <v>76</v>
      </c>
      <c r="B1" s="739"/>
      <c r="C1" s="739"/>
      <c r="D1" s="739"/>
      <c r="E1" s="739"/>
      <c r="F1" s="739"/>
      <c r="G1" s="739"/>
      <c r="H1" s="739"/>
      <c r="I1" s="739"/>
      <c r="J1" s="739"/>
      <c r="K1" s="739"/>
      <c r="L1" s="739"/>
      <c r="M1" s="739"/>
      <c r="N1" s="739"/>
      <c r="O1" s="739"/>
      <c r="P1" s="739"/>
      <c r="Q1" s="739"/>
      <c r="R1" s="739"/>
    </row>
    <row r="2" spans="1:18" ht="17.25" thickTop="1" thickBot="1" x14ac:dyDescent="0.25">
      <c r="A2" s="740" t="s">
        <v>32</v>
      </c>
      <c r="B2" s="741"/>
      <c r="C2" s="741"/>
      <c r="D2" s="741"/>
      <c r="E2" s="741"/>
      <c r="F2" s="741"/>
      <c r="G2" s="741"/>
      <c r="H2" s="741"/>
      <c r="I2" s="741"/>
      <c r="J2" s="741"/>
      <c r="K2" s="741"/>
      <c r="L2" s="741"/>
      <c r="M2" s="741"/>
      <c r="N2" s="741"/>
      <c r="O2" s="741"/>
      <c r="P2" s="741"/>
      <c r="Q2" s="741"/>
      <c r="R2" s="741"/>
    </row>
    <row r="3" spans="1:18" ht="13.5" thickTop="1" x14ac:dyDescent="0.2">
      <c r="A3" s="742" t="s">
        <v>815</v>
      </c>
      <c r="B3" s="743" t="s">
        <v>816</v>
      </c>
      <c r="C3" s="743"/>
      <c r="D3" s="744" t="s">
        <v>817</v>
      </c>
      <c r="E3" s="744" t="s">
        <v>818</v>
      </c>
      <c r="F3" s="744" t="s">
        <v>819</v>
      </c>
      <c r="G3" s="744" t="s">
        <v>404</v>
      </c>
      <c r="H3" s="744" t="s">
        <v>820</v>
      </c>
      <c r="I3" s="744" t="s">
        <v>821</v>
      </c>
      <c r="J3" s="744" t="s">
        <v>822</v>
      </c>
      <c r="K3" s="744" t="s">
        <v>823</v>
      </c>
      <c r="L3" s="744" t="s">
        <v>824</v>
      </c>
      <c r="M3" s="744" t="s">
        <v>825</v>
      </c>
      <c r="N3" s="744" t="s">
        <v>826</v>
      </c>
      <c r="O3" s="744" t="s">
        <v>827</v>
      </c>
      <c r="P3" s="744" t="s">
        <v>828</v>
      </c>
      <c r="Q3" s="744" t="s">
        <v>829</v>
      </c>
      <c r="R3" s="745" t="s">
        <v>830</v>
      </c>
    </row>
    <row r="4" spans="1:18" ht="12.75" x14ac:dyDescent="0.2">
      <c r="A4" s="746" t="s">
        <v>831</v>
      </c>
      <c r="B4" s="747">
        <v>600</v>
      </c>
      <c r="C4" s="747">
        <v>600</v>
      </c>
      <c r="D4" s="748" t="s">
        <v>161</v>
      </c>
      <c r="E4" s="749">
        <v>115</v>
      </c>
      <c r="F4" s="750">
        <v>45938</v>
      </c>
      <c r="G4" s="749">
        <v>115</v>
      </c>
      <c r="H4" s="749" t="s">
        <v>505</v>
      </c>
      <c r="I4" s="748"/>
      <c r="J4" s="749" t="s">
        <v>832</v>
      </c>
      <c r="K4" s="749" t="s">
        <v>833</v>
      </c>
      <c r="L4" s="749" t="s">
        <v>834</v>
      </c>
      <c r="M4" s="749" t="s">
        <v>835</v>
      </c>
      <c r="N4" s="749" t="s">
        <v>836</v>
      </c>
      <c r="O4" s="749" t="s">
        <v>837</v>
      </c>
      <c r="P4" s="749" t="s">
        <v>837</v>
      </c>
      <c r="Q4" s="749" t="s">
        <v>838</v>
      </c>
      <c r="R4" s="751" t="s">
        <v>839</v>
      </c>
    </row>
    <row r="5" spans="1:18" ht="23.25" customHeight="1" x14ac:dyDescent="0.2">
      <c r="A5" s="752"/>
      <c r="B5" s="753" t="s">
        <v>840</v>
      </c>
      <c r="C5" s="753">
        <v>500</v>
      </c>
      <c r="D5" s="754" t="s">
        <v>160</v>
      </c>
      <c r="E5" s="755">
        <f>G5+G6</f>
        <v>335</v>
      </c>
      <c r="F5" s="756">
        <v>45846</v>
      </c>
      <c r="G5" s="755">
        <v>235</v>
      </c>
      <c r="H5" s="755" t="s">
        <v>504</v>
      </c>
      <c r="I5" s="755"/>
      <c r="J5" s="755" t="s">
        <v>841</v>
      </c>
      <c r="K5" s="755" t="s">
        <v>367</v>
      </c>
      <c r="L5" s="755" t="s">
        <v>842</v>
      </c>
      <c r="M5" s="755" t="s">
        <v>843</v>
      </c>
      <c r="N5" s="755" t="s">
        <v>844</v>
      </c>
      <c r="O5" s="755" t="s">
        <v>845</v>
      </c>
      <c r="P5" s="755" t="s">
        <v>846</v>
      </c>
      <c r="Q5" s="755" t="s">
        <v>847</v>
      </c>
      <c r="R5" s="757" t="s">
        <v>848</v>
      </c>
    </row>
    <row r="6" spans="1:18" ht="12.75" x14ac:dyDescent="0.2">
      <c r="A6" s="758"/>
      <c r="B6" s="759"/>
      <c r="C6" s="759"/>
      <c r="D6" s="760"/>
      <c r="E6" s="761"/>
      <c r="F6" s="762">
        <v>45763</v>
      </c>
      <c r="G6" s="761">
        <v>100</v>
      </c>
      <c r="H6" s="761" t="s">
        <v>504</v>
      </c>
      <c r="I6" s="761"/>
      <c r="J6" s="760" t="s">
        <v>849</v>
      </c>
      <c r="K6" s="761" t="s">
        <v>389</v>
      </c>
      <c r="L6" s="761" t="s">
        <v>850</v>
      </c>
      <c r="M6" s="761" t="s">
        <v>851</v>
      </c>
      <c r="N6" s="761" t="s">
        <v>852</v>
      </c>
      <c r="O6" s="761" t="s">
        <v>853</v>
      </c>
      <c r="P6" s="761" t="s">
        <v>853</v>
      </c>
      <c r="Q6" s="761" t="s">
        <v>854</v>
      </c>
      <c r="R6" s="761" t="s">
        <v>855</v>
      </c>
    </row>
    <row r="7" spans="1:18" ht="12.75" x14ac:dyDescent="0.2">
      <c r="A7" s="752"/>
      <c r="B7" s="753">
        <v>600</v>
      </c>
      <c r="C7" s="753">
        <f>B7</f>
        <v>600</v>
      </c>
      <c r="D7" s="754" t="s">
        <v>159</v>
      </c>
      <c r="E7" s="755">
        <f>SUM(G7:G8)</f>
        <v>380</v>
      </c>
      <c r="F7" s="756">
        <v>45761</v>
      </c>
      <c r="G7" s="755">
        <v>280</v>
      </c>
      <c r="H7" s="755" t="s">
        <v>503</v>
      </c>
      <c r="I7" s="755" t="s">
        <v>856</v>
      </c>
      <c r="J7" s="755" t="s">
        <v>857</v>
      </c>
      <c r="K7" s="755" t="s">
        <v>391</v>
      </c>
      <c r="L7" s="755" t="s">
        <v>858</v>
      </c>
      <c r="M7" s="755" t="s">
        <v>859</v>
      </c>
      <c r="N7" s="755" t="s">
        <v>860</v>
      </c>
      <c r="O7" s="755" t="s">
        <v>845</v>
      </c>
      <c r="P7" s="755" t="s">
        <v>846</v>
      </c>
      <c r="Q7" s="755" t="s">
        <v>861</v>
      </c>
      <c r="R7" s="757" t="s">
        <v>862</v>
      </c>
    </row>
    <row r="8" spans="1:18" ht="12.75" x14ac:dyDescent="0.2">
      <c r="A8" s="763"/>
      <c r="B8" s="764"/>
      <c r="C8" s="765"/>
      <c r="D8" s="766"/>
      <c r="E8" s="766"/>
      <c r="F8" s="767">
        <v>45729</v>
      </c>
      <c r="G8" s="766">
        <v>100</v>
      </c>
      <c r="H8" s="766" t="s">
        <v>503</v>
      </c>
      <c r="I8" s="766" t="s">
        <v>863</v>
      </c>
      <c r="J8" s="766" t="s">
        <v>864</v>
      </c>
      <c r="K8" s="766" t="s">
        <v>365</v>
      </c>
      <c r="L8" s="766" t="s">
        <v>865</v>
      </c>
      <c r="M8" s="766" t="s">
        <v>859</v>
      </c>
      <c r="N8" s="766" t="s">
        <v>844</v>
      </c>
      <c r="O8" s="766" t="s">
        <v>866</v>
      </c>
      <c r="P8" s="766" t="s">
        <v>846</v>
      </c>
      <c r="Q8" s="766" t="s">
        <v>867</v>
      </c>
      <c r="R8" s="766" t="s">
        <v>868</v>
      </c>
    </row>
    <row r="9" spans="1:18" ht="12.75" x14ac:dyDescent="0.2">
      <c r="A9" s="768"/>
      <c r="B9" s="769">
        <v>820</v>
      </c>
      <c r="C9" s="769">
        <v>820</v>
      </c>
      <c r="D9" s="770" t="s">
        <v>158</v>
      </c>
      <c r="E9" s="771">
        <f>SUM(G9:G10)</f>
        <v>450</v>
      </c>
      <c r="F9" s="772">
        <v>45673</v>
      </c>
      <c r="G9" s="771">
        <v>250</v>
      </c>
      <c r="H9" s="771" t="s">
        <v>506</v>
      </c>
      <c r="I9" s="771" t="s">
        <v>869</v>
      </c>
      <c r="J9" s="771" t="s">
        <v>870</v>
      </c>
      <c r="K9" s="771" t="s">
        <v>389</v>
      </c>
      <c r="L9" s="771" t="s">
        <v>871</v>
      </c>
      <c r="M9" s="771" t="s">
        <v>871</v>
      </c>
      <c r="N9" s="771" t="s">
        <v>871</v>
      </c>
      <c r="O9" s="771" t="s">
        <v>837</v>
      </c>
      <c r="P9" s="771" t="s">
        <v>872</v>
      </c>
      <c r="Q9" s="771" t="s">
        <v>873</v>
      </c>
      <c r="R9" s="773" t="s">
        <v>874</v>
      </c>
    </row>
    <row r="10" spans="1:18" ht="12.75" x14ac:dyDescent="0.2">
      <c r="A10" s="774"/>
      <c r="B10" s="775"/>
      <c r="C10" s="776"/>
      <c r="D10" s="777"/>
      <c r="E10" s="777"/>
      <c r="F10" s="778">
        <v>45664</v>
      </c>
      <c r="G10" s="777">
        <v>200</v>
      </c>
      <c r="H10" s="777" t="s">
        <v>506</v>
      </c>
      <c r="I10" s="777" t="s">
        <v>875</v>
      </c>
      <c r="J10" s="777" t="s">
        <v>876</v>
      </c>
      <c r="K10" s="777" t="s">
        <v>389</v>
      </c>
      <c r="L10" s="777" t="s">
        <v>877</v>
      </c>
      <c r="M10" s="777" t="s">
        <v>851</v>
      </c>
      <c r="N10" s="777" t="s">
        <v>852</v>
      </c>
      <c r="O10" s="777" t="s">
        <v>837</v>
      </c>
      <c r="P10" s="777" t="s">
        <v>846</v>
      </c>
      <c r="Q10" s="777" t="s">
        <v>878</v>
      </c>
      <c r="R10" s="779" t="s">
        <v>879</v>
      </c>
    </row>
    <row r="11" spans="1:18" ht="22.5" x14ac:dyDescent="0.2">
      <c r="A11" s="780" t="s">
        <v>880</v>
      </c>
      <c r="B11" s="781"/>
      <c r="C11" s="765"/>
      <c r="D11" s="755"/>
      <c r="E11" s="755"/>
      <c r="F11" s="756">
        <v>45664</v>
      </c>
      <c r="G11" s="755">
        <v>305</v>
      </c>
      <c r="H11" s="755" t="s">
        <v>505</v>
      </c>
      <c r="I11" s="755" t="s">
        <v>881</v>
      </c>
      <c r="J11" s="755" t="s">
        <v>882</v>
      </c>
      <c r="K11" s="755" t="s">
        <v>367</v>
      </c>
      <c r="L11" s="755" t="s">
        <v>877</v>
      </c>
      <c r="M11" s="755" t="s">
        <v>851</v>
      </c>
      <c r="N11" s="755" t="s">
        <v>844</v>
      </c>
      <c r="O11" s="755" t="s">
        <v>837</v>
      </c>
      <c r="P11" s="755" t="s">
        <v>846</v>
      </c>
      <c r="Q11" s="755" t="s">
        <v>883</v>
      </c>
      <c r="R11" s="779" t="s">
        <v>879</v>
      </c>
    </row>
    <row r="12" spans="1:18" ht="12.75" x14ac:dyDescent="0.2">
      <c r="A12" s="782" t="s">
        <v>884</v>
      </c>
      <c r="B12" s="783">
        <v>1400</v>
      </c>
      <c r="C12" s="765">
        <v>1400</v>
      </c>
      <c r="D12" s="766" t="s">
        <v>157</v>
      </c>
      <c r="E12" s="755">
        <v>885</v>
      </c>
      <c r="F12" s="767">
        <v>45573</v>
      </c>
      <c r="G12" s="766">
        <v>350</v>
      </c>
      <c r="H12" s="766" t="s">
        <v>505</v>
      </c>
      <c r="I12" s="766" t="s">
        <v>885</v>
      </c>
      <c r="J12" s="766" t="s">
        <v>886</v>
      </c>
      <c r="K12" s="766" t="s">
        <v>887</v>
      </c>
      <c r="L12" s="766" t="s">
        <v>888</v>
      </c>
      <c r="M12" s="766" t="s">
        <v>843</v>
      </c>
      <c r="N12" s="766" t="s">
        <v>889</v>
      </c>
      <c r="O12" s="766" t="s">
        <v>866</v>
      </c>
      <c r="P12" s="766" t="s">
        <v>846</v>
      </c>
      <c r="Q12" s="766" t="s">
        <v>890</v>
      </c>
      <c r="R12" s="766" t="s">
        <v>891</v>
      </c>
    </row>
    <row r="13" spans="1:18" ht="12.75" x14ac:dyDescent="0.2">
      <c r="A13" s="780"/>
      <c r="B13" s="781"/>
      <c r="C13" s="781"/>
      <c r="D13" s="755"/>
      <c r="E13" s="755"/>
      <c r="F13" s="756">
        <v>45573</v>
      </c>
      <c r="G13" s="755">
        <v>335</v>
      </c>
      <c r="H13" s="755" t="s">
        <v>505</v>
      </c>
      <c r="I13" s="755" t="s">
        <v>892</v>
      </c>
      <c r="J13" s="755" t="s">
        <v>893</v>
      </c>
      <c r="K13" s="755" t="s">
        <v>389</v>
      </c>
      <c r="L13" s="755" t="s">
        <v>894</v>
      </c>
      <c r="M13" s="755" t="s">
        <v>851</v>
      </c>
      <c r="N13" s="755" t="s">
        <v>836</v>
      </c>
      <c r="O13" s="755" t="s">
        <v>845</v>
      </c>
      <c r="P13" s="755" t="s">
        <v>866</v>
      </c>
      <c r="Q13" s="755" t="s">
        <v>895</v>
      </c>
      <c r="R13" s="757" t="s">
        <v>896</v>
      </c>
    </row>
    <row r="14" spans="1:18" ht="12.75" x14ac:dyDescent="0.2">
      <c r="A14" s="774"/>
      <c r="B14" s="775"/>
      <c r="C14" s="775"/>
      <c r="D14" s="777"/>
      <c r="E14" s="777"/>
      <c r="F14" s="778">
        <v>45544</v>
      </c>
      <c r="G14" s="777">
        <v>200</v>
      </c>
      <c r="H14" s="777" t="s">
        <v>505</v>
      </c>
      <c r="I14" s="777" t="s">
        <v>897</v>
      </c>
      <c r="J14" s="777" t="s">
        <v>898</v>
      </c>
      <c r="K14" s="777" t="s">
        <v>389</v>
      </c>
      <c r="L14" s="777" t="s">
        <v>899</v>
      </c>
      <c r="M14" s="777" t="s">
        <v>851</v>
      </c>
      <c r="N14" s="777" t="s">
        <v>900</v>
      </c>
      <c r="O14" s="777" t="s">
        <v>845</v>
      </c>
      <c r="P14" s="777"/>
      <c r="Q14" s="777"/>
      <c r="R14" s="779" t="s">
        <v>901</v>
      </c>
    </row>
    <row r="15" spans="1:18" ht="12.75" x14ac:dyDescent="0.2">
      <c r="A15" s="742"/>
      <c r="B15" s="784" t="s">
        <v>902</v>
      </c>
      <c r="C15" s="784">
        <v>950</v>
      </c>
      <c r="D15" s="744" t="s">
        <v>156</v>
      </c>
      <c r="E15" s="777">
        <v>215</v>
      </c>
      <c r="F15" s="778">
        <v>45447</v>
      </c>
      <c r="G15" s="777">
        <v>215</v>
      </c>
      <c r="H15" s="777" t="s">
        <v>504</v>
      </c>
      <c r="I15" s="777" t="s">
        <v>903</v>
      </c>
      <c r="J15" s="777" t="s">
        <v>904</v>
      </c>
      <c r="K15" s="777" t="s">
        <v>905</v>
      </c>
      <c r="L15" s="777" t="s">
        <v>858</v>
      </c>
      <c r="M15" s="777" t="s">
        <v>906</v>
      </c>
      <c r="N15" s="777" t="s">
        <v>907</v>
      </c>
      <c r="O15" s="777" t="s">
        <v>837</v>
      </c>
      <c r="P15" s="777" t="s">
        <v>908</v>
      </c>
      <c r="Q15" s="777" t="s">
        <v>909</v>
      </c>
      <c r="R15" s="779" t="s">
        <v>910</v>
      </c>
    </row>
    <row r="16" spans="1:18" ht="12.75" x14ac:dyDescent="0.2">
      <c r="A16" s="785"/>
      <c r="B16" s="747" t="s">
        <v>911</v>
      </c>
      <c r="C16" s="747">
        <v>400</v>
      </c>
      <c r="D16" s="748" t="s">
        <v>155</v>
      </c>
      <c r="E16" s="749">
        <v>200</v>
      </c>
      <c r="F16" s="750">
        <v>45362</v>
      </c>
      <c r="G16" s="749">
        <v>200</v>
      </c>
      <c r="H16" s="749" t="s">
        <v>503</v>
      </c>
      <c r="I16" s="749"/>
      <c r="J16" s="749" t="s">
        <v>904</v>
      </c>
      <c r="K16" s="749" t="s">
        <v>912</v>
      </c>
      <c r="L16" s="749" t="s">
        <v>913</v>
      </c>
      <c r="M16" s="749" t="s">
        <v>906</v>
      </c>
      <c r="N16" s="749" t="s">
        <v>914</v>
      </c>
      <c r="O16" s="749" t="s">
        <v>837</v>
      </c>
      <c r="P16" s="749"/>
      <c r="Q16" s="749" t="s">
        <v>915</v>
      </c>
      <c r="R16" s="751" t="s">
        <v>916</v>
      </c>
    </row>
    <row r="17" spans="1:18" ht="12.75" x14ac:dyDescent="0.2">
      <c r="A17" s="786" t="s">
        <v>917</v>
      </c>
      <c r="B17" s="753" t="s">
        <v>918</v>
      </c>
      <c r="C17" s="753">
        <v>1200</v>
      </c>
      <c r="D17" s="754" t="s">
        <v>154</v>
      </c>
      <c r="E17" s="755">
        <f>SUM(G17:G19)</f>
        <v>680</v>
      </c>
      <c r="F17" s="756">
        <v>45307</v>
      </c>
      <c r="G17" s="755">
        <v>50</v>
      </c>
      <c r="H17" s="755" t="s">
        <v>506</v>
      </c>
      <c r="I17" s="755" t="s">
        <v>919</v>
      </c>
      <c r="J17" s="755" t="s">
        <v>920</v>
      </c>
      <c r="K17" s="755" t="s">
        <v>367</v>
      </c>
      <c r="L17" s="755" t="s">
        <v>921</v>
      </c>
      <c r="M17" s="755" t="s">
        <v>906</v>
      </c>
      <c r="N17" s="755" t="s">
        <v>844</v>
      </c>
      <c r="O17" s="755" t="s">
        <v>837</v>
      </c>
      <c r="P17" s="755" t="s">
        <v>872</v>
      </c>
      <c r="Q17" s="781" t="s">
        <v>922</v>
      </c>
      <c r="R17" s="757" t="s">
        <v>923</v>
      </c>
    </row>
    <row r="18" spans="1:18" ht="12.75" x14ac:dyDescent="0.2">
      <c r="A18" s="752"/>
      <c r="B18" s="787"/>
      <c r="C18" s="787"/>
      <c r="D18" s="754"/>
      <c r="E18" s="755"/>
      <c r="F18" s="756">
        <v>45301</v>
      </c>
      <c r="G18" s="755">
        <v>350</v>
      </c>
      <c r="H18" s="755" t="s">
        <v>506</v>
      </c>
      <c r="I18" s="755"/>
      <c r="J18" s="755" t="s">
        <v>904</v>
      </c>
      <c r="K18" s="755" t="s">
        <v>390</v>
      </c>
      <c r="L18" s="755" t="s">
        <v>924</v>
      </c>
      <c r="M18" s="755" t="s">
        <v>906</v>
      </c>
      <c r="N18" s="755" t="s">
        <v>836</v>
      </c>
      <c r="O18" s="755" t="s">
        <v>845</v>
      </c>
      <c r="P18" s="755" t="s">
        <v>925</v>
      </c>
      <c r="Q18" s="755" t="s">
        <v>926</v>
      </c>
      <c r="R18" s="757"/>
    </row>
    <row r="19" spans="1:18" ht="12.75" x14ac:dyDescent="0.2">
      <c r="A19" s="774"/>
      <c r="B19" s="775"/>
      <c r="C19" s="775"/>
      <c r="D19" s="777"/>
      <c r="E19" s="777"/>
      <c r="F19" s="778">
        <v>45279</v>
      </c>
      <c r="G19" s="777">
        <v>280</v>
      </c>
      <c r="H19" s="777" t="s">
        <v>506</v>
      </c>
      <c r="I19" s="777"/>
      <c r="J19" s="777" t="s">
        <v>904</v>
      </c>
      <c r="K19" s="777" t="s">
        <v>375</v>
      </c>
      <c r="L19" s="777" t="s">
        <v>927</v>
      </c>
      <c r="M19" s="777" t="s">
        <v>843</v>
      </c>
      <c r="N19" s="777" t="s">
        <v>844</v>
      </c>
      <c r="O19" s="777" t="s">
        <v>928</v>
      </c>
      <c r="P19" s="777" t="s">
        <v>929</v>
      </c>
      <c r="Q19" s="777" t="s">
        <v>930</v>
      </c>
      <c r="R19" s="779" t="s">
        <v>931</v>
      </c>
    </row>
    <row r="20" spans="1:18" ht="22.5" x14ac:dyDescent="0.2">
      <c r="A20" s="786"/>
      <c r="B20" s="753" t="s">
        <v>932</v>
      </c>
      <c r="C20" s="753">
        <v>1000</v>
      </c>
      <c r="D20" s="754" t="s">
        <v>153</v>
      </c>
      <c r="E20" s="755">
        <f>G20+G21</f>
        <v>830</v>
      </c>
      <c r="F20" s="756">
        <v>45209</v>
      </c>
      <c r="G20" s="755">
        <v>130</v>
      </c>
      <c r="H20" s="755" t="s">
        <v>505</v>
      </c>
      <c r="I20" s="755" t="s">
        <v>903</v>
      </c>
      <c r="J20" s="755" t="s">
        <v>933</v>
      </c>
      <c r="K20" s="755" t="s">
        <v>389</v>
      </c>
      <c r="L20" s="755" t="s">
        <v>934</v>
      </c>
      <c r="M20" s="755" t="s">
        <v>906</v>
      </c>
      <c r="N20" s="755" t="s">
        <v>935</v>
      </c>
      <c r="O20" s="755" t="s">
        <v>936</v>
      </c>
      <c r="P20" s="755" t="s">
        <v>937</v>
      </c>
      <c r="Q20" s="755" t="s">
        <v>938</v>
      </c>
      <c r="R20" s="757" t="s">
        <v>939</v>
      </c>
    </row>
    <row r="21" spans="1:18" ht="12.75" x14ac:dyDescent="0.2">
      <c r="A21" s="788"/>
      <c r="B21" s="784"/>
      <c r="C21" s="784"/>
      <c r="D21" s="744"/>
      <c r="E21" s="777"/>
      <c r="F21" s="778">
        <v>45174</v>
      </c>
      <c r="G21" s="777">
        <v>700</v>
      </c>
      <c r="H21" s="777" t="s">
        <v>505</v>
      </c>
      <c r="I21" s="777" t="s">
        <v>940</v>
      </c>
      <c r="J21" s="777" t="s">
        <v>933</v>
      </c>
      <c r="K21" s="777" t="s">
        <v>941</v>
      </c>
      <c r="L21" s="777" t="s">
        <v>942</v>
      </c>
      <c r="M21" s="777" t="s">
        <v>906</v>
      </c>
      <c r="N21" s="777" t="s">
        <v>943</v>
      </c>
      <c r="O21" s="777" t="s">
        <v>936</v>
      </c>
      <c r="P21" s="777" t="s">
        <v>944</v>
      </c>
      <c r="Q21" s="777" t="s">
        <v>945</v>
      </c>
      <c r="R21" s="779" t="s">
        <v>946</v>
      </c>
    </row>
    <row r="22" spans="1:18" ht="32.25" customHeight="1" x14ac:dyDescent="0.2">
      <c r="A22" s="788"/>
      <c r="B22" s="784" t="s">
        <v>947</v>
      </c>
      <c r="C22" s="784">
        <v>550</v>
      </c>
      <c r="D22" s="744" t="s">
        <v>152</v>
      </c>
      <c r="E22" s="777">
        <v>130</v>
      </c>
      <c r="F22" s="762">
        <v>45077</v>
      </c>
      <c r="G22" s="761">
        <v>130</v>
      </c>
      <c r="H22" s="761" t="s">
        <v>504</v>
      </c>
      <c r="I22" s="761" t="s">
        <v>869</v>
      </c>
      <c r="J22" s="761" t="s">
        <v>869</v>
      </c>
      <c r="K22" s="761" t="s">
        <v>731</v>
      </c>
      <c r="L22" s="761" t="s">
        <v>948</v>
      </c>
      <c r="M22" s="761" t="s">
        <v>843</v>
      </c>
      <c r="N22" s="761" t="s">
        <v>949</v>
      </c>
      <c r="O22" s="777" t="s">
        <v>846</v>
      </c>
      <c r="P22" s="777" t="s">
        <v>950</v>
      </c>
      <c r="Q22" s="777" t="s">
        <v>951</v>
      </c>
      <c r="R22" s="761" t="s">
        <v>952</v>
      </c>
    </row>
    <row r="23" spans="1:18" ht="14.1" customHeight="1" x14ac:dyDescent="0.2">
      <c r="A23" s="786" t="s">
        <v>953</v>
      </c>
      <c r="B23" s="1039" t="s">
        <v>954</v>
      </c>
      <c r="C23" s="753">
        <v>900</v>
      </c>
      <c r="D23" s="754" t="s">
        <v>151</v>
      </c>
      <c r="E23" s="755">
        <f>SUM(G23:G25)</f>
        <v>800</v>
      </c>
      <c r="F23" s="756">
        <v>45008</v>
      </c>
      <c r="G23" s="755">
        <v>175</v>
      </c>
      <c r="H23" s="755" t="s">
        <v>503</v>
      </c>
      <c r="I23" s="755" t="s">
        <v>955</v>
      </c>
      <c r="J23" s="755" t="s">
        <v>869</v>
      </c>
      <c r="K23" s="755" t="s">
        <v>941</v>
      </c>
      <c r="L23" s="755" t="s">
        <v>956</v>
      </c>
      <c r="M23" s="755" t="s">
        <v>843</v>
      </c>
      <c r="N23" s="755" t="s">
        <v>957</v>
      </c>
      <c r="O23" s="755" t="s">
        <v>936</v>
      </c>
      <c r="P23" s="755" t="s">
        <v>950</v>
      </c>
      <c r="Q23" s="755" t="s">
        <v>958</v>
      </c>
      <c r="R23" s="757" t="s">
        <v>959</v>
      </c>
    </row>
    <row r="24" spans="1:18" ht="14.1" customHeight="1" x14ac:dyDescent="0.2">
      <c r="A24" s="786"/>
      <c r="B24" s="1040"/>
      <c r="C24" s="753"/>
      <c r="D24" s="754"/>
      <c r="E24" s="755"/>
      <c r="F24" s="756">
        <v>44999</v>
      </c>
      <c r="G24" s="755">
        <v>500</v>
      </c>
      <c r="H24" s="755" t="s">
        <v>503</v>
      </c>
      <c r="I24" s="755" t="s">
        <v>960</v>
      </c>
      <c r="J24" s="755">
        <v>96</v>
      </c>
      <c r="K24" s="755" t="s">
        <v>389</v>
      </c>
      <c r="L24" s="755" t="s">
        <v>961</v>
      </c>
      <c r="M24" s="755" t="s">
        <v>851</v>
      </c>
      <c r="N24" s="755" t="s">
        <v>962</v>
      </c>
      <c r="O24" s="755" t="s">
        <v>936</v>
      </c>
      <c r="P24" s="755" t="s">
        <v>963</v>
      </c>
      <c r="Q24" s="755" t="s">
        <v>964</v>
      </c>
      <c r="R24" s="757" t="s">
        <v>965</v>
      </c>
    </row>
    <row r="25" spans="1:18" ht="14.1" customHeight="1" x14ac:dyDescent="0.2">
      <c r="A25" s="788"/>
      <c r="B25" s="784"/>
      <c r="C25" s="784"/>
      <c r="D25" s="744"/>
      <c r="E25" s="777"/>
      <c r="F25" s="778">
        <v>44950</v>
      </c>
      <c r="G25" s="777">
        <v>125</v>
      </c>
      <c r="H25" s="777" t="s">
        <v>503</v>
      </c>
      <c r="I25" s="777" t="s">
        <v>966</v>
      </c>
      <c r="J25" s="777" t="s">
        <v>933</v>
      </c>
      <c r="K25" s="777" t="s">
        <v>967</v>
      </c>
      <c r="L25" s="777" t="s">
        <v>968</v>
      </c>
      <c r="M25" s="777" t="s">
        <v>843</v>
      </c>
      <c r="N25" s="777" t="s">
        <v>969</v>
      </c>
      <c r="O25" s="777"/>
      <c r="P25" s="777"/>
      <c r="Q25" s="777" t="s">
        <v>970</v>
      </c>
      <c r="R25" s="779" t="s">
        <v>971</v>
      </c>
    </row>
    <row r="26" spans="1:18" ht="14.1" customHeight="1" x14ac:dyDescent="0.2">
      <c r="A26" s="786" t="s">
        <v>972</v>
      </c>
      <c r="B26" s="747" t="s">
        <v>973</v>
      </c>
      <c r="C26" s="747">
        <v>400</v>
      </c>
      <c r="D26" s="748" t="s">
        <v>150</v>
      </c>
      <c r="E26" s="749">
        <v>0</v>
      </c>
      <c r="F26" s="750" t="s">
        <v>195</v>
      </c>
      <c r="G26" s="749"/>
      <c r="H26" s="749"/>
      <c r="I26" s="749"/>
      <c r="J26" s="749"/>
      <c r="K26" s="749"/>
      <c r="L26" s="749"/>
      <c r="M26" s="749"/>
      <c r="N26" s="749"/>
      <c r="O26" s="749"/>
      <c r="P26" s="749"/>
      <c r="Q26" s="749"/>
      <c r="R26" s="751"/>
    </row>
    <row r="27" spans="1:18" ht="14.1" customHeight="1" x14ac:dyDescent="0.2">
      <c r="A27" s="789" t="s">
        <v>917</v>
      </c>
      <c r="B27" s="769" t="s">
        <v>974</v>
      </c>
      <c r="C27" s="769">
        <v>1000</v>
      </c>
      <c r="D27" s="770" t="s">
        <v>149</v>
      </c>
      <c r="E27" s="771">
        <f>SUM(G27:G29)</f>
        <v>730</v>
      </c>
      <c r="F27" s="772">
        <v>44847</v>
      </c>
      <c r="G27" s="771">
        <v>300</v>
      </c>
      <c r="H27" s="771" t="s">
        <v>505</v>
      </c>
      <c r="I27" s="771" t="s">
        <v>975</v>
      </c>
      <c r="J27" s="771" t="s">
        <v>976</v>
      </c>
      <c r="K27" s="771" t="s">
        <v>389</v>
      </c>
      <c r="L27" s="771" t="s">
        <v>977</v>
      </c>
      <c r="M27" s="771" t="s">
        <v>851</v>
      </c>
      <c r="N27" s="771" t="s">
        <v>852</v>
      </c>
      <c r="O27" s="771" t="s">
        <v>936</v>
      </c>
      <c r="P27" s="771" t="s">
        <v>978</v>
      </c>
      <c r="Q27" s="771" t="s">
        <v>979</v>
      </c>
      <c r="R27" s="773" t="s">
        <v>980</v>
      </c>
    </row>
    <row r="28" spans="1:18" ht="14.1" customHeight="1" x14ac:dyDescent="0.2">
      <c r="A28" s="786"/>
      <c r="B28" s="753"/>
      <c r="C28" s="753"/>
      <c r="D28" s="754"/>
      <c r="E28" s="755"/>
      <c r="F28" s="756">
        <v>44845</v>
      </c>
      <c r="G28" s="755">
        <v>300</v>
      </c>
      <c r="H28" s="755" t="s">
        <v>505</v>
      </c>
      <c r="I28" s="755" t="s">
        <v>933</v>
      </c>
      <c r="J28" s="755" t="s">
        <v>933</v>
      </c>
      <c r="K28" s="755" t="s">
        <v>981</v>
      </c>
      <c r="L28" s="755" t="s">
        <v>982</v>
      </c>
      <c r="M28" s="755" t="s">
        <v>843</v>
      </c>
      <c r="N28" s="755" t="s">
        <v>962</v>
      </c>
      <c r="O28" s="755" t="s">
        <v>936</v>
      </c>
      <c r="P28" s="755" t="s">
        <v>950</v>
      </c>
      <c r="Q28" s="755" t="s">
        <v>983</v>
      </c>
      <c r="R28" s="757" t="s">
        <v>984</v>
      </c>
    </row>
    <row r="29" spans="1:18" ht="14.1" customHeight="1" x14ac:dyDescent="0.2">
      <c r="A29" s="788"/>
      <c r="B29" s="784"/>
      <c r="C29" s="784"/>
      <c r="D29" s="744"/>
      <c r="E29" s="777"/>
      <c r="F29" s="778">
        <v>44839</v>
      </c>
      <c r="G29" s="777">
        <v>130</v>
      </c>
      <c r="H29" s="777" t="s">
        <v>505</v>
      </c>
      <c r="I29" s="777" t="s">
        <v>985</v>
      </c>
      <c r="J29" s="777" t="s">
        <v>869</v>
      </c>
      <c r="K29" s="777" t="s">
        <v>389</v>
      </c>
      <c r="L29" s="777" t="s">
        <v>986</v>
      </c>
      <c r="M29" s="777" t="s">
        <v>843</v>
      </c>
      <c r="N29" s="777" t="s">
        <v>836</v>
      </c>
      <c r="O29" s="777"/>
      <c r="P29" s="777" t="s">
        <v>929</v>
      </c>
      <c r="Q29" s="777" t="s">
        <v>987</v>
      </c>
      <c r="R29" s="779" t="s">
        <v>988</v>
      </c>
    </row>
    <row r="30" spans="1:18" ht="14.1" customHeight="1" x14ac:dyDescent="0.2">
      <c r="A30" s="789"/>
      <c r="B30" s="1039" t="s">
        <v>989</v>
      </c>
      <c r="C30" s="769">
        <v>800</v>
      </c>
      <c r="D30" s="770" t="s">
        <v>148</v>
      </c>
      <c r="E30" s="771">
        <f>SUM(G30:G34)</f>
        <v>640</v>
      </c>
      <c r="F30" s="772">
        <v>44762</v>
      </c>
      <c r="G30" s="771">
        <v>150</v>
      </c>
      <c r="H30" s="771" t="s">
        <v>504</v>
      </c>
      <c r="I30" s="771"/>
      <c r="J30" s="771" t="s">
        <v>933</v>
      </c>
      <c r="K30" s="771" t="s">
        <v>990</v>
      </c>
      <c r="L30" s="771" t="s">
        <v>991</v>
      </c>
      <c r="M30" s="771" t="s">
        <v>851</v>
      </c>
      <c r="N30" s="771" t="s">
        <v>852</v>
      </c>
      <c r="O30" s="771" t="s">
        <v>936</v>
      </c>
      <c r="P30" s="771" t="s">
        <v>929</v>
      </c>
      <c r="Q30" s="771" t="s">
        <v>992</v>
      </c>
      <c r="R30" s="773" t="s">
        <v>993</v>
      </c>
    </row>
    <row r="31" spans="1:18" ht="14.1" customHeight="1" x14ac:dyDescent="0.2">
      <c r="A31" s="786"/>
      <c r="B31" s="1040"/>
      <c r="C31" s="753"/>
      <c r="D31" s="755"/>
      <c r="E31" s="755"/>
      <c r="F31" s="756">
        <v>44750</v>
      </c>
      <c r="G31" s="755">
        <v>140</v>
      </c>
      <c r="H31" s="755" t="s">
        <v>504</v>
      </c>
      <c r="I31" s="755" t="s">
        <v>933</v>
      </c>
      <c r="J31" s="755" t="s">
        <v>869</v>
      </c>
      <c r="K31" s="755" t="s">
        <v>912</v>
      </c>
      <c r="L31" s="755" t="s">
        <v>994</v>
      </c>
      <c r="M31" s="755" t="s">
        <v>906</v>
      </c>
      <c r="N31" s="755" t="s">
        <v>836</v>
      </c>
      <c r="O31" s="755" t="s">
        <v>936</v>
      </c>
      <c r="P31" s="755" t="s">
        <v>929</v>
      </c>
      <c r="Q31" s="755" t="s">
        <v>995</v>
      </c>
      <c r="R31" s="757" t="s">
        <v>996</v>
      </c>
    </row>
    <row r="32" spans="1:18" ht="14.1" customHeight="1" x14ac:dyDescent="0.2">
      <c r="A32" s="786"/>
      <c r="B32" s="753"/>
      <c r="C32" s="753"/>
      <c r="D32" s="754"/>
      <c r="E32" s="755"/>
      <c r="F32" s="756">
        <v>44746</v>
      </c>
      <c r="G32" s="755">
        <v>100</v>
      </c>
      <c r="H32" s="755" t="s">
        <v>504</v>
      </c>
      <c r="I32" s="755" t="s">
        <v>933</v>
      </c>
      <c r="J32" s="755">
        <v>23</v>
      </c>
      <c r="K32" s="755" t="s">
        <v>365</v>
      </c>
      <c r="L32" s="755" t="s">
        <v>997</v>
      </c>
      <c r="M32" s="755" t="s">
        <v>906</v>
      </c>
      <c r="N32" s="755" t="s">
        <v>998</v>
      </c>
      <c r="O32" s="755" t="s">
        <v>936</v>
      </c>
      <c r="P32" s="755" t="s">
        <v>950</v>
      </c>
      <c r="Q32" s="755" t="s">
        <v>999</v>
      </c>
      <c r="R32" s="757" t="s">
        <v>1000</v>
      </c>
    </row>
    <row r="33" spans="1:18" ht="14.1" customHeight="1" x14ac:dyDescent="0.2">
      <c r="A33" s="786"/>
      <c r="B33" s="753"/>
      <c r="C33" s="753"/>
      <c r="D33" s="754"/>
      <c r="E33" s="755"/>
      <c r="F33" s="756">
        <v>44742</v>
      </c>
      <c r="G33" s="755">
        <v>150</v>
      </c>
      <c r="H33" s="755" t="s">
        <v>504</v>
      </c>
      <c r="I33" s="755"/>
      <c r="J33" s="755" t="s">
        <v>933</v>
      </c>
      <c r="K33" s="755" t="s">
        <v>389</v>
      </c>
      <c r="L33" s="755" t="s">
        <v>1001</v>
      </c>
      <c r="M33" s="755" t="s">
        <v>851</v>
      </c>
      <c r="N33" s="755" t="s">
        <v>852</v>
      </c>
      <c r="O33" s="755" t="s">
        <v>936</v>
      </c>
      <c r="P33" s="755" t="s">
        <v>950</v>
      </c>
      <c r="Q33" s="755" t="s">
        <v>1002</v>
      </c>
      <c r="R33" s="790" t="s">
        <v>1003</v>
      </c>
    </row>
    <row r="34" spans="1:18" ht="14.1" customHeight="1" x14ac:dyDescent="0.2">
      <c r="A34" s="791"/>
      <c r="B34" s="792"/>
      <c r="C34" s="792"/>
      <c r="D34" s="760"/>
      <c r="E34" s="761"/>
      <c r="F34" s="762">
        <v>44732</v>
      </c>
      <c r="G34" s="761">
        <v>100</v>
      </c>
      <c r="H34" s="761" t="s">
        <v>504</v>
      </c>
      <c r="I34" s="761" t="s">
        <v>869</v>
      </c>
      <c r="J34" s="761" t="s">
        <v>869</v>
      </c>
      <c r="K34" s="761" t="s">
        <v>374</v>
      </c>
      <c r="L34" s="761" t="s">
        <v>948</v>
      </c>
      <c r="M34" s="761" t="s">
        <v>906</v>
      </c>
      <c r="N34" s="761" t="s">
        <v>1004</v>
      </c>
      <c r="O34" s="761" t="s">
        <v>866</v>
      </c>
      <c r="P34" s="761"/>
      <c r="Q34" s="761" t="s">
        <v>1005</v>
      </c>
      <c r="R34" s="761" t="s">
        <v>1006</v>
      </c>
    </row>
    <row r="35" spans="1:18" ht="14.1" customHeight="1" x14ac:dyDescent="0.2">
      <c r="A35" s="789"/>
      <c r="B35" s="769" t="s">
        <v>1007</v>
      </c>
      <c r="C35" s="769">
        <v>800</v>
      </c>
      <c r="D35" s="770" t="s">
        <v>147</v>
      </c>
      <c r="E35" s="771">
        <f>SUM(G35:G39)</f>
        <v>410</v>
      </c>
      <c r="F35" s="772">
        <v>44750</v>
      </c>
      <c r="G35" s="771">
        <v>30</v>
      </c>
      <c r="H35" s="771" t="s">
        <v>503</v>
      </c>
      <c r="I35" s="771" t="s">
        <v>933</v>
      </c>
      <c r="J35" s="771"/>
      <c r="K35" s="771" t="s">
        <v>912</v>
      </c>
      <c r="L35" s="771" t="s">
        <v>994</v>
      </c>
      <c r="M35" s="771" t="s">
        <v>906</v>
      </c>
      <c r="N35" s="771" t="s">
        <v>836</v>
      </c>
      <c r="O35" s="771" t="s">
        <v>845</v>
      </c>
      <c r="P35" s="771" t="s">
        <v>866</v>
      </c>
      <c r="Q35" s="771" t="s">
        <v>995</v>
      </c>
      <c r="R35" s="773" t="s">
        <v>996</v>
      </c>
    </row>
    <row r="36" spans="1:18" ht="14.1" customHeight="1" x14ac:dyDescent="0.2">
      <c r="A36" s="786"/>
      <c r="B36" s="793"/>
      <c r="C36" s="793"/>
      <c r="D36" s="754"/>
      <c r="E36" s="755"/>
      <c r="F36" s="756">
        <v>44671</v>
      </c>
      <c r="G36" s="755">
        <v>160</v>
      </c>
      <c r="H36" s="755" t="s">
        <v>503</v>
      </c>
      <c r="I36" s="755" t="s">
        <v>933</v>
      </c>
      <c r="J36" s="755"/>
      <c r="K36" s="755" t="s">
        <v>1008</v>
      </c>
      <c r="L36" s="755" t="s">
        <v>1009</v>
      </c>
      <c r="M36" s="755" t="s">
        <v>906</v>
      </c>
      <c r="N36" s="755" t="s">
        <v>943</v>
      </c>
      <c r="O36" s="755" t="s">
        <v>845</v>
      </c>
      <c r="P36" s="755" t="s">
        <v>950</v>
      </c>
      <c r="Q36" s="755" t="s">
        <v>1010</v>
      </c>
      <c r="R36" s="790" t="s">
        <v>1011</v>
      </c>
    </row>
    <row r="37" spans="1:18" ht="14.1" customHeight="1" x14ac:dyDescent="0.2">
      <c r="A37" s="794"/>
      <c r="B37" s="795"/>
      <c r="C37" s="795"/>
      <c r="D37" s="766"/>
      <c r="E37" s="766"/>
      <c r="F37" s="767">
        <v>44670</v>
      </c>
      <c r="G37" s="766">
        <v>120</v>
      </c>
      <c r="H37" s="766" t="s">
        <v>503</v>
      </c>
      <c r="I37" s="766" t="s">
        <v>933</v>
      </c>
      <c r="J37" s="766"/>
      <c r="K37" s="766" t="s">
        <v>967</v>
      </c>
      <c r="L37" s="766" t="s">
        <v>1012</v>
      </c>
      <c r="M37" s="766" t="s">
        <v>906</v>
      </c>
      <c r="N37" s="766" t="s">
        <v>1013</v>
      </c>
      <c r="O37" s="766" t="s">
        <v>929</v>
      </c>
      <c r="P37" s="766"/>
      <c r="Q37" s="766" t="s">
        <v>1014</v>
      </c>
      <c r="R37" s="766" t="s">
        <v>1015</v>
      </c>
    </row>
    <row r="38" spans="1:18" ht="14.1" customHeight="1" x14ac:dyDescent="0.2">
      <c r="A38" s="788"/>
      <c r="B38" s="784"/>
      <c r="C38" s="784"/>
      <c r="D38" s="777"/>
      <c r="E38" s="777"/>
      <c r="F38" s="778">
        <v>44665</v>
      </c>
      <c r="G38" s="777">
        <v>100</v>
      </c>
      <c r="H38" s="777" t="s">
        <v>1016</v>
      </c>
      <c r="I38" s="777" t="s">
        <v>933</v>
      </c>
      <c r="J38" s="777"/>
      <c r="K38" s="777" t="s">
        <v>365</v>
      </c>
      <c r="L38" s="777" t="s">
        <v>1017</v>
      </c>
      <c r="M38" s="777" t="s">
        <v>906</v>
      </c>
      <c r="N38" s="777" t="s">
        <v>836</v>
      </c>
      <c r="O38" s="777"/>
      <c r="P38" s="777"/>
      <c r="Q38" s="777" t="s">
        <v>1018</v>
      </c>
      <c r="R38" s="779" t="s">
        <v>1019</v>
      </c>
    </row>
    <row r="39" spans="1:18" ht="14.1" customHeight="1" x14ac:dyDescent="0.2">
      <c r="A39" s="796"/>
      <c r="B39" s="747" t="s">
        <v>1020</v>
      </c>
      <c r="C39" s="747">
        <v>300</v>
      </c>
      <c r="D39" s="748" t="s">
        <v>146</v>
      </c>
      <c r="E39" s="749">
        <v>0</v>
      </c>
      <c r="F39" s="750"/>
      <c r="G39" s="749"/>
      <c r="H39" s="749"/>
      <c r="I39" s="749"/>
      <c r="J39" s="749"/>
      <c r="K39" s="749"/>
      <c r="L39" s="749"/>
      <c r="M39" s="749"/>
      <c r="N39" s="749"/>
      <c r="O39" s="749"/>
      <c r="P39" s="749"/>
      <c r="Q39" s="749"/>
      <c r="R39" s="751"/>
    </row>
    <row r="40" spans="1:18" ht="14.1" customHeight="1" x14ac:dyDescent="0.2">
      <c r="A40" s="789"/>
      <c r="B40" s="769" t="s">
        <v>1021</v>
      </c>
      <c r="C40" s="769">
        <v>600</v>
      </c>
      <c r="D40" s="770" t="s">
        <v>145</v>
      </c>
      <c r="E40" s="771">
        <f>SUM(G40:G43)</f>
        <v>575</v>
      </c>
      <c r="F40" s="772">
        <v>44488</v>
      </c>
      <c r="G40" s="771">
        <v>105</v>
      </c>
      <c r="H40" s="771" t="s">
        <v>505</v>
      </c>
      <c r="I40" s="771">
        <v>2022</v>
      </c>
      <c r="J40" s="771"/>
      <c r="K40" s="771" t="s">
        <v>374</v>
      </c>
      <c r="L40" s="771" t="s">
        <v>1022</v>
      </c>
      <c r="M40" s="771" t="s">
        <v>906</v>
      </c>
      <c r="N40" s="771" t="s">
        <v>852</v>
      </c>
      <c r="O40" s="771"/>
      <c r="P40" s="771"/>
      <c r="Q40" s="771" t="s">
        <v>1023</v>
      </c>
      <c r="R40" s="773" t="s">
        <v>1024</v>
      </c>
    </row>
    <row r="41" spans="1:18" ht="14.1" customHeight="1" x14ac:dyDescent="0.2">
      <c r="A41" s="786"/>
      <c r="B41" s="753"/>
      <c r="C41" s="753"/>
      <c r="D41" s="754"/>
      <c r="E41" s="755"/>
      <c r="F41" s="756">
        <v>44484</v>
      </c>
      <c r="G41" s="755">
        <v>130</v>
      </c>
      <c r="H41" s="755" t="s">
        <v>505</v>
      </c>
      <c r="I41" s="755" t="s">
        <v>1025</v>
      </c>
      <c r="J41" s="755"/>
      <c r="K41" s="755" t="s">
        <v>365</v>
      </c>
      <c r="L41" s="755" t="s">
        <v>1026</v>
      </c>
      <c r="M41" s="755" t="s">
        <v>851</v>
      </c>
      <c r="N41" s="755" t="s">
        <v>836</v>
      </c>
      <c r="O41" s="755"/>
      <c r="P41" s="755"/>
      <c r="Q41" s="755" t="s">
        <v>1027</v>
      </c>
      <c r="R41" s="757" t="s">
        <v>1028</v>
      </c>
    </row>
    <row r="42" spans="1:18" ht="14.1" customHeight="1" x14ac:dyDescent="0.2">
      <c r="A42" s="786"/>
      <c r="B42" s="753"/>
      <c r="C42" s="753"/>
      <c r="D42" s="754"/>
      <c r="E42" s="755"/>
      <c r="F42" s="756">
        <v>44483</v>
      </c>
      <c r="G42" s="755">
        <v>140</v>
      </c>
      <c r="H42" s="755" t="s">
        <v>505</v>
      </c>
      <c r="I42" s="755" t="s">
        <v>1029</v>
      </c>
      <c r="J42" s="755"/>
      <c r="K42" s="755" t="s">
        <v>375</v>
      </c>
      <c r="L42" s="755" t="s">
        <v>927</v>
      </c>
      <c r="M42" s="755" t="s">
        <v>906</v>
      </c>
      <c r="N42" s="755" t="s">
        <v>844</v>
      </c>
      <c r="O42" s="755"/>
      <c r="P42" s="755"/>
      <c r="Q42" s="755"/>
      <c r="R42" s="757" t="s">
        <v>1030</v>
      </c>
    </row>
    <row r="43" spans="1:18" ht="14.1" customHeight="1" x14ac:dyDescent="0.2">
      <c r="A43" s="788"/>
      <c r="B43" s="784"/>
      <c r="C43" s="784"/>
      <c r="D43" s="744"/>
      <c r="E43" s="777"/>
      <c r="F43" s="778">
        <v>44448</v>
      </c>
      <c r="G43" s="777">
        <v>200</v>
      </c>
      <c r="H43" s="777" t="s">
        <v>505</v>
      </c>
      <c r="I43" s="777" t="s">
        <v>1031</v>
      </c>
      <c r="J43" s="777"/>
      <c r="K43" s="777" t="s">
        <v>981</v>
      </c>
      <c r="L43" s="777" t="s">
        <v>1032</v>
      </c>
      <c r="M43" s="777" t="s">
        <v>906</v>
      </c>
      <c r="N43" s="777" t="s">
        <v>852</v>
      </c>
      <c r="O43" s="777"/>
      <c r="P43" s="777"/>
      <c r="Q43" s="777" t="s">
        <v>1033</v>
      </c>
      <c r="R43" s="779" t="s">
        <v>1034</v>
      </c>
    </row>
    <row r="44" spans="1:18" ht="14.1" customHeight="1" x14ac:dyDescent="0.2">
      <c r="A44" s="797"/>
      <c r="B44" s="769" t="s">
        <v>1035</v>
      </c>
      <c r="C44" s="769">
        <v>500</v>
      </c>
      <c r="D44" s="798" t="s">
        <v>144</v>
      </c>
      <c r="E44" s="799">
        <f>SUM(G44:G45)</f>
        <v>465</v>
      </c>
      <c r="F44" s="800">
        <v>44391</v>
      </c>
      <c r="G44" s="801">
        <v>90</v>
      </c>
      <c r="H44" s="801" t="s">
        <v>504</v>
      </c>
      <c r="I44" s="801" t="s">
        <v>1036</v>
      </c>
      <c r="J44" s="801"/>
      <c r="K44" s="801" t="s">
        <v>967</v>
      </c>
      <c r="L44" s="801" t="s">
        <v>1037</v>
      </c>
      <c r="M44" s="801" t="s">
        <v>906</v>
      </c>
      <c r="N44" s="801"/>
      <c r="O44" s="801" t="s">
        <v>929</v>
      </c>
      <c r="P44" s="801"/>
      <c r="Q44" s="801" t="s">
        <v>1038</v>
      </c>
      <c r="R44" s="801" t="s">
        <v>1039</v>
      </c>
    </row>
    <row r="45" spans="1:18" ht="14.1" customHeight="1" x14ac:dyDescent="0.2">
      <c r="A45" s="788"/>
      <c r="B45" s="784"/>
      <c r="C45" s="784"/>
      <c r="D45" s="744"/>
      <c r="E45" s="777"/>
      <c r="F45" s="778">
        <v>44376</v>
      </c>
      <c r="G45" s="777">
        <v>375</v>
      </c>
      <c r="H45" s="777" t="s">
        <v>1040</v>
      </c>
      <c r="I45" s="777" t="s">
        <v>1031</v>
      </c>
      <c r="J45" s="777"/>
      <c r="K45" s="777" t="s">
        <v>912</v>
      </c>
      <c r="L45" s="777" t="s">
        <v>1041</v>
      </c>
      <c r="M45" s="777"/>
      <c r="N45" s="777"/>
      <c r="O45" s="777"/>
      <c r="P45" s="777"/>
      <c r="Q45" s="777" t="s">
        <v>1042</v>
      </c>
      <c r="R45" s="779" t="s">
        <v>1043</v>
      </c>
    </row>
    <row r="46" spans="1:18" ht="14.1" customHeight="1" x14ac:dyDescent="0.2">
      <c r="A46" s="796"/>
      <c r="B46" s="747" t="s">
        <v>1044</v>
      </c>
      <c r="C46" s="747">
        <v>500</v>
      </c>
      <c r="D46" s="748" t="s">
        <v>143</v>
      </c>
      <c r="E46" s="749">
        <f>G46</f>
        <v>130</v>
      </c>
      <c r="F46" s="750">
        <v>44313</v>
      </c>
      <c r="G46" s="749">
        <v>130</v>
      </c>
      <c r="H46" s="749" t="s">
        <v>503</v>
      </c>
      <c r="I46" s="749" t="s">
        <v>1045</v>
      </c>
      <c r="J46" s="749"/>
      <c r="K46" s="749" t="s">
        <v>389</v>
      </c>
      <c r="L46" s="749" t="s">
        <v>1046</v>
      </c>
      <c r="M46" s="749" t="s">
        <v>851</v>
      </c>
      <c r="N46" s="749" t="s">
        <v>852</v>
      </c>
      <c r="O46" s="749"/>
      <c r="P46" s="749"/>
      <c r="Q46" s="749" t="s">
        <v>1047</v>
      </c>
      <c r="R46" s="751" t="s">
        <v>1048</v>
      </c>
    </row>
    <row r="47" spans="1:18" ht="14.1" customHeight="1" x14ac:dyDescent="0.2">
      <c r="A47" s="796"/>
      <c r="B47" s="747"/>
      <c r="C47" s="747"/>
      <c r="D47" s="748" t="s">
        <v>142</v>
      </c>
      <c r="E47" s="749">
        <v>0</v>
      </c>
      <c r="F47" s="750"/>
      <c r="G47" s="749"/>
      <c r="H47" s="749" t="s">
        <v>506</v>
      </c>
      <c r="I47" s="749"/>
      <c r="J47" s="749"/>
      <c r="K47" s="749"/>
      <c r="L47" s="749"/>
      <c r="M47" s="749"/>
      <c r="N47" s="749"/>
      <c r="O47" s="749"/>
      <c r="P47" s="749"/>
      <c r="Q47" s="749"/>
      <c r="R47" s="751"/>
    </row>
    <row r="48" spans="1:18" ht="14.1" customHeight="1" x14ac:dyDescent="0.2">
      <c r="A48" s="796"/>
      <c r="B48" s="747"/>
      <c r="C48" s="747"/>
      <c r="D48" s="748" t="s">
        <v>141</v>
      </c>
      <c r="E48" s="749">
        <f>G48</f>
        <v>100</v>
      </c>
      <c r="F48" s="750">
        <v>44125</v>
      </c>
      <c r="G48" s="749">
        <v>100</v>
      </c>
      <c r="H48" s="749" t="s">
        <v>505</v>
      </c>
      <c r="I48" s="749" t="s">
        <v>1049</v>
      </c>
      <c r="J48" s="749"/>
      <c r="K48" s="749" t="s">
        <v>382</v>
      </c>
      <c r="L48" s="749" t="s">
        <v>1050</v>
      </c>
      <c r="M48" s="749" t="s">
        <v>906</v>
      </c>
      <c r="N48" s="749" t="s">
        <v>1051</v>
      </c>
      <c r="O48" s="749"/>
      <c r="P48" s="749"/>
      <c r="Q48" s="749" t="s">
        <v>1052</v>
      </c>
      <c r="R48" s="751" t="s">
        <v>1053</v>
      </c>
    </row>
    <row r="49" spans="1:18" ht="14.1" customHeight="1" x14ac:dyDescent="0.2">
      <c r="A49" s="796"/>
      <c r="B49" s="747"/>
      <c r="C49" s="747"/>
      <c r="D49" s="748" t="s">
        <v>140</v>
      </c>
      <c r="E49" s="749">
        <f>G49</f>
        <v>190</v>
      </c>
      <c r="F49" s="750">
        <v>43979</v>
      </c>
      <c r="G49" s="749">
        <v>190</v>
      </c>
      <c r="H49" s="749" t="s">
        <v>504</v>
      </c>
      <c r="I49" s="749" t="s">
        <v>1054</v>
      </c>
      <c r="J49" s="749"/>
      <c r="K49" s="749" t="s">
        <v>367</v>
      </c>
      <c r="L49" s="749" t="s">
        <v>921</v>
      </c>
      <c r="M49" s="749" t="s">
        <v>1055</v>
      </c>
      <c r="N49" s="749" t="s">
        <v>1056</v>
      </c>
      <c r="O49" s="749"/>
      <c r="P49" s="749"/>
      <c r="Q49" s="749" t="s">
        <v>1057</v>
      </c>
      <c r="R49" s="751" t="s">
        <v>1058</v>
      </c>
    </row>
    <row r="50" spans="1:18" ht="14.1" customHeight="1" x14ac:dyDescent="0.25">
      <c r="A50" s="676"/>
      <c r="B50" s="802"/>
      <c r="C50" s="802"/>
      <c r="D50" s="803"/>
      <c r="E50" s="804"/>
      <c r="F50" s="803"/>
      <c r="G50" s="803"/>
      <c r="H50" s="803"/>
      <c r="I50" s="803"/>
      <c r="J50" s="803"/>
      <c r="K50" s="803"/>
      <c r="L50" s="803"/>
      <c r="M50" s="803"/>
      <c r="N50" s="803"/>
      <c r="O50" s="803"/>
      <c r="P50" s="803"/>
      <c r="Q50" s="803"/>
      <c r="R50" s="805"/>
    </row>
    <row r="51" spans="1:18" ht="14.1" customHeight="1" x14ac:dyDescent="0.25">
      <c r="A51" s="724"/>
      <c r="B51" s="806"/>
      <c r="C51" s="806"/>
      <c r="D51" s="807"/>
      <c r="E51" s="808"/>
      <c r="F51" s="807"/>
      <c r="G51" s="807"/>
      <c r="H51" s="807"/>
      <c r="I51" s="807"/>
      <c r="J51" s="807"/>
      <c r="K51" s="807"/>
      <c r="L51" s="807"/>
      <c r="M51" s="807"/>
      <c r="N51" s="807"/>
      <c r="O51" s="807"/>
      <c r="P51" s="807"/>
      <c r="Q51" s="807"/>
      <c r="R51" s="809"/>
    </row>
    <row r="52" spans="1:18" ht="13.5" x14ac:dyDescent="0.25">
      <c r="A52" s="724"/>
      <c r="B52" s="806"/>
      <c r="C52" s="806"/>
      <c r="D52" s="807"/>
      <c r="E52" s="808"/>
      <c r="F52" s="807"/>
      <c r="G52" s="807"/>
      <c r="H52" s="807"/>
      <c r="I52" s="807"/>
      <c r="J52" s="807"/>
      <c r="K52" s="807"/>
      <c r="L52" s="807"/>
      <c r="M52" s="807"/>
      <c r="N52" s="807"/>
      <c r="O52" s="807"/>
      <c r="P52" s="807"/>
      <c r="Q52" s="807"/>
      <c r="R52" s="809"/>
    </row>
    <row r="53" spans="1:18" ht="13.5" x14ac:dyDescent="0.25">
      <c r="A53" s="724"/>
      <c r="B53" s="806"/>
      <c r="C53" s="806"/>
      <c r="D53" s="807"/>
      <c r="E53" s="808"/>
      <c r="F53" s="807"/>
      <c r="G53" s="807"/>
      <c r="H53" s="807"/>
      <c r="I53" s="807"/>
      <c r="J53" s="807"/>
      <c r="K53" s="807"/>
      <c r="L53" s="807"/>
      <c r="M53" s="807"/>
      <c r="N53" s="807"/>
      <c r="O53" s="807"/>
      <c r="P53" s="807"/>
      <c r="Q53" s="807"/>
      <c r="R53" s="809"/>
    </row>
    <row r="54" spans="1:18" ht="13.5" x14ac:dyDescent="0.25">
      <c r="A54" s="724"/>
      <c r="B54" s="806"/>
      <c r="C54" s="806"/>
      <c r="D54" s="807"/>
      <c r="E54" s="808"/>
      <c r="F54" s="807"/>
      <c r="G54" s="807"/>
      <c r="H54" s="807"/>
      <c r="I54" s="807"/>
      <c r="J54" s="807"/>
      <c r="K54" s="807"/>
      <c r="L54" s="807"/>
      <c r="M54" s="807"/>
      <c r="N54" s="807"/>
      <c r="O54" s="807"/>
      <c r="P54" s="807"/>
      <c r="Q54" s="807"/>
      <c r="R54" s="809"/>
    </row>
    <row r="55" spans="1:18" ht="13.5" x14ac:dyDescent="0.25">
      <c r="A55" s="724"/>
      <c r="B55" s="806"/>
      <c r="C55" s="806"/>
      <c r="D55" s="807"/>
      <c r="E55" s="808"/>
      <c r="F55" s="807"/>
      <c r="G55" s="807"/>
      <c r="H55" s="807"/>
      <c r="I55" s="807"/>
      <c r="J55" s="807"/>
      <c r="K55" s="807"/>
      <c r="L55" s="807"/>
      <c r="M55" s="807"/>
      <c r="N55" s="807"/>
      <c r="O55" s="807"/>
      <c r="P55" s="807"/>
      <c r="Q55" s="807"/>
      <c r="R55" s="809"/>
    </row>
    <row r="56" spans="1:18" ht="13.5" x14ac:dyDescent="0.25">
      <c r="A56" s="724"/>
      <c r="B56" s="806"/>
      <c r="C56" s="806"/>
      <c r="D56" s="807"/>
      <c r="E56" s="808"/>
      <c r="F56" s="807"/>
      <c r="G56" s="807"/>
      <c r="H56" s="807"/>
      <c r="I56" s="807"/>
      <c r="J56" s="807"/>
      <c r="K56" s="807"/>
      <c r="L56" s="807"/>
      <c r="M56" s="807"/>
      <c r="N56" s="807"/>
      <c r="O56" s="807"/>
      <c r="P56" s="807"/>
      <c r="Q56" s="807"/>
      <c r="R56" s="809"/>
    </row>
    <row r="57" spans="1:18" ht="13.5" x14ac:dyDescent="0.25">
      <c r="A57" s="724"/>
      <c r="B57" s="806"/>
      <c r="C57" s="806"/>
      <c r="D57" s="807"/>
      <c r="E57" s="808"/>
      <c r="F57" s="807"/>
      <c r="G57" s="807"/>
      <c r="H57" s="807"/>
      <c r="I57" s="807"/>
      <c r="J57" s="807"/>
      <c r="K57" s="807"/>
      <c r="L57" s="807"/>
      <c r="M57" s="807"/>
      <c r="N57" s="807"/>
      <c r="O57" s="807"/>
      <c r="P57" s="807"/>
      <c r="Q57" s="807"/>
      <c r="R57" s="809"/>
    </row>
    <row r="58" spans="1:18" ht="13.5" x14ac:dyDescent="0.25">
      <c r="A58" s="724"/>
      <c r="B58" s="806"/>
      <c r="C58" s="806"/>
      <c r="D58" s="807"/>
      <c r="E58" s="808"/>
      <c r="F58" s="807"/>
      <c r="G58" s="807"/>
      <c r="H58" s="807"/>
      <c r="I58" s="807"/>
      <c r="J58" s="807"/>
      <c r="K58" s="807"/>
      <c r="L58" s="807"/>
      <c r="M58" s="807"/>
      <c r="N58" s="807"/>
      <c r="O58" s="807"/>
      <c r="P58" s="807"/>
      <c r="Q58" s="807"/>
      <c r="R58" s="809"/>
    </row>
    <row r="59" spans="1:18" ht="13.5" x14ac:dyDescent="0.25">
      <c r="A59" s="724"/>
      <c r="B59" s="806"/>
      <c r="C59" s="806"/>
      <c r="D59" s="807"/>
      <c r="E59" s="808"/>
      <c r="F59" s="807"/>
      <c r="G59" s="807"/>
      <c r="H59" s="807"/>
      <c r="I59" s="807"/>
      <c r="J59" s="807"/>
      <c r="K59" s="807"/>
      <c r="L59" s="807"/>
      <c r="M59" s="807"/>
      <c r="N59" s="807"/>
      <c r="O59" s="807"/>
      <c r="P59" s="807"/>
      <c r="Q59" s="807"/>
      <c r="R59" s="809"/>
    </row>
    <row r="60" spans="1:18" ht="13.5" x14ac:dyDescent="0.25">
      <c r="A60" s="724"/>
      <c r="B60" s="806"/>
      <c r="C60" s="806"/>
      <c r="D60" s="807"/>
      <c r="E60" s="808"/>
      <c r="F60" s="807"/>
      <c r="G60" s="807"/>
      <c r="H60" s="807"/>
      <c r="I60" s="807"/>
      <c r="J60" s="807"/>
      <c r="K60" s="807"/>
      <c r="L60" s="807"/>
      <c r="M60" s="807"/>
      <c r="N60" s="807"/>
      <c r="O60" s="807"/>
      <c r="P60" s="807"/>
      <c r="Q60" s="807"/>
      <c r="R60" s="809"/>
    </row>
    <row r="61" spans="1:18" ht="13.5" x14ac:dyDescent="0.25">
      <c r="A61" s="724"/>
      <c r="B61" s="806"/>
      <c r="C61" s="806"/>
      <c r="D61" s="807"/>
      <c r="E61" s="808"/>
      <c r="F61" s="807"/>
      <c r="G61" s="807"/>
      <c r="H61" s="807"/>
      <c r="I61" s="807"/>
      <c r="J61" s="807"/>
      <c r="K61" s="807"/>
      <c r="L61" s="807"/>
      <c r="M61" s="807"/>
      <c r="N61" s="807"/>
      <c r="O61" s="807"/>
      <c r="P61" s="807"/>
      <c r="Q61" s="807"/>
      <c r="R61" s="809"/>
    </row>
    <row r="62" spans="1:18" ht="13.5" x14ac:dyDescent="0.25">
      <c r="A62" s="724"/>
      <c r="B62" s="806"/>
      <c r="C62" s="806"/>
      <c r="D62" s="807"/>
      <c r="E62" s="808"/>
      <c r="F62" s="807"/>
      <c r="G62" s="807"/>
      <c r="H62" s="807"/>
      <c r="I62" s="807"/>
      <c r="J62" s="807"/>
      <c r="K62" s="807"/>
      <c r="L62" s="807"/>
      <c r="M62" s="807"/>
      <c r="N62" s="807"/>
      <c r="O62" s="807"/>
      <c r="P62" s="807"/>
      <c r="Q62" s="807"/>
      <c r="R62" s="809"/>
    </row>
    <row r="63" spans="1:18" ht="13.5" x14ac:dyDescent="0.25">
      <c r="A63" s="724"/>
      <c r="B63" s="806"/>
      <c r="C63" s="806"/>
      <c r="D63" s="807"/>
      <c r="E63" s="808"/>
      <c r="F63" s="807"/>
      <c r="G63" s="807"/>
      <c r="H63" s="807"/>
      <c r="I63" s="807"/>
      <c r="J63" s="807"/>
      <c r="K63" s="807"/>
      <c r="L63" s="807"/>
      <c r="M63" s="807"/>
      <c r="N63" s="807"/>
      <c r="O63" s="807"/>
      <c r="P63" s="807"/>
      <c r="Q63" s="807"/>
      <c r="R63" s="809"/>
    </row>
    <row r="64" spans="1:18" ht="13.5" x14ac:dyDescent="0.25">
      <c r="A64" s="724"/>
      <c r="B64" s="806"/>
      <c r="C64" s="806"/>
      <c r="D64" s="807"/>
      <c r="E64" s="808"/>
      <c r="F64" s="807"/>
      <c r="G64" s="807"/>
      <c r="H64" s="807"/>
      <c r="I64" s="807"/>
      <c r="J64" s="807"/>
      <c r="K64" s="807"/>
      <c r="L64" s="807"/>
      <c r="M64" s="807"/>
      <c r="N64" s="807"/>
      <c r="O64" s="807"/>
      <c r="P64" s="807"/>
      <c r="Q64" s="807"/>
      <c r="R64" s="809"/>
    </row>
    <row r="65" spans="1:18" ht="13.5" x14ac:dyDescent="0.25">
      <c r="A65" s="724"/>
      <c r="B65" s="806"/>
      <c r="C65" s="806"/>
      <c r="D65" s="807"/>
      <c r="E65" s="808"/>
      <c r="F65" s="807"/>
      <c r="G65" s="807"/>
      <c r="H65" s="807"/>
      <c r="I65" s="807"/>
      <c r="J65" s="807"/>
      <c r="K65" s="807"/>
      <c r="L65" s="807"/>
      <c r="M65" s="807"/>
      <c r="N65" s="807"/>
      <c r="O65" s="807"/>
      <c r="P65" s="807"/>
      <c r="Q65" s="807"/>
      <c r="R65" s="809"/>
    </row>
    <row r="66" spans="1:18" ht="13.5" x14ac:dyDescent="0.25">
      <c r="A66" s="724"/>
      <c r="B66" s="806"/>
      <c r="C66" s="806"/>
      <c r="D66" s="807"/>
      <c r="E66" s="808"/>
      <c r="F66" s="807"/>
      <c r="G66" s="807"/>
      <c r="H66" s="807"/>
      <c r="I66" s="807"/>
      <c r="J66" s="807"/>
      <c r="K66" s="807"/>
      <c r="L66" s="807"/>
      <c r="M66" s="807"/>
      <c r="N66" s="807"/>
      <c r="O66" s="807"/>
      <c r="P66" s="807"/>
      <c r="Q66" s="807"/>
      <c r="R66" s="809"/>
    </row>
    <row r="67" spans="1:18" ht="13.5" x14ac:dyDescent="0.25">
      <c r="A67" s="724"/>
      <c r="B67" s="806"/>
      <c r="C67" s="806"/>
      <c r="D67" s="807"/>
      <c r="E67" s="808"/>
      <c r="F67" s="807"/>
      <c r="G67" s="807"/>
      <c r="H67" s="807"/>
      <c r="I67" s="807"/>
      <c r="J67" s="807"/>
      <c r="K67" s="807"/>
      <c r="L67" s="807"/>
      <c r="M67" s="807"/>
      <c r="N67" s="807"/>
      <c r="O67" s="807"/>
      <c r="P67" s="807"/>
      <c r="Q67" s="807"/>
      <c r="R67" s="809"/>
    </row>
    <row r="68" spans="1:18" ht="13.5" x14ac:dyDescent="0.25">
      <c r="A68" s="724"/>
      <c r="B68" s="806"/>
      <c r="C68" s="806"/>
      <c r="D68" s="807"/>
      <c r="E68" s="808"/>
      <c r="F68" s="807"/>
      <c r="G68" s="807"/>
      <c r="H68" s="807"/>
      <c r="I68" s="807"/>
      <c r="J68" s="807"/>
      <c r="K68" s="807"/>
      <c r="L68" s="807"/>
      <c r="M68" s="807"/>
      <c r="N68" s="807"/>
      <c r="O68" s="807"/>
      <c r="P68" s="807"/>
      <c r="Q68" s="807"/>
      <c r="R68" s="809"/>
    </row>
    <row r="69" spans="1:18" ht="13.5" x14ac:dyDescent="0.25">
      <c r="A69" s="724"/>
      <c r="B69" s="806"/>
      <c r="C69" s="806"/>
      <c r="D69" s="807"/>
      <c r="E69" s="808"/>
      <c r="F69" s="807"/>
      <c r="G69" s="807"/>
      <c r="H69" s="807"/>
      <c r="I69" s="807"/>
      <c r="J69" s="807"/>
      <c r="K69" s="807"/>
      <c r="L69" s="807"/>
      <c r="M69" s="807"/>
      <c r="N69" s="807"/>
      <c r="O69" s="807"/>
      <c r="P69" s="807"/>
      <c r="Q69" s="807"/>
      <c r="R69" s="809"/>
    </row>
    <row r="70" spans="1:18" ht="13.5" x14ac:dyDescent="0.25">
      <c r="A70" s="724"/>
      <c r="B70" s="806"/>
      <c r="C70" s="806"/>
      <c r="D70" s="807"/>
      <c r="E70" s="808"/>
      <c r="F70" s="807"/>
      <c r="G70" s="807"/>
      <c r="H70" s="807"/>
      <c r="I70" s="807"/>
      <c r="J70" s="807"/>
      <c r="K70" s="807"/>
      <c r="L70" s="807"/>
      <c r="M70" s="807"/>
      <c r="N70" s="807"/>
      <c r="O70" s="807"/>
      <c r="P70" s="807"/>
      <c r="Q70" s="807"/>
      <c r="R70" s="809"/>
    </row>
    <row r="71" spans="1:18" ht="13.5" x14ac:dyDescent="0.25">
      <c r="A71" s="724"/>
      <c r="B71" s="806"/>
      <c r="C71" s="806"/>
      <c r="D71" s="807"/>
      <c r="E71" s="808"/>
      <c r="F71" s="807"/>
      <c r="G71" s="807"/>
      <c r="H71" s="807"/>
      <c r="I71" s="807"/>
      <c r="J71" s="807"/>
      <c r="K71" s="807"/>
      <c r="L71" s="807"/>
      <c r="M71" s="807"/>
      <c r="N71" s="807"/>
      <c r="O71" s="807"/>
      <c r="P71" s="807"/>
      <c r="Q71" s="807"/>
      <c r="R71" s="809"/>
    </row>
  </sheetData>
  <mergeCells count="2">
    <mergeCell ref="B23:B24"/>
    <mergeCell ref="B30:B31"/>
  </mergeCells>
  <hyperlinks>
    <hyperlink ref="R33" r:id="rId1" xr:uid="{C3886EB7-3065-4945-87DD-C491846486A2}"/>
    <hyperlink ref="R36" r:id="rId2" xr:uid="{D969B9B9-E2AD-4606-9670-23ABF0C6D7B6}"/>
    <hyperlink ref="R16" r:id="rId3" xr:uid="{6504A6C9-1AF4-4975-BD82-9C22FFEF5033}"/>
    <hyperlink ref="R17"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4" r:id="rId5" xr:uid="{B2A1AACA-D9FE-423C-BBC5-09C8012FB67D}"/>
  </hyperlinks>
  <pageMargins left="0.7" right="0.7" top="0.75" bottom="0.75" header="0.3" footer="0.3"/>
  <pageSetup paperSize="9" scale="31"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J84"/>
  <sheetViews>
    <sheetView showGridLines="0" workbookViewId="0"/>
  </sheetViews>
  <sheetFormatPr defaultRowHeight="13.35" customHeight="1" x14ac:dyDescent="0.2"/>
  <cols>
    <col min="1" max="1" width="27.85546875" customWidth="1"/>
    <col min="2" max="2" width="5.85546875" bestFit="1" customWidth="1"/>
    <col min="3" max="4" width="8.42578125" bestFit="1" customWidth="1"/>
    <col min="5" max="5" width="11.140625" customWidth="1"/>
    <col min="6" max="6" width="11.85546875" customWidth="1"/>
    <col min="7" max="7" width="7.140625" bestFit="1" customWidth="1"/>
    <col min="8" max="8" width="12.140625" customWidth="1"/>
    <col min="9" max="9" width="9.5703125" customWidth="1"/>
    <col min="10" max="10" width="12.140625" customWidth="1"/>
    <col min="13" max="13" width="8.85546875" customWidth="1"/>
    <col min="17" max="18" width="8.85546875" customWidth="1"/>
    <col min="20" max="20" width="8.85546875" customWidth="1"/>
  </cols>
  <sheetData>
    <row r="1" spans="1:10" ht="16.5" thickBot="1" x14ac:dyDescent="0.3">
      <c r="A1" s="1" t="s">
        <v>1059</v>
      </c>
      <c r="B1" s="89"/>
      <c r="C1" s="89"/>
      <c r="D1" s="89"/>
      <c r="E1" s="89"/>
      <c r="F1" s="89"/>
      <c r="G1" s="89"/>
      <c r="H1" s="89"/>
      <c r="I1" s="810"/>
      <c r="J1" s="811"/>
    </row>
    <row r="2" spans="1:10" ht="13.35" customHeight="1" thickTop="1" thickBot="1" x14ac:dyDescent="0.25">
      <c r="A2" s="19" t="s">
        <v>32</v>
      </c>
      <c r="B2" s="36"/>
      <c r="C2" s="36"/>
      <c r="D2" s="36"/>
      <c r="E2" s="812"/>
      <c r="F2" s="812"/>
      <c r="G2" s="812"/>
      <c r="H2" s="812"/>
      <c r="I2" s="813"/>
      <c r="J2" s="812"/>
    </row>
    <row r="3" spans="1:10" ht="13.35" customHeight="1" thickTop="1" x14ac:dyDescent="0.2">
      <c r="A3" s="814" t="s">
        <v>1060</v>
      </c>
      <c r="B3" s="815">
        <v>2018</v>
      </c>
      <c r="C3" s="815">
        <v>2019</v>
      </c>
      <c r="D3" s="815">
        <v>2020</v>
      </c>
      <c r="E3" s="815">
        <v>2021</v>
      </c>
      <c r="F3" s="815">
        <v>2022</v>
      </c>
      <c r="G3" s="815"/>
      <c r="H3" s="815">
        <v>2023</v>
      </c>
      <c r="I3" s="816" t="s">
        <v>1061</v>
      </c>
      <c r="J3" s="815">
        <v>2024</v>
      </c>
    </row>
    <row r="4" spans="1:10" ht="13.35" customHeight="1" x14ac:dyDescent="0.2">
      <c r="A4" s="60" t="s">
        <v>1062</v>
      </c>
      <c r="B4" s="817">
        <v>27</v>
      </c>
      <c r="C4" s="817">
        <v>24</v>
      </c>
      <c r="D4" s="817">
        <v>24</v>
      </c>
      <c r="E4" s="817">
        <v>23</v>
      </c>
      <c r="F4" s="817">
        <v>23</v>
      </c>
      <c r="G4" s="817"/>
      <c r="H4" s="817">
        <v>17</v>
      </c>
      <c r="I4" s="818">
        <v>19</v>
      </c>
      <c r="J4" s="817">
        <v>22</v>
      </c>
    </row>
    <row r="5" spans="1:10" ht="13.35" customHeight="1" x14ac:dyDescent="0.2">
      <c r="A5" s="819" t="s">
        <v>346</v>
      </c>
      <c r="B5" s="820">
        <f>100-B4</f>
        <v>73</v>
      </c>
      <c r="C5" s="820">
        <f>100-C4</f>
        <v>76</v>
      </c>
      <c r="D5" s="820">
        <f>100-D4</f>
        <v>76</v>
      </c>
      <c r="E5" s="820">
        <f>100-E4</f>
        <v>77</v>
      </c>
      <c r="F5" s="820">
        <f>100-F4</f>
        <v>77</v>
      </c>
      <c r="G5" s="820"/>
      <c r="H5" s="820">
        <f>100-H4</f>
        <v>83</v>
      </c>
      <c r="I5" s="821">
        <f>100-I4</f>
        <v>81</v>
      </c>
      <c r="J5" s="820">
        <f>100-J4</f>
        <v>78</v>
      </c>
    </row>
    <row r="6" spans="1:10" ht="13.35" customHeight="1" x14ac:dyDescent="0.2">
      <c r="A6" s="60" t="s">
        <v>844</v>
      </c>
      <c r="B6" s="817">
        <v>17</v>
      </c>
      <c r="C6" s="817">
        <v>16</v>
      </c>
      <c r="D6" s="817">
        <v>21</v>
      </c>
      <c r="E6" s="817">
        <v>24.1</v>
      </c>
      <c r="F6" s="817">
        <v>27</v>
      </c>
      <c r="G6" s="817"/>
      <c r="H6" s="817">
        <v>29.5</v>
      </c>
      <c r="I6" s="818">
        <v>29</v>
      </c>
      <c r="J6" s="817">
        <v>25.74</v>
      </c>
    </row>
    <row r="7" spans="1:10" ht="13.35" customHeight="1" x14ac:dyDescent="0.2">
      <c r="A7" s="60" t="s">
        <v>1063</v>
      </c>
      <c r="B7" s="817">
        <v>21</v>
      </c>
      <c r="C7" s="817">
        <v>19</v>
      </c>
      <c r="D7" s="817">
        <v>23</v>
      </c>
      <c r="E7" s="817">
        <v>21.2</v>
      </c>
      <c r="F7" s="817">
        <v>19</v>
      </c>
      <c r="G7" s="817"/>
      <c r="H7" s="817">
        <v>19.2</v>
      </c>
      <c r="I7" s="818">
        <v>20</v>
      </c>
      <c r="J7" s="817">
        <v>21.06</v>
      </c>
    </row>
    <row r="8" spans="1:10" ht="13.35" customHeight="1" x14ac:dyDescent="0.2">
      <c r="A8" s="60" t="s">
        <v>1064</v>
      </c>
      <c r="B8" s="817">
        <v>5</v>
      </c>
      <c r="C8" s="817">
        <v>7</v>
      </c>
      <c r="D8" s="817">
        <v>11</v>
      </c>
      <c r="E8" s="817">
        <v>12.2</v>
      </c>
      <c r="F8" s="817">
        <v>11</v>
      </c>
      <c r="G8" s="817"/>
      <c r="H8" s="817">
        <v>13.1</v>
      </c>
      <c r="I8" s="818">
        <v>12</v>
      </c>
      <c r="J8" s="817">
        <v>14.04</v>
      </c>
    </row>
    <row r="9" spans="1:10" ht="13.35" customHeight="1" x14ac:dyDescent="0.2">
      <c r="A9" s="60" t="s">
        <v>1065</v>
      </c>
      <c r="B9" s="817">
        <v>4</v>
      </c>
      <c r="C9" s="817">
        <v>6</v>
      </c>
      <c r="D9" s="817">
        <v>2</v>
      </c>
      <c r="E9" s="817">
        <v>4.8</v>
      </c>
      <c r="F9" s="817">
        <v>4</v>
      </c>
      <c r="G9" s="817"/>
      <c r="H9" s="817">
        <v>4</v>
      </c>
      <c r="I9" s="818">
        <v>1</v>
      </c>
      <c r="J9" s="817">
        <v>4.68</v>
      </c>
    </row>
    <row r="10" spans="1:10" ht="13.35" customHeight="1" x14ac:dyDescent="0.2">
      <c r="A10" s="60" t="s">
        <v>907</v>
      </c>
      <c r="B10" s="817">
        <v>2</v>
      </c>
      <c r="C10" s="817">
        <v>2</v>
      </c>
      <c r="D10" s="817">
        <v>3</v>
      </c>
      <c r="E10" s="817">
        <v>2.8</v>
      </c>
      <c r="F10" s="817">
        <v>4</v>
      </c>
      <c r="G10" s="817"/>
      <c r="H10" s="817">
        <v>4.9000000000000004</v>
      </c>
      <c r="I10" s="818">
        <v>4</v>
      </c>
      <c r="J10" s="817">
        <v>3.9</v>
      </c>
    </row>
    <row r="11" spans="1:10" ht="13.35" customHeight="1" x14ac:dyDescent="0.2">
      <c r="A11" s="60" t="s">
        <v>1066</v>
      </c>
      <c r="B11" s="822" t="s">
        <v>195</v>
      </c>
      <c r="C11" s="822" t="s">
        <v>195</v>
      </c>
      <c r="D11" s="817">
        <v>4</v>
      </c>
      <c r="E11" s="817">
        <v>2.9</v>
      </c>
      <c r="F11" s="817">
        <v>3</v>
      </c>
      <c r="G11" s="817"/>
      <c r="H11" s="817">
        <v>1.3</v>
      </c>
      <c r="I11" s="818">
        <v>3</v>
      </c>
      <c r="J11" s="817">
        <v>2.34</v>
      </c>
    </row>
    <row r="12" spans="1:10" ht="13.35" customHeight="1" x14ac:dyDescent="0.2">
      <c r="A12" s="60" t="s">
        <v>1067</v>
      </c>
      <c r="B12" s="817">
        <v>3</v>
      </c>
      <c r="C12" s="817">
        <v>3</v>
      </c>
      <c r="D12" s="817">
        <v>3</v>
      </c>
      <c r="E12" s="817">
        <v>4.5999999999999996</v>
      </c>
      <c r="F12" s="817">
        <v>3</v>
      </c>
      <c r="G12" s="817"/>
      <c r="H12" s="817">
        <v>2</v>
      </c>
      <c r="I12" s="818">
        <v>2</v>
      </c>
      <c r="J12" s="817">
        <v>1.56</v>
      </c>
    </row>
    <row r="13" spans="1:10" ht="13.35" customHeight="1" x14ac:dyDescent="0.2">
      <c r="A13" s="60" t="s">
        <v>372</v>
      </c>
      <c r="B13" s="817">
        <v>12</v>
      </c>
      <c r="C13" s="817">
        <v>14</v>
      </c>
      <c r="D13" s="817">
        <v>9</v>
      </c>
      <c r="E13" s="817">
        <v>4.4000000000000004</v>
      </c>
      <c r="F13" s="817">
        <v>6</v>
      </c>
      <c r="G13" s="817"/>
      <c r="H13" s="817">
        <f>H5-SUM(H6:H12)</f>
        <v>8.9999999999999858</v>
      </c>
      <c r="I13" s="818">
        <v>10</v>
      </c>
      <c r="J13" s="817">
        <v>4.68</v>
      </c>
    </row>
    <row r="14" spans="1:10" ht="13.35" customHeight="1" x14ac:dyDescent="0.2">
      <c r="A14" s="60" t="s">
        <v>1068</v>
      </c>
      <c r="B14" s="817">
        <v>9</v>
      </c>
      <c r="C14" s="817">
        <v>9</v>
      </c>
      <c r="D14" s="822" t="s">
        <v>195</v>
      </c>
      <c r="E14" s="822" t="s">
        <v>195</v>
      </c>
      <c r="F14" s="822" t="s">
        <v>195</v>
      </c>
      <c r="G14" s="822"/>
      <c r="H14" s="817"/>
      <c r="I14" s="823"/>
      <c r="J14" s="824"/>
    </row>
    <row r="15" spans="1:10" ht="13.35" customHeight="1" x14ac:dyDescent="0.2">
      <c r="A15" s="825" t="s">
        <v>397</v>
      </c>
      <c r="B15" s="826">
        <v>100</v>
      </c>
      <c r="C15" s="826">
        <v>100</v>
      </c>
      <c r="D15" s="826">
        <v>100</v>
      </c>
      <c r="E15" s="826">
        <v>100</v>
      </c>
      <c r="F15" s="826">
        <v>100</v>
      </c>
      <c r="G15" s="826"/>
      <c r="H15" s="826">
        <v>100</v>
      </c>
      <c r="I15" s="827">
        <f>SUM(I4:I14)</f>
        <v>181</v>
      </c>
      <c r="J15" s="826">
        <f>SUM(J6:J13)+J4</f>
        <v>100</v>
      </c>
    </row>
    <row r="16" spans="1:10" ht="13.35" customHeight="1" x14ac:dyDescent="0.2">
      <c r="A16" s="60"/>
      <c r="B16" s="817"/>
      <c r="C16" s="817"/>
      <c r="D16" s="817"/>
      <c r="E16" s="817"/>
      <c r="F16" s="817"/>
      <c r="G16" s="817"/>
      <c r="H16" s="817"/>
      <c r="I16" s="818"/>
      <c r="J16" s="817"/>
    </row>
    <row r="17" spans="1:10" ht="13.35" customHeight="1" x14ac:dyDescent="0.2">
      <c r="A17" s="828"/>
      <c r="B17" s="817"/>
      <c r="C17" s="817"/>
      <c r="D17" s="817"/>
      <c r="E17" s="817"/>
      <c r="F17" s="817"/>
      <c r="G17" s="817"/>
      <c r="H17" s="817"/>
      <c r="I17" s="818"/>
      <c r="J17" s="817"/>
    </row>
    <row r="18" spans="1:10" ht="13.35" customHeight="1" x14ac:dyDescent="0.2">
      <c r="A18" s="814" t="s">
        <v>1069</v>
      </c>
      <c r="B18" s="815">
        <v>2018</v>
      </c>
      <c r="C18" s="815">
        <v>2019</v>
      </c>
      <c r="D18" s="815">
        <v>2020</v>
      </c>
      <c r="E18" s="815">
        <v>2021</v>
      </c>
      <c r="F18" s="815">
        <v>2022</v>
      </c>
      <c r="G18" s="815"/>
      <c r="H18" s="815">
        <v>2023</v>
      </c>
      <c r="I18" s="816" t="str">
        <f>I3</f>
        <v>Q2 2024</v>
      </c>
      <c r="J18" s="815">
        <v>2024</v>
      </c>
    </row>
    <row r="19" spans="1:10" ht="13.35" customHeight="1" x14ac:dyDescent="0.2">
      <c r="A19" s="829" t="s">
        <v>1070</v>
      </c>
      <c r="B19" s="817"/>
      <c r="C19" s="824">
        <v>7</v>
      </c>
      <c r="D19" s="824">
        <v>7.2</v>
      </c>
      <c r="E19" s="824">
        <v>7.7</v>
      </c>
      <c r="F19" s="824">
        <v>8</v>
      </c>
      <c r="G19" s="824"/>
      <c r="H19" s="824">
        <v>8.1999999999999993</v>
      </c>
      <c r="I19" s="823">
        <v>8.4</v>
      </c>
      <c r="J19" s="824">
        <v>8.4</v>
      </c>
    </row>
    <row r="20" spans="1:10" ht="13.35" customHeight="1" x14ac:dyDescent="0.2">
      <c r="A20" s="829" t="s">
        <v>1071</v>
      </c>
      <c r="B20" s="817"/>
      <c r="C20" s="824">
        <v>24</v>
      </c>
      <c r="D20" s="824">
        <v>27</v>
      </c>
      <c r="E20" s="824">
        <v>31</v>
      </c>
      <c r="F20" s="824">
        <v>35</v>
      </c>
      <c r="G20" s="824"/>
      <c r="H20" s="824">
        <v>37</v>
      </c>
      <c r="I20" s="823">
        <v>38</v>
      </c>
      <c r="J20" s="824">
        <v>38</v>
      </c>
    </row>
    <row r="21" spans="1:10" ht="13.35" customHeight="1" x14ac:dyDescent="0.2">
      <c r="A21" s="830"/>
      <c r="B21" s="830"/>
      <c r="C21" s="830"/>
      <c r="D21" s="830"/>
      <c r="E21" s="830"/>
      <c r="F21" s="830"/>
      <c r="G21" s="830"/>
      <c r="H21" s="830"/>
      <c r="I21" s="831"/>
      <c r="J21" s="830"/>
    </row>
    <row r="22" spans="1:10" ht="13.35" customHeight="1" x14ac:dyDescent="0.2">
      <c r="A22" s="814" t="s">
        <v>1072</v>
      </c>
      <c r="B22" s="815">
        <v>2018</v>
      </c>
      <c r="C22" s="815">
        <v>2019</v>
      </c>
      <c r="D22" s="815">
        <v>2020</v>
      </c>
      <c r="E22" s="815">
        <v>2021</v>
      </c>
      <c r="F22" s="815">
        <v>2022</v>
      </c>
      <c r="G22" s="815"/>
      <c r="H22" s="815">
        <v>2023</v>
      </c>
      <c r="I22" s="816"/>
      <c r="J22" s="815">
        <v>2024</v>
      </c>
    </row>
    <row r="23" spans="1:10" ht="13.35" customHeight="1" x14ac:dyDescent="0.2">
      <c r="A23" s="60" t="s">
        <v>1073</v>
      </c>
      <c r="B23" s="832"/>
      <c r="C23" s="832"/>
      <c r="D23" s="832"/>
      <c r="E23" s="832">
        <v>0.5</v>
      </c>
      <c r="F23" s="832">
        <v>0.51</v>
      </c>
      <c r="G23" s="832"/>
      <c r="H23" s="832">
        <v>0.5</v>
      </c>
      <c r="I23" s="833"/>
      <c r="J23" s="832">
        <v>0.45</v>
      </c>
    </row>
    <row r="24" spans="1:10" ht="13.35" customHeight="1" x14ac:dyDescent="0.2">
      <c r="A24" s="60" t="s">
        <v>1074</v>
      </c>
      <c r="B24" s="832"/>
      <c r="C24" s="832"/>
      <c r="D24" s="832"/>
      <c r="E24" s="832">
        <v>0.5</v>
      </c>
      <c r="F24" s="832">
        <v>0.49</v>
      </c>
      <c r="G24" s="832"/>
      <c r="H24" s="832">
        <v>0.5</v>
      </c>
      <c r="I24" s="833"/>
      <c r="J24" s="832">
        <v>0.55000000000000004</v>
      </c>
    </row>
    <row r="25" spans="1:10" ht="13.35" customHeight="1" x14ac:dyDescent="0.2">
      <c r="A25" s="834" t="s">
        <v>1075</v>
      </c>
      <c r="B25" s="832"/>
      <c r="C25" s="832"/>
      <c r="D25" s="832"/>
      <c r="E25" s="832">
        <v>0.87</v>
      </c>
      <c r="F25" s="832">
        <v>0.87</v>
      </c>
      <c r="G25" s="832"/>
      <c r="H25" s="832">
        <v>0.89</v>
      </c>
      <c r="I25" s="833">
        <v>0.91</v>
      </c>
      <c r="J25" s="832">
        <v>0.84</v>
      </c>
    </row>
    <row r="26" spans="1:10" ht="13.35" customHeight="1" x14ac:dyDescent="0.2">
      <c r="A26" s="834"/>
      <c r="B26" s="832"/>
      <c r="C26" s="832"/>
      <c r="D26" s="832"/>
      <c r="E26" s="832"/>
      <c r="F26" s="832"/>
      <c r="G26" s="832"/>
      <c r="H26" s="832"/>
      <c r="I26" s="833"/>
      <c r="J26" s="832"/>
    </row>
    <row r="27" spans="1:10" ht="13.35" customHeight="1" x14ac:dyDescent="0.2">
      <c r="A27" s="814" t="s">
        <v>1076</v>
      </c>
      <c r="B27" s="815"/>
      <c r="C27" s="815"/>
      <c r="D27" s="815"/>
      <c r="E27" s="815"/>
      <c r="F27" s="815"/>
      <c r="G27" s="815"/>
      <c r="H27" s="815"/>
      <c r="I27" s="816"/>
      <c r="J27" s="815"/>
    </row>
    <row r="28" spans="1:10" ht="13.35" customHeight="1" x14ac:dyDescent="0.2">
      <c r="A28" s="60" t="s">
        <v>1077</v>
      </c>
      <c r="B28" s="832"/>
      <c r="C28" s="835">
        <v>3400</v>
      </c>
      <c r="D28" s="835">
        <v>4300</v>
      </c>
      <c r="E28" s="835">
        <v>6000</v>
      </c>
      <c r="F28" s="835">
        <v>7000</v>
      </c>
      <c r="G28" s="835"/>
      <c r="H28" s="835">
        <v>9500</v>
      </c>
      <c r="I28" s="836"/>
      <c r="J28" s="836"/>
    </row>
    <row r="29" spans="1:10" ht="13.35" customHeight="1" x14ac:dyDescent="0.2">
      <c r="A29" s="60" t="s">
        <v>1078</v>
      </c>
      <c r="B29" s="832"/>
      <c r="C29" s="835"/>
      <c r="D29" s="835"/>
      <c r="E29" s="835"/>
      <c r="F29" s="835">
        <v>1000</v>
      </c>
      <c r="G29" s="837" t="s">
        <v>1079</v>
      </c>
      <c r="H29" s="835">
        <v>1100</v>
      </c>
      <c r="I29" s="836">
        <v>1200</v>
      </c>
      <c r="J29" s="835">
        <v>1350</v>
      </c>
    </row>
    <row r="30" spans="1:10" ht="13.35" customHeight="1" x14ac:dyDescent="0.2">
      <c r="A30" s="60" t="s">
        <v>1080</v>
      </c>
      <c r="B30" s="832"/>
      <c r="C30" s="835"/>
      <c r="D30" s="835"/>
      <c r="E30" s="835"/>
      <c r="F30" s="835">
        <v>750</v>
      </c>
      <c r="G30" s="837" t="str">
        <f>G29</f>
        <v>H12022</v>
      </c>
      <c r="H30" s="835">
        <v>1000</v>
      </c>
      <c r="I30" s="836">
        <v>1100</v>
      </c>
      <c r="J30" s="835">
        <v>1200</v>
      </c>
    </row>
    <row r="31" spans="1:10" ht="13.35" customHeight="1" x14ac:dyDescent="0.2">
      <c r="A31" s="60" t="s">
        <v>1081</v>
      </c>
      <c r="B31" s="832"/>
      <c r="C31" s="835"/>
      <c r="D31" s="835"/>
      <c r="E31" s="835"/>
      <c r="F31" s="835">
        <v>650</v>
      </c>
      <c r="G31" s="837" t="str">
        <f>G30</f>
        <v>H12022</v>
      </c>
      <c r="H31" s="835">
        <v>750</v>
      </c>
      <c r="I31" s="836">
        <v>850</v>
      </c>
      <c r="J31" s="835">
        <v>900</v>
      </c>
    </row>
    <row r="32" spans="1:10" ht="13.35" customHeight="1" x14ac:dyDescent="0.2">
      <c r="A32" s="60" t="s">
        <v>1082</v>
      </c>
      <c r="B32" s="832"/>
      <c r="C32" s="835"/>
      <c r="D32" s="835"/>
      <c r="E32" s="835"/>
      <c r="F32" s="835">
        <f>SUM(F29:F31)</f>
        <v>2400</v>
      </c>
      <c r="G32" s="837" t="str">
        <f>G31</f>
        <v>H12022</v>
      </c>
      <c r="H32" s="835">
        <f>SUM(H29:H31)</f>
        <v>2850</v>
      </c>
      <c r="I32" s="836">
        <v>3100</v>
      </c>
      <c r="J32" s="835">
        <f>SUM(J29:J31)</f>
        <v>3450</v>
      </c>
    </row>
    <row r="33" spans="1:10" ht="13.35" customHeight="1" x14ac:dyDescent="0.2">
      <c r="A33" s="60" t="s">
        <v>1083</v>
      </c>
      <c r="B33" s="832"/>
      <c r="C33" s="835"/>
      <c r="D33" s="835"/>
      <c r="E33" s="835"/>
      <c r="F33" s="835"/>
      <c r="G33" s="837"/>
      <c r="H33" s="835"/>
      <c r="I33" s="836" t="s">
        <v>1084</v>
      </c>
      <c r="J33" s="835" t="s">
        <v>1084</v>
      </c>
    </row>
    <row r="34" spans="1:10" ht="13.35" customHeight="1" x14ac:dyDescent="0.2">
      <c r="A34" s="60" t="s">
        <v>1085</v>
      </c>
      <c r="B34" s="832"/>
      <c r="C34" s="835"/>
      <c r="D34" s="835"/>
      <c r="E34" s="835"/>
      <c r="F34" s="835"/>
      <c r="G34" s="837"/>
      <c r="H34" s="835"/>
      <c r="I34" s="836" t="s">
        <v>1086</v>
      </c>
      <c r="J34" s="835" t="s">
        <v>1086</v>
      </c>
    </row>
    <row r="35" spans="1:10" ht="13.35" customHeight="1" x14ac:dyDescent="0.2">
      <c r="A35" s="60" t="s">
        <v>1087</v>
      </c>
      <c r="B35" s="832"/>
      <c r="C35" s="835"/>
      <c r="D35" s="835"/>
      <c r="E35" s="835"/>
      <c r="F35" s="835"/>
      <c r="G35" s="837"/>
      <c r="H35" s="835"/>
      <c r="I35" s="836" t="s">
        <v>1088</v>
      </c>
      <c r="J35" s="835" t="s">
        <v>1088</v>
      </c>
    </row>
    <row r="36" spans="1:10" ht="13.35" customHeight="1" x14ac:dyDescent="0.2">
      <c r="A36" s="60" t="s">
        <v>1089</v>
      </c>
      <c r="B36" s="832"/>
      <c r="C36" s="835"/>
      <c r="D36" s="835"/>
      <c r="E36" s="835"/>
      <c r="F36" s="838">
        <v>0.01</v>
      </c>
      <c r="G36" s="837" t="str">
        <f>G32</f>
        <v>H12022</v>
      </c>
      <c r="H36" s="839">
        <v>3.3000000000000002E-2</v>
      </c>
      <c r="I36" s="840">
        <v>0.04</v>
      </c>
      <c r="J36" s="839">
        <v>4.2000000000000003E-2</v>
      </c>
    </row>
    <row r="37" spans="1:10" ht="13.35" customHeight="1" x14ac:dyDescent="0.2">
      <c r="A37" s="60" t="s">
        <v>1090</v>
      </c>
      <c r="B37" s="832"/>
      <c r="C37" s="835"/>
      <c r="D37" s="835"/>
      <c r="E37" s="835"/>
      <c r="F37" s="838"/>
      <c r="G37" s="837"/>
      <c r="H37" s="838"/>
      <c r="I37" s="841" t="s">
        <v>1091</v>
      </c>
      <c r="J37" s="838" t="s">
        <v>1091</v>
      </c>
    </row>
    <row r="38" spans="1:10" ht="13.35" customHeight="1" x14ac:dyDescent="0.2">
      <c r="A38" s="60" t="s">
        <v>1092</v>
      </c>
      <c r="B38" s="832"/>
      <c r="C38" s="835"/>
      <c r="D38" s="835"/>
      <c r="E38" s="835"/>
      <c r="F38" s="835">
        <v>25</v>
      </c>
      <c r="G38" s="837" t="str">
        <f>G36</f>
        <v>H12022</v>
      </c>
      <c r="H38" s="835">
        <v>32</v>
      </c>
      <c r="I38" s="836">
        <v>34</v>
      </c>
      <c r="J38" s="835"/>
    </row>
    <row r="39" spans="1:10" ht="13.35" customHeight="1" x14ac:dyDescent="0.2">
      <c r="A39" s="60" t="s">
        <v>1093</v>
      </c>
      <c r="B39" s="832"/>
      <c r="C39" s="835"/>
      <c r="D39" s="835"/>
      <c r="E39" s="835"/>
      <c r="F39" s="835"/>
      <c r="G39" s="837"/>
      <c r="H39" s="835"/>
      <c r="I39" s="836"/>
      <c r="J39" s="835">
        <v>39</v>
      </c>
    </row>
    <row r="40" spans="1:10" ht="13.35" customHeight="1" x14ac:dyDescent="0.2">
      <c r="A40" s="60" t="s">
        <v>1094</v>
      </c>
      <c r="B40" s="832"/>
      <c r="C40" s="835"/>
      <c r="D40" s="835"/>
      <c r="E40" s="835"/>
      <c r="F40" s="835">
        <v>9</v>
      </c>
      <c r="G40" s="837" t="str">
        <f>G38</f>
        <v>H12022</v>
      </c>
      <c r="H40" s="835">
        <v>11</v>
      </c>
      <c r="I40" s="836">
        <v>12</v>
      </c>
      <c r="J40" s="838">
        <v>0.28000000000000003</v>
      </c>
    </row>
    <row r="41" spans="1:10" ht="13.35" customHeight="1" x14ac:dyDescent="0.2">
      <c r="A41" s="60" t="s">
        <v>1095</v>
      </c>
      <c r="B41" s="832"/>
      <c r="C41" s="835"/>
      <c r="D41" s="835"/>
      <c r="E41" s="835"/>
      <c r="F41" s="835"/>
      <c r="G41" s="837"/>
      <c r="H41" s="835"/>
      <c r="I41" s="842">
        <v>0.61</v>
      </c>
      <c r="J41" s="835"/>
    </row>
    <row r="42" spans="1:10" ht="13.35" customHeight="1" x14ac:dyDescent="0.2">
      <c r="A42" s="830"/>
      <c r="B42" s="830"/>
      <c r="C42" s="830"/>
      <c r="D42" s="830"/>
      <c r="E42" s="830"/>
      <c r="F42" s="830"/>
      <c r="G42" s="830"/>
      <c r="H42" s="830"/>
      <c r="I42" s="831"/>
      <c r="J42" s="830"/>
    </row>
    <row r="43" spans="1:10" ht="13.35" customHeight="1" x14ac:dyDescent="0.2">
      <c r="A43" s="814" t="s">
        <v>1096</v>
      </c>
      <c r="B43" s="815"/>
      <c r="C43" s="815"/>
      <c r="D43" s="815"/>
      <c r="E43" s="815"/>
      <c r="F43" s="815"/>
      <c r="G43" s="815"/>
      <c r="H43" s="815"/>
      <c r="I43" s="816"/>
      <c r="J43" s="815"/>
    </row>
    <row r="44" spans="1:10" ht="13.35" customHeight="1" x14ac:dyDescent="0.2">
      <c r="A44" s="60" t="s">
        <v>1097</v>
      </c>
      <c r="B44" s="830"/>
      <c r="C44" s="830"/>
      <c r="D44" s="830"/>
      <c r="E44" s="830"/>
      <c r="F44" s="830"/>
      <c r="G44" s="830"/>
      <c r="H44" s="830"/>
      <c r="I44" s="831"/>
      <c r="J44" s="830"/>
    </row>
    <row r="45" spans="1:10" ht="13.35" customHeight="1" x14ac:dyDescent="0.2">
      <c r="A45" s="60" t="s">
        <v>1098</v>
      </c>
      <c r="B45" s="830"/>
      <c r="C45" s="830"/>
      <c r="D45" s="830"/>
      <c r="E45" s="830"/>
      <c r="F45" s="830"/>
      <c r="G45" s="830"/>
      <c r="H45" s="830"/>
      <c r="I45" s="831"/>
      <c r="J45" s="830"/>
    </row>
    <row r="46" spans="1:10" ht="13.35" customHeight="1" x14ac:dyDescent="0.2">
      <c r="A46" s="60" t="s">
        <v>1099</v>
      </c>
      <c r="B46" s="830"/>
      <c r="C46" s="830"/>
      <c r="D46" s="830"/>
      <c r="E46" s="830"/>
      <c r="F46" s="830"/>
      <c r="G46" s="830"/>
      <c r="H46" s="830"/>
      <c r="I46" s="831"/>
      <c r="J46" s="830"/>
    </row>
    <row r="47" spans="1:10" ht="13.35" customHeight="1" x14ac:dyDescent="0.2">
      <c r="A47" s="60" t="s">
        <v>1100</v>
      </c>
      <c r="B47" s="830"/>
      <c r="C47" s="830"/>
      <c r="D47" s="830"/>
      <c r="E47" s="830"/>
      <c r="F47" s="830"/>
      <c r="G47" s="830"/>
      <c r="H47" s="830"/>
      <c r="I47" s="831"/>
      <c r="J47" s="830"/>
    </row>
    <row r="48" spans="1:10" ht="13.35" customHeight="1" x14ac:dyDescent="0.2">
      <c r="A48" s="830"/>
      <c r="B48" s="830"/>
      <c r="C48" s="830"/>
      <c r="D48" s="830"/>
      <c r="E48" s="830"/>
      <c r="F48" s="830"/>
      <c r="G48" s="830"/>
      <c r="H48" s="830"/>
      <c r="I48" s="831"/>
      <c r="J48" s="830"/>
    </row>
    <row r="49" spans="1:10" ht="13.35" customHeight="1" x14ac:dyDescent="0.2">
      <c r="A49" s="814" t="s">
        <v>1101</v>
      </c>
      <c r="B49" s="815">
        <f>B22</f>
        <v>2018</v>
      </c>
      <c r="C49" s="815">
        <f>C22</f>
        <v>2019</v>
      </c>
      <c r="D49" s="815">
        <f>D22</f>
        <v>2020</v>
      </c>
      <c r="E49" s="815">
        <f>E22</f>
        <v>2021</v>
      </c>
      <c r="F49" s="815">
        <f>F22</f>
        <v>2022</v>
      </c>
      <c r="G49" s="815"/>
      <c r="H49" s="815">
        <f>H22</f>
        <v>2023</v>
      </c>
      <c r="I49" s="816"/>
      <c r="J49" s="815">
        <v>2024</v>
      </c>
    </row>
    <row r="50" spans="1:10" ht="13.35" customHeight="1" x14ac:dyDescent="0.2">
      <c r="A50" s="60" t="s">
        <v>1102</v>
      </c>
      <c r="B50" s="832"/>
      <c r="C50" s="832"/>
      <c r="D50" s="832">
        <v>0.2</v>
      </c>
      <c r="E50" s="832">
        <v>0.17</v>
      </c>
      <c r="F50" s="832">
        <v>0.17</v>
      </c>
      <c r="G50" s="832"/>
      <c r="H50" s="832">
        <v>0.23</v>
      </c>
      <c r="I50" s="833"/>
      <c r="J50" s="832">
        <v>0.2</v>
      </c>
    </row>
    <row r="51" spans="1:10" ht="13.35" customHeight="1" x14ac:dyDescent="0.2">
      <c r="A51" s="60" t="s">
        <v>1103</v>
      </c>
      <c r="B51" s="830"/>
      <c r="C51" s="830"/>
      <c r="D51" s="830"/>
      <c r="E51" s="843" t="s">
        <v>1104</v>
      </c>
      <c r="F51" s="843" t="s">
        <v>1105</v>
      </c>
      <c r="G51" s="843"/>
      <c r="H51" s="844" t="s">
        <v>1106</v>
      </c>
      <c r="I51" s="845"/>
      <c r="J51" s="844" t="s">
        <v>1105</v>
      </c>
    </row>
    <row r="52" spans="1:10" ht="13.35" customHeight="1" x14ac:dyDescent="0.2">
      <c r="A52" s="60" t="s">
        <v>1103</v>
      </c>
      <c r="B52" s="830"/>
      <c r="C52" s="830"/>
      <c r="D52" s="830"/>
      <c r="E52" s="843" t="s">
        <v>1107</v>
      </c>
      <c r="F52" s="843" t="s">
        <v>1108</v>
      </c>
      <c r="G52" s="843"/>
      <c r="H52" s="844" t="s">
        <v>1105</v>
      </c>
      <c r="I52" s="845"/>
      <c r="J52" s="844" t="s">
        <v>1109</v>
      </c>
    </row>
    <row r="53" spans="1:10" ht="13.35" customHeight="1" x14ac:dyDescent="0.2">
      <c r="A53" s="60" t="s">
        <v>1103</v>
      </c>
      <c r="B53" s="830"/>
      <c r="C53" s="830"/>
      <c r="D53" s="830"/>
      <c r="E53" s="843" t="s">
        <v>948</v>
      </c>
      <c r="F53" s="843" t="s">
        <v>1110</v>
      </c>
      <c r="G53" s="843"/>
      <c r="H53" s="844" t="s">
        <v>1109</v>
      </c>
      <c r="I53" s="845"/>
      <c r="J53" s="844" t="s">
        <v>877</v>
      </c>
    </row>
    <row r="54" spans="1:10" ht="13.35" customHeight="1" x14ac:dyDescent="0.2">
      <c r="A54" s="60" t="s">
        <v>1103</v>
      </c>
      <c r="B54" s="830"/>
      <c r="C54" s="830"/>
      <c r="D54" s="830"/>
      <c r="E54" s="843" t="s">
        <v>1111</v>
      </c>
      <c r="F54" s="843" t="s">
        <v>1112</v>
      </c>
      <c r="G54" s="843"/>
      <c r="H54" s="844" t="s">
        <v>877</v>
      </c>
      <c r="I54" s="845"/>
      <c r="J54" s="844" t="s">
        <v>1113</v>
      </c>
    </row>
    <row r="55" spans="1:10" ht="13.35" customHeight="1" x14ac:dyDescent="0.2">
      <c r="A55" s="60" t="s">
        <v>1103</v>
      </c>
      <c r="B55" s="830"/>
      <c r="C55" s="830"/>
      <c r="D55" s="830"/>
      <c r="E55" s="843" t="s">
        <v>1114</v>
      </c>
      <c r="F55" s="843" t="s">
        <v>1115</v>
      </c>
      <c r="G55" s="843"/>
      <c r="H55" s="844" t="s">
        <v>1113</v>
      </c>
      <c r="I55" s="845"/>
      <c r="J55" s="844" t="s">
        <v>913</v>
      </c>
    </row>
    <row r="56" spans="1:10" ht="13.35" customHeight="1" x14ac:dyDescent="0.2">
      <c r="A56" s="60" t="s">
        <v>1103</v>
      </c>
      <c r="B56" s="830"/>
      <c r="C56" s="830"/>
      <c r="D56" s="830"/>
      <c r="E56" s="843" t="s">
        <v>1116</v>
      </c>
      <c r="F56" s="843" t="s">
        <v>1117</v>
      </c>
      <c r="G56" s="843"/>
      <c r="H56" s="844" t="s">
        <v>934</v>
      </c>
      <c r="I56" s="845"/>
      <c r="J56" s="844" t="s">
        <v>888</v>
      </c>
    </row>
    <row r="57" spans="1:10" ht="13.35" customHeight="1" x14ac:dyDescent="0.2">
      <c r="A57" s="60" t="s">
        <v>1103</v>
      </c>
      <c r="B57" s="830"/>
      <c r="C57" s="830"/>
      <c r="D57" s="830"/>
      <c r="E57" s="843" t="s">
        <v>1118</v>
      </c>
      <c r="F57" s="843" t="s">
        <v>1119</v>
      </c>
      <c r="G57" s="843"/>
      <c r="H57" s="844" t="s">
        <v>1120</v>
      </c>
      <c r="I57" s="845"/>
      <c r="J57" s="844" t="s">
        <v>1114</v>
      </c>
    </row>
    <row r="58" spans="1:10" ht="13.35" customHeight="1" x14ac:dyDescent="0.2">
      <c r="A58" s="60" t="s">
        <v>1103</v>
      </c>
      <c r="B58" s="830"/>
      <c r="C58" s="830"/>
      <c r="D58" s="830"/>
      <c r="E58" s="843" t="s">
        <v>1121</v>
      </c>
      <c r="F58" s="843" t="s">
        <v>1122</v>
      </c>
      <c r="G58" s="843"/>
      <c r="H58" s="844" t="s">
        <v>1114</v>
      </c>
      <c r="I58" s="845"/>
      <c r="J58" s="844" t="s">
        <v>1116</v>
      </c>
    </row>
    <row r="59" spans="1:10" ht="13.35" customHeight="1" x14ac:dyDescent="0.2">
      <c r="A59" s="60" t="s">
        <v>1103</v>
      </c>
      <c r="B59" s="830"/>
      <c r="C59" s="830"/>
      <c r="D59" s="830"/>
      <c r="E59" s="843" t="s">
        <v>1022</v>
      </c>
      <c r="F59" s="843" t="s">
        <v>1123</v>
      </c>
      <c r="G59" s="843"/>
      <c r="H59" s="844" t="s">
        <v>1116</v>
      </c>
      <c r="I59" s="845"/>
      <c r="J59" s="844" t="s">
        <v>858</v>
      </c>
    </row>
    <row r="60" spans="1:10" ht="13.35" customHeight="1" x14ac:dyDescent="0.2">
      <c r="A60" s="60" t="s">
        <v>1103</v>
      </c>
      <c r="B60" s="830"/>
      <c r="C60" s="830"/>
      <c r="D60" s="830"/>
      <c r="E60" s="843" t="s">
        <v>1124</v>
      </c>
      <c r="F60" s="843" t="s">
        <v>1125</v>
      </c>
      <c r="G60" s="843"/>
      <c r="H60" s="844" t="s">
        <v>1126</v>
      </c>
      <c r="I60" s="845"/>
      <c r="J60" s="844" t="s">
        <v>1127</v>
      </c>
    </row>
    <row r="61" spans="1:10" ht="13.35" customHeight="1" x14ac:dyDescent="0.2">
      <c r="A61" s="60" t="s">
        <v>1103</v>
      </c>
      <c r="B61" s="830"/>
      <c r="C61" s="830"/>
      <c r="D61" s="830"/>
      <c r="E61" s="843" t="s">
        <v>1128</v>
      </c>
      <c r="F61" s="843" t="s">
        <v>1129</v>
      </c>
      <c r="G61" s="843"/>
      <c r="H61" s="844" t="s">
        <v>1127</v>
      </c>
      <c r="I61" s="845"/>
      <c r="J61" s="844" t="s">
        <v>894</v>
      </c>
    </row>
    <row r="62" spans="1:10" ht="13.35" customHeight="1" x14ac:dyDescent="0.2">
      <c r="A62" s="60" t="s">
        <v>1103</v>
      </c>
      <c r="B62" s="830"/>
      <c r="C62" s="830"/>
      <c r="D62" s="830"/>
      <c r="E62" s="843" t="s">
        <v>1130</v>
      </c>
      <c r="F62" s="843" t="s">
        <v>1131</v>
      </c>
      <c r="G62" s="843"/>
      <c r="H62" s="844" t="s">
        <v>1132</v>
      </c>
      <c r="I62" s="845"/>
      <c r="J62" s="844" t="s">
        <v>1132</v>
      </c>
    </row>
    <row r="63" spans="1:10" ht="13.35" customHeight="1" x14ac:dyDescent="0.2">
      <c r="A63" s="60" t="s">
        <v>1103</v>
      </c>
      <c r="B63" s="830"/>
      <c r="C63" s="830"/>
      <c r="D63" s="830"/>
      <c r="E63" s="843" t="s">
        <v>1133</v>
      </c>
      <c r="F63" s="843" t="s">
        <v>1134</v>
      </c>
      <c r="G63" s="843"/>
      <c r="H63" s="844" t="s">
        <v>1128</v>
      </c>
      <c r="I63" s="845"/>
      <c r="J63" s="844" t="s">
        <v>899</v>
      </c>
    </row>
    <row r="64" spans="1:10" ht="13.35" customHeight="1" x14ac:dyDescent="0.2">
      <c r="A64" s="60" t="s">
        <v>1103</v>
      </c>
      <c r="B64" s="830"/>
      <c r="C64" s="830"/>
      <c r="D64" s="830"/>
      <c r="E64" s="843" t="s">
        <v>1135</v>
      </c>
      <c r="F64" s="843" t="s">
        <v>1136</v>
      </c>
      <c r="G64" s="843"/>
      <c r="H64" s="844" t="s">
        <v>1137</v>
      </c>
      <c r="I64" s="845"/>
      <c r="J64" s="844" t="s">
        <v>1128</v>
      </c>
    </row>
    <row r="65" spans="1:10" ht="13.35" customHeight="1" x14ac:dyDescent="0.2">
      <c r="A65" s="60" t="s">
        <v>1103</v>
      </c>
      <c r="B65" s="830"/>
      <c r="C65" s="830"/>
      <c r="D65" s="830"/>
      <c r="E65" s="843" t="s">
        <v>1138</v>
      </c>
      <c r="F65" s="843" t="s">
        <v>1139</v>
      </c>
      <c r="G65" s="843"/>
      <c r="H65" s="844" t="s">
        <v>1140</v>
      </c>
      <c r="I65" s="845"/>
      <c r="J65" s="844" t="s">
        <v>1137</v>
      </c>
    </row>
    <row r="66" spans="1:10" ht="13.35" customHeight="1" x14ac:dyDescent="0.2">
      <c r="A66" s="60" t="s">
        <v>1103</v>
      </c>
      <c r="B66" s="830"/>
      <c r="C66" s="830"/>
      <c r="D66" s="830"/>
      <c r="E66" s="830"/>
      <c r="F66" s="843" t="s">
        <v>1141</v>
      </c>
      <c r="G66" s="843"/>
      <c r="H66" s="844" t="s">
        <v>1142</v>
      </c>
      <c r="I66" s="845"/>
      <c r="J66" s="844" t="s">
        <v>1142</v>
      </c>
    </row>
    <row r="67" spans="1:10" ht="13.35" customHeight="1" x14ac:dyDescent="0.2">
      <c r="A67" s="60" t="s">
        <v>1103</v>
      </c>
      <c r="B67" s="830"/>
      <c r="C67" s="830"/>
      <c r="D67" s="830"/>
      <c r="E67" s="830"/>
      <c r="F67" s="843" t="s">
        <v>1143</v>
      </c>
      <c r="G67" s="843"/>
      <c r="H67" s="844" t="s">
        <v>1144</v>
      </c>
      <c r="I67" s="845"/>
      <c r="J67" s="844" t="s">
        <v>1144</v>
      </c>
    </row>
    <row r="68" spans="1:10" ht="13.35" customHeight="1" x14ac:dyDescent="0.2">
      <c r="A68" s="60" t="s">
        <v>1103</v>
      </c>
      <c r="B68" s="830"/>
      <c r="C68" s="830"/>
      <c r="D68" s="830"/>
      <c r="E68" s="830"/>
      <c r="F68" s="843" t="s">
        <v>1145</v>
      </c>
      <c r="G68" s="843"/>
      <c r="H68" s="844" t="s">
        <v>1146</v>
      </c>
      <c r="I68" s="845"/>
      <c r="J68" s="844" t="s">
        <v>1146</v>
      </c>
    </row>
    <row r="69" spans="1:10" ht="13.35" customHeight="1" x14ac:dyDescent="0.2">
      <c r="A69" s="60" t="s">
        <v>1103</v>
      </c>
      <c r="B69" s="830"/>
      <c r="C69" s="830"/>
      <c r="D69" s="830"/>
      <c r="E69" s="830"/>
      <c r="F69" s="843" t="s">
        <v>1147</v>
      </c>
      <c r="G69" s="843"/>
      <c r="H69" s="843"/>
      <c r="I69" s="846"/>
      <c r="J69" s="844"/>
    </row>
    <row r="70" spans="1:10" ht="13.35" customHeight="1" x14ac:dyDescent="0.2">
      <c r="A70" s="60" t="s">
        <v>1103</v>
      </c>
      <c r="B70" s="830"/>
      <c r="C70" s="830"/>
      <c r="D70" s="830"/>
      <c r="E70" s="830"/>
      <c r="F70" s="843" t="s">
        <v>1148</v>
      </c>
      <c r="G70" s="843"/>
      <c r="H70" s="843"/>
      <c r="I70" s="846"/>
      <c r="J70" s="844"/>
    </row>
    <row r="71" spans="1:10" ht="13.35" customHeight="1" x14ac:dyDescent="0.2">
      <c r="A71" s="60" t="s">
        <v>1103</v>
      </c>
      <c r="B71" s="830"/>
      <c r="C71" s="830"/>
      <c r="D71" s="830"/>
      <c r="E71" s="830"/>
      <c r="F71" s="843" t="s">
        <v>1149</v>
      </c>
      <c r="G71" s="843"/>
      <c r="H71" s="843"/>
      <c r="I71" s="846"/>
      <c r="J71" s="844"/>
    </row>
    <row r="72" spans="1:10" ht="13.35" customHeight="1" x14ac:dyDescent="0.2">
      <c r="A72" s="60" t="s">
        <v>1103</v>
      </c>
      <c r="B72" s="830"/>
      <c r="C72" s="830"/>
      <c r="D72" s="830"/>
      <c r="E72" s="830"/>
      <c r="F72" s="843" t="s">
        <v>1150</v>
      </c>
      <c r="G72" s="843"/>
      <c r="H72" s="843"/>
      <c r="I72" s="846"/>
      <c r="J72" s="843"/>
    </row>
    <row r="73" spans="1:10" ht="13.35" customHeight="1" x14ac:dyDescent="0.2">
      <c r="A73" s="60" t="s">
        <v>1103</v>
      </c>
      <c r="B73" s="830"/>
      <c r="C73" s="830"/>
      <c r="D73" s="830"/>
      <c r="E73" s="830"/>
      <c r="F73" s="843" t="s">
        <v>1151</v>
      </c>
      <c r="G73" s="843"/>
      <c r="H73" s="843"/>
      <c r="I73" s="846"/>
      <c r="J73" s="843"/>
    </row>
    <row r="74" spans="1:10" ht="13.35" customHeight="1" x14ac:dyDescent="0.2">
      <c r="A74" s="830"/>
      <c r="B74" s="830"/>
      <c r="C74" s="830"/>
      <c r="D74" s="830"/>
      <c r="E74" s="830"/>
      <c r="F74" s="830"/>
      <c r="G74" s="830"/>
      <c r="H74" s="843"/>
      <c r="I74" s="846"/>
      <c r="J74" s="843"/>
    </row>
    <row r="75" spans="1:10" ht="13.35" customHeight="1" x14ac:dyDescent="0.2">
      <c r="A75" s="814" t="s">
        <v>1152</v>
      </c>
      <c r="B75" s="815"/>
      <c r="C75" s="815"/>
      <c r="D75" s="815"/>
      <c r="E75" s="815"/>
      <c r="F75" s="815"/>
      <c r="G75" s="815"/>
      <c r="H75" s="815"/>
      <c r="I75" s="816"/>
      <c r="J75" s="815"/>
    </row>
    <row r="76" spans="1:10" ht="13.35" customHeight="1" x14ac:dyDescent="0.2">
      <c r="A76" s="591" t="s">
        <v>1153</v>
      </c>
      <c r="B76" s="591" t="s">
        <v>1154</v>
      </c>
      <c r="C76" s="591"/>
      <c r="D76" s="591"/>
      <c r="E76" s="25"/>
      <c r="F76" s="591"/>
      <c r="G76" s="591"/>
      <c r="H76" s="591"/>
      <c r="I76" s="591"/>
      <c r="J76" s="591"/>
    </row>
    <row r="77" spans="1:10" ht="13.35" customHeight="1" x14ac:dyDescent="0.2">
      <c r="A77" s="591" t="s">
        <v>1155</v>
      </c>
      <c r="B77" s="847" t="s">
        <v>1156</v>
      </c>
      <c r="C77" s="847"/>
      <c r="D77" s="847"/>
      <c r="E77" s="847"/>
      <c r="F77" s="591" t="s">
        <v>1157</v>
      </c>
      <c r="G77" s="591"/>
      <c r="H77" s="591"/>
      <c r="I77" s="591"/>
      <c r="J77" s="591"/>
    </row>
    <row r="78" spans="1:10" ht="13.35" customHeight="1" x14ac:dyDescent="0.2">
      <c r="A78" s="830"/>
      <c r="B78" s="830"/>
      <c r="C78" s="830"/>
      <c r="D78" s="830"/>
      <c r="E78" s="830"/>
      <c r="F78" s="830"/>
      <c r="G78" s="830"/>
      <c r="H78" s="830"/>
      <c r="I78" s="831"/>
      <c r="J78" s="830"/>
    </row>
    <row r="79" spans="1:10" ht="13.35" customHeight="1" x14ac:dyDescent="0.2">
      <c r="A79" s="814" t="s">
        <v>1158</v>
      </c>
      <c r="B79" s="815">
        <v>2018</v>
      </c>
      <c r="C79" s="815">
        <v>2019</v>
      </c>
      <c r="D79" s="815">
        <v>2020</v>
      </c>
      <c r="E79" s="815">
        <v>2021</v>
      </c>
      <c r="F79" s="815">
        <v>2022</v>
      </c>
      <c r="G79" s="815"/>
      <c r="H79" s="815">
        <v>2023</v>
      </c>
      <c r="I79" s="816"/>
      <c r="J79" s="815">
        <v>2024</v>
      </c>
    </row>
    <row r="80" spans="1:10" ht="13.35" customHeight="1" x14ac:dyDescent="0.2">
      <c r="A80" s="60" t="s">
        <v>363</v>
      </c>
      <c r="B80" s="832">
        <v>0.22</v>
      </c>
      <c r="C80" s="832">
        <v>0.22</v>
      </c>
      <c r="D80" s="832">
        <v>0.17</v>
      </c>
      <c r="E80" s="832">
        <v>0.15</v>
      </c>
      <c r="F80" s="832">
        <v>0.2</v>
      </c>
      <c r="G80" s="832"/>
      <c r="H80" s="832">
        <v>0.19</v>
      </c>
      <c r="I80" s="833"/>
      <c r="J80" s="832">
        <v>0.17</v>
      </c>
    </row>
    <row r="81" spans="1:10" ht="13.35" customHeight="1" x14ac:dyDescent="0.2">
      <c r="A81" s="60" t="s">
        <v>1159</v>
      </c>
      <c r="B81" s="832">
        <v>0</v>
      </c>
      <c r="C81" s="832">
        <v>0</v>
      </c>
      <c r="D81" s="832">
        <v>0</v>
      </c>
      <c r="E81" s="832">
        <v>0</v>
      </c>
      <c r="F81" s="832">
        <v>0.01</v>
      </c>
      <c r="G81" s="832"/>
      <c r="H81" s="832">
        <v>0.01</v>
      </c>
      <c r="I81" s="833"/>
      <c r="J81" s="832">
        <v>0.01</v>
      </c>
    </row>
    <row r="82" spans="1:10" ht="13.35" customHeight="1" x14ac:dyDescent="0.2">
      <c r="A82" s="834" t="s">
        <v>357</v>
      </c>
      <c r="B82" s="832">
        <v>0.51</v>
      </c>
      <c r="C82" s="832">
        <v>0.49</v>
      </c>
      <c r="D82" s="832">
        <v>0.44</v>
      </c>
      <c r="E82" s="832">
        <v>0.46</v>
      </c>
      <c r="F82" s="832">
        <v>0.46</v>
      </c>
      <c r="G82" s="832"/>
      <c r="H82" s="832">
        <v>0.37</v>
      </c>
      <c r="I82" s="833"/>
      <c r="J82" s="832">
        <v>0.33</v>
      </c>
    </row>
    <row r="83" spans="1:10" ht="13.35" customHeight="1" x14ac:dyDescent="0.2">
      <c r="A83" s="60" t="s">
        <v>1160</v>
      </c>
      <c r="B83" s="832">
        <v>0.01</v>
      </c>
      <c r="C83" s="832">
        <v>0.01</v>
      </c>
      <c r="D83" s="832">
        <v>0.06</v>
      </c>
      <c r="E83" s="832">
        <v>0.04</v>
      </c>
      <c r="F83" s="832">
        <v>0.04</v>
      </c>
      <c r="G83" s="832"/>
      <c r="H83" s="832">
        <v>0.11</v>
      </c>
      <c r="I83" s="833"/>
      <c r="J83" s="832">
        <v>0.15</v>
      </c>
    </row>
    <row r="84" spans="1:10" ht="13.35" customHeight="1" x14ac:dyDescent="0.2">
      <c r="A84" s="60" t="s">
        <v>359</v>
      </c>
      <c r="B84" s="832">
        <v>0.26</v>
      </c>
      <c r="C84" s="832">
        <v>0.28000000000000003</v>
      </c>
      <c r="D84" s="832">
        <v>0.33</v>
      </c>
      <c r="E84" s="832">
        <v>0.35</v>
      </c>
      <c r="F84" s="832">
        <v>0.28999999999999998</v>
      </c>
      <c r="G84" s="832"/>
      <c r="H84" s="832">
        <v>0.32</v>
      </c>
      <c r="I84" s="833"/>
      <c r="J84" s="832">
        <v>0.34</v>
      </c>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heetViews>
  <sheetFormatPr defaultColWidth="10" defaultRowHeight="13.35" customHeight="1" x14ac:dyDescent="0.2"/>
  <cols>
    <col min="1" max="1" width="36.85546875" bestFit="1" customWidth="1"/>
    <col min="2" max="2" width="28.42578125" bestFit="1" customWidth="1"/>
    <col min="3" max="3" width="26.140625" bestFit="1" customWidth="1"/>
    <col min="4" max="4" width="16.140625" bestFit="1" customWidth="1"/>
    <col min="5" max="5" width="16.140625" customWidth="1"/>
    <col min="6" max="6" width="16.85546875" bestFit="1" customWidth="1"/>
    <col min="7" max="7" width="16.140625" bestFit="1" customWidth="1"/>
    <col min="8" max="8" width="32.85546875" customWidth="1"/>
    <col min="10" max="10" width="36.140625" bestFit="1" customWidth="1"/>
    <col min="11" max="13" width="0" hidden="1" customWidth="1"/>
    <col min="37" max="37" width="38.42578125" bestFit="1" customWidth="1"/>
    <col min="39" max="39" width="35" bestFit="1" customWidth="1"/>
    <col min="40" max="40" width="29.85546875" bestFit="1" customWidth="1"/>
  </cols>
  <sheetData>
    <row r="1" spans="1:45" ht="16.5" thickBot="1" x14ac:dyDescent="0.3">
      <c r="A1" s="848" t="s">
        <v>1161</v>
      </c>
      <c r="B1" s="848"/>
      <c r="C1" s="849"/>
      <c r="D1" s="849"/>
      <c r="E1" s="849"/>
      <c r="F1" s="850"/>
      <c r="G1" s="850"/>
      <c r="H1" s="849"/>
      <c r="I1" s="661"/>
      <c r="J1" s="661"/>
      <c r="K1" s="661"/>
      <c r="L1" s="661"/>
      <c r="M1" s="661"/>
      <c r="N1" s="661"/>
      <c r="O1" s="661"/>
      <c r="P1" s="661"/>
      <c r="Q1" s="661"/>
      <c r="R1" s="661"/>
      <c r="S1" s="661"/>
      <c r="T1" s="661"/>
      <c r="U1" s="851"/>
      <c r="V1" s="661"/>
      <c r="W1" s="661"/>
      <c r="X1" s="661"/>
      <c r="Y1" s="851"/>
      <c r="Z1" s="661"/>
      <c r="AA1" s="661"/>
      <c r="AB1" s="661"/>
      <c r="AC1" s="851"/>
      <c r="AD1" s="661"/>
      <c r="AE1" s="661"/>
      <c r="AF1" s="661"/>
      <c r="AG1" s="851"/>
      <c r="AH1" s="661"/>
      <c r="AI1" s="661"/>
      <c r="AJ1" s="661"/>
      <c r="AK1" s="661"/>
      <c r="AL1" s="852"/>
      <c r="AM1" s="661" t="s">
        <v>1162</v>
      </c>
      <c r="AN1" s="661"/>
      <c r="AO1" s="661"/>
      <c r="AP1" s="661"/>
      <c r="AQ1" s="661"/>
      <c r="AR1" s="661"/>
      <c r="AS1" s="661"/>
    </row>
    <row r="2" spans="1:45" ht="17.25" thickTop="1" thickBot="1" x14ac:dyDescent="0.3">
      <c r="A2" s="19" t="s">
        <v>32</v>
      </c>
      <c r="B2" s="853"/>
      <c r="C2" s="853"/>
      <c r="D2" s="853"/>
      <c r="E2" s="853"/>
      <c r="F2" s="854"/>
      <c r="G2" s="854"/>
      <c r="H2" s="853"/>
      <c r="I2" s="855"/>
      <c r="J2" s="855"/>
      <c r="K2" s="855"/>
      <c r="L2" s="855"/>
      <c r="M2" s="855"/>
      <c r="N2" s="855"/>
      <c r="O2" s="855"/>
      <c r="P2" s="855"/>
      <c r="Q2" s="855"/>
      <c r="R2" s="855"/>
      <c r="S2" s="855"/>
      <c r="T2" s="855"/>
      <c r="U2" s="856"/>
      <c r="V2" s="855"/>
      <c r="W2" s="855"/>
      <c r="X2" s="855"/>
      <c r="Y2" s="856"/>
      <c r="Z2" s="855"/>
      <c r="AA2" s="855"/>
      <c r="AB2" s="855"/>
      <c r="AC2" s="856"/>
      <c r="AD2" s="855"/>
      <c r="AE2" s="855"/>
      <c r="AF2" s="855"/>
      <c r="AG2" s="856"/>
      <c r="AH2" s="855"/>
      <c r="AI2" s="855"/>
      <c r="AJ2" s="855"/>
      <c r="AK2" s="855"/>
      <c r="AL2" s="857"/>
      <c r="AM2" s="857"/>
      <c r="AN2" s="857"/>
      <c r="AO2" s="857"/>
      <c r="AP2" s="857"/>
      <c r="AQ2" s="857"/>
      <c r="AR2" s="857"/>
      <c r="AS2" s="857"/>
    </row>
    <row r="3" spans="1:45" ht="14.1" customHeight="1" thickTop="1" x14ac:dyDescent="0.2">
      <c r="A3" s="858" t="s">
        <v>1163</v>
      </c>
      <c r="B3" s="858" t="s">
        <v>1164</v>
      </c>
      <c r="C3" s="858" t="s">
        <v>1165</v>
      </c>
      <c r="D3" s="858" t="s">
        <v>1166</v>
      </c>
      <c r="E3" s="858" t="s">
        <v>1167</v>
      </c>
      <c r="F3" s="859" t="s">
        <v>1168</v>
      </c>
      <c r="G3" s="859" t="s">
        <v>1169</v>
      </c>
      <c r="H3" s="858" t="s">
        <v>829</v>
      </c>
      <c r="I3" s="860"/>
      <c r="J3" s="861" t="s">
        <v>1170</v>
      </c>
      <c r="K3" s="862">
        <v>2018</v>
      </c>
      <c r="L3" s="862">
        <v>2019</v>
      </c>
      <c r="M3" s="862">
        <v>2020</v>
      </c>
      <c r="N3" s="862">
        <v>2021</v>
      </c>
      <c r="O3" s="862">
        <v>2022</v>
      </c>
      <c r="P3" s="862">
        <v>2023</v>
      </c>
      <c r="Q3" s="862">
        <v>2024</v>
      </c>
      <c r="R3" s="591"/>
      <c r="S3" s="862" t="s">
        <v>144</v>
      </c>
      <c r="T3" s="862" t="s">
        <v>145</v>
      </c>
      <c r="U3" s="863" t="s">
        <v>146</v>
      </c>
      <c r="V3" s="862" t="s">
        <v>147</v>
      </c>
      <c r="W3" s="862" t="s">
        <v>148</v>
      </c>
      <c r="X3" s="862" t="s">
        <v>149</v>
      </c>
      <c r="Y3" s="863" t="s">
        <v>150</v>
      </c>
      <c r="Z3" s="862" t="s">
        <v>151</v>
      </c>
      <c r="AA3" s="862" t="s">
        <v>152</v>
      </c>
      <c r="AB3" s="862" t="s">
        <v>153</v>
      </c>
      <c r="AC3" s="863" t="s">
        <v>154</v>
      </c>
      <c r="AD3" s="862" t="s">
        <v>155</v>
      </c>
      <c r="AE3" s="862" t="s">
        <v>156</v>
      </c>
      <c r="AF3" s="862" t="s">
        <v>157</v>
      </c>
      <c r="AG3" s="863" t="s">
        <v>158</v>
      </c>
      <c r="AH3" s="862" t="s">
        <v>159</v>
      </c>
      <c r="AI3" s="862" t="s">
        <v>160</v>
      </c>
      <c r="AJ3" s="862" t="s">
        <v>161</v>
      </c>
      <c r="AK3" s="861" t="str">
        <f>J3</f>
        <v>M&amp;A impact</v>
      </c>
      <c r="AL3" s="348"/>
      <c r="AM3" s="864"/>
      <c r="AN3" s="864"/>
      <c r="AO3" s="324" t="s">
        <v>155</v>
      </c>
      <c r="AP3" s="324" t="s">
        <v>156</v>
      </c>
      <c r="AQ3" s="324" t="s">
        <v>157</v>
      </c>
      <c r="AR3" s="324" t="s">
        <v>158</v>
      </c>
      <c r="AS3" s="865" t="s">
        <v>20</v>
      </c>
    </row>
    <row r="4" spans="1:45" ht="14.1" customHeight="1" x14ac:dyDescent="0.2">
      <c r="A4" s="866">
        <v>45749</v>
      </c>
      <c r="B4" s="867" t="s">
        <v>1171</v>
      </c>
      <c r="C4" s="868"/>
      <c r="D4" s="868" t="s">
        <v>296</v>
      </c>
      <c r="E4" s="868" t="s">
        <v>339</v>
      </c>
      <c r="F4" s="869">
        <v>1330</v>
      </c>
      <c r="G4" s="869">
        <v>145</v>
      </c>
      <c r="H4" s="868" t="s">
        <v>1172</v>
      </c>
      <c r="I4" s="860"/>
      <c r="J4" s="870" t="s">
        <v>1173</v>
      </c>
      <c r="K4" s="871"/>
      <c r="L4" s="871"/>
      <c r="M4" s="871"/>
      <c r="N4" s="871"/>
      <c r="O4" s="871"/>
      <c r="P4" s="871"/>
      <c r="Q4" s="871"/>
      <c r="R4" s="591"/>
      <c r="S4" s="871"/>
      <c r="T4" s="871"/>
      <c r="U4" s="872"/>
      <c r="V4" s="871"/>
      <c r="W4" s="871"/>
      <c r="X4" s="871"/>
      <c r="Y4" s="872"/>
      <c r="Z4" s="871"/>
      <c r="AA4" s="871"/>
      <c r="AB4" s="871"/>
      <c r="AC4" s="872"/>
      <c r="AD4" s="871"/>
      <c r="AE4" s="871"/>
      <c r="AF4" s="871"/>
      <c r="AG4" s="872"/>
      <c r="AH4" s="871"/>
      <c r="AI4" s="871"/>
      <c r="AJ4" s="871"/>
      <c r="AK4" s="870" t="s">
        <v>1174</v>
      </c>
      <c r="AL4" s="348"/>
      <c r="AM4" s="673" t="s">
        <v>200</v>
      </c>
      <c r="AN4" s="673" t="s">
        <v>1175</v>
      </c>
      <c r="AO4" s="379">
        <v>14143</v>
      </c>
      <c r="AP4" s="379">
        <v>16511</v>
      </c>
      <c r="AQ4" s="379">
        <v>15699</v>
      </c>
      <c r="AR4" s="379">
        <v>17251</v>
      </c>
      <c r="AS4" s="873">
        <f t="shared" ref="AS4:AS16" si="0">SUM(AO4:AR4)</f>
        <v>63604</v>
      </c>
    </row>
    <row r="5" spans="1:45" ht="12.75" x14ac:dyDescent="0.2">
      <c r="A5" s="874">
        <v>45539</v>
      </c>
      <c r="B5" s="875" t="s">
        <v>1176</v>
      </c>
      <c r="C5" s="876"/>
      <c r="D5" s="876" t="s">
        <v>1177</v>
      </c>
      <c r="E5" s="876" t="s">
        <v>1178</v>
      </c>
      <c r="F5" s="877">
        <v>365</v>
      </c>
      <c r="G5" s="877">
        <v>140</v>
      </c>
      <c r="H5" s="878"/>
      <c r="I5" s="860"/>
      <c r="J5" s="591" t="s">
        <v>1179</v>
      </c>
      <c r="K5" s="591"/>
      <c r="L5" s="591"/>
      <c r="M5" s="591"/>
      <c r="N5" s="591">
        <v>641</v>
      </c>
      <c r="O5" s="591">
        <v>599</v>
      </c>
      <c r="P5" s="591">
        <v>1981</v>
      </c>
      <c r="Q5" s="591">
        <v>2807</v>
      </c>
      <c r="R5" s="591"/>
      <c r="S5" s="591">
        <v>39</v>
      </c>
      <c r="T5" s="591">
        <v>307</v>
      </c>
      <c r="U5" s="594">
        <v>641</v>
      </c>
      <c r="V5" s="591">
        <v>0</v>
      </c>
      <c r="W5" s="591">
        <v>23</v>
      </c>
      <c r="X5" s="591">
        <v>148</v>
      </c>
      <c r="Y5" s="594">
        <v>599</v>
      </c>
      <c r="Z5" s="591">
        <v>250</v>
      </c>
      <c r="AA5" s="591">
        <v>892</v>
      </c>
      <c r="AB5" s="591">
        <v>1472</v>
      </c>
      <c r="AC5" s="594">
        <v>1981</v>
      </c>
      <c r="AD5" s="591">
        <v>0</v>
      </c>
      <c r="AE5" s="879">
        <v>986</v>
      </c>
      <c r="AF5" s="879">
        <v>1887</v>
      </c>
      <c r="AG5" s="880">
        <v>2807</v>
      </c>
      <c r="AH5" s="591" t="s">
        <v>1180</v>
      </c>
      <c r="AI5" s="591" t="s">
        <v>1180</v>
      </c>
      <c r="AJ5" s="591" t="s">
        <v>1180</v>
      </c>
      <c r="AK5" s="591" t="s">
        <v>1179</v>
      </c>
      <c r="AL5" s="348"/>
      <c r="AM5" s="325"/>
      <c r="AN5" s="325" t="s">
        <v>1178</v>
      </c>
      <c r="AO5" s="881">
        <v>2949</v>
      </c>
      <c r="AP5" s="881">
        <v>3991</v>
      </c>
      <c r="AQ5" s="881">
        <v>3809</v>
      </c>
      <c r="AR5" s="881">
        <v>3891</v>
      </c>
      <c r="AS5" s="882">
        <f t="shared" si="0"/>
        <v>14640</v>
      </c>
    </row>
    <row r="6" spans="1:45" ht="14.1" customHeight="1" x14ac:dyDescent="0.2">
      <c r="A6" s="874">
        <v>45476</v>
      </c>
      <c r="B6" s="875" t="s">
        <v>1181</v>
      </c>
      <c r="C6" s="876"/>
      <c r="D6" s="876" t="s">
        <v>296</v>
      </c>
      <c r="E6" s="876" t="s">
        <v>1182</v>
      </c>
      <c r="F6" s="877">
        <v>300</v>
      </c>
      <c r="G6" s="883" t="s">
        <v>1180</v>
      </c>
      <c r="H6" s="884" t="s">
        <v>1183</v>
      </c>
      <c r="I6" s="860"/>
      <c r="J6" s="591" t="s">
        <v>1184</v>
      </c>
      <c r="K6" s="591"/>
      <c r="L6" s="591"/>
      <c r="M6" s="591"/>
      <c r="N6" s="591">
        <v>-56</v>
      </c>
      <c r="O6" s="591">
        <v>28</v>
      </c>
      <c r="P6" s="591">
        <v>244</v>
      </c>
      <c r="Q6" s="591">
        <v>-3</v>
      </c>
      <c r="R6" s="591"/>
      <c r="S6" s="591">
        <f>S5-R5</f>
        <v>39</v>
      </c>
      <c r="T6" s="591">
        <f>T5-S5</f>
        <v>268</v>
      </c>
      <c r="U6" s="594">
        <f>U5-T5</f>
        <v>334</v>
      </c>
      <c r="V6" s="591">
        <f>V5</f>
        <v>0</v>
      </c>
      <c r="W6" s="591">
        <f>W5-V5</f>
        <v>23</v>
      </c>
      <c r="X6" s="591">
        <f>X5-W5</f>
        <v>125</v>
      </c>
      <c r="Y6" s="594">
        <f>Y5-X5</f>
        <v>451</v>
      </c>
      <c r="Z6" s="591">
        <f>Z5</f>
        <v>250</v>
      </c>
      <c r="AA6" s="591">
        <f>AA5-Z5</f>
        <v>642</v>
      </c>
      <c r="AB6" s="591">
        <f>AB5-AA5</f>
        <v>580</v>
      </c>
      <c r="AC6" s="594">
        <f>AC5-AB5</f>
        <v>509</v>
      </c>
      <c r="AD6" s="591">
        <v>0</v>
      </c>
      <c r="AE6" s="879">
        <v>51</v>
      </c>
      <c r="AF6" s="879">
        <v>41</v>
      </c>
      <c r="AG6" s="885">
        <v>-3</v>
      </c>
      <c r="AH6" s="591" t="s">
        <v>1180</v>
      </c>
      <c r="AI6" s="591" t="s">
        <v>1180</v>
      </c>
      <c r="AJ6" s="591" t="s">
        <v>1180</v>
      </c>
      <c r="AK6" s="591" t="s">
        <v>1184</v>
      </c>
      <c r="AL6" s="348"/>
      <c r="AM6" s="673" t="s">
        <v>1185</v>
      </c>
      <c r="AN6" s="673" t="s">
        <v>1175</v>
      </c>
      <c r="AO6" s="379">
        <v>2760</v>
      </c>
      <c r="AP6" s="379">
        <v>2921</v>
      </c>
      <c r="AQ6" s="379">
        <v>3277</v>
      </c>
      <c r="AR6" s="379">
        <v>3427</v>
      </c>
      <c r="AS6" s="873">
        <f t="shared" si="0"/>
        <v>12385</v>
      </c>
    </row>
    <row r="7" spans="1:45" ht="14.1" customHeight="1" x14ac:dyDescent="0.2">
      <c r="A7" s="874">
        <v>45460</v>
      </c>
      <c r="B7" s="875" t="s">
        <v>1186</v>
      </c>
      <c r="C7" s="876"/>
      <c r="D7" s="876" t="s">
        <v>1177</v>
      </c>
      <c r="E7" s="876" t="s">
        <v>1178</v>
      </c>
      <c r="F7" s="886" t="s">
        <v>1180</v>
      </c>
      <c r="G7" s="877">
        <v>10</v>
      </c>
      <c r="H7" s="878"/>
      <c r="I7" s="860"/>
      <c r="J7" s="591" t="s">
        <v>1187</v>
      </c>
      <c r="K7" s="591"/>
      <c r="L7" s="591"/>
      <c r="M7" s="591"/>
      <c r="N7" s="591"/>
      <c r="O7" s="591"/>
      <c r="P7" s="591"/>
      <c r="Q7" s="591"/>
      <c r="R7" s="591"/>
      <c r="S7" s="591">
        <v>-7</v>
      </c>
      <c r="T7" s="591">
        <v>-28</v>
      </c>
      <c r="U7" s="594">
        <v>-56</v>
      </c>
      <c r="V7" s="591">
        <v>0</v>
      </c>
      <c r="W7" s="591">
        <v>0.2</v>
      </c>
      <c r="X7" s="591">
        <v>23</v>
      </c>
      <c r="Y7" s="594">
        <v>28</v>
      </c>
      <c r="Z7" s="591">
        <v>13</v>
      </c>
      <c r="AA7" s="591">
        <v>119</v>
      </c>
      <c r="AB7" s="591">
        <v>199</v>
      </c>
      <c r="AC7" s="594">
        <v>244</v>
      </c>
      <c r="AD7" s="591">
        <v>0</v>
      </c>
      <c r="AE7" s="879">
        <v>986</v>
      </c>
      <c r="AF7" s="879">
        <f>AF5-AE5</f>
        <v>901</v>
      </c>
      <c r="AG7" s="880">
        <f>AG5-AF5</f>
        <v>920</v>
      </c>
      <c r="AH7" s="591" t="s">
        <v>1180</v>
      </c>
      <c r="AI7" s="591" t="s">
        <v>1180</v>
      </c>
      <c r="AJ7" s="591" t="s">
        <v>1180</v>
      </c>
      <c r="AK7" s="591" t="s">
        <v>1187</v>
      </c>
      <c r="AL7" s="348"/>
      <c r="AM7" s="325"/>
      <c r="AN7" s="325" t="s">
        <v>1178</v>
      </c>
      <c r="AO7" s="881">
        <v>335</v>
      </c>
      <c r="AP7" s="881">
        <v>283</v>
      </c>
      <c r="AQ7" s="881">
        <v>429</v>
      </c>
      <c r="AR7" s="881">
        <v>326</v>
      </c>
      <c r="AS7" s="882">
        <f t="shared" si="0"/>
        <v>1373</v>
      </c>
    </row>
    <row r="8" spans="1:45" ht="14.1" customHeight="1" x14ac:dyDescent="0.2">
      <c r="A8" s="874">
        <v>45415</v>
      </c>
      <c r="B8" s="875" t="s">
        <v>1188</v>
      </c>
      <c r="C8" s="876"/>
      <c r="D8" s="876" t="s">
        <v>296</v>
      </c>
      <c r="E8" s="876" t="s">
        <v>298</v>
      </c>
      <c r="F8" s="877">
        <v>90</v>
      </c>
      <c r="G8" s="877">
        <v>80</v>
      </c>
      <c r="H8" s="887"/>
      <c r="I8" s="860"/>
      <c r="J8" s="591" t="s">
        <v>1189</v>
      </c>
      <c r="K8" s="591"/>
      <c r="L8" s="591"/>
      <c r="M8" s="591"/>
      <c r="N8" s="591"/>
      <c r="O8" s="591"/>
      <c r="P8" s="591"/>
      <c r="Q8" s="591"/>
      <c r="R8" s="591"/>
      <c r="S8" s="591">
        <f>S7-R7</f>
        <v>-7</v>
      </c>
      <c r="T8" s="591">
        <f>T7-S7</f>
        <v>-21</v>
      </c>
      <c r="U8" s="594">
        <f>U7-T7</f>
        <v>-28</v>
      </c>
      <c r="V8" s="591">
        <f>V7</f>
        <v>0</v>
      </c>
      <c r="W8" s="591">
        <f>W7-V7</f>
        <v>0.2</v>
      </c>
      <c r="X8" s="591">
        <f>X7-W7</f>
        <v>22.8</v>
      </c>
      <c r="Y8" s="594">
        <f>Y7-X7</f>
        <v>5</v>
      </c>
      <c r="Z8" s="591">
        <f>Z7</f>
        <v>13</v>
      </c>
      <c r="AA8" s="591">
        <f>AA7-Z7</f>
        <v>106</v>
      </c>
      <c r="AB8" s="591">
        <f>AB7-AA7</f>
        <v>80</v>
      </c>
      <c r="AC8" s="594">
        <f>AC7-AB7</f>
        <v>45</v>
      </c>
      <c r="AD8" s="591">
        <v>0</v>
      </c>
      <c r="AE8" s="879">
        <v>51</v>
      </c>
      <c r="AF8" s="888">
        <f>AF6-AE6</f>
        <v>-10</v>
      </c>
      <c r="AG8" s="885">
        <f>AG6-AF6</f>
        <v>-44</v>
      </c>
      <c r="AH8" s="591" t="s">
        <v>1180</v>
      </c>
      <c r="AI8" s="591" t="s">
        <v>1180</v>
      </c>
      <c r="AJ8" s="591" t="s">
        <v>1180</v>
      </c>
      <c r="AK8" s="591" t="s">
        <v>1189</v>
      </c>
      <c r="AL8" s="348"/>
      <c r="AM8" s="673" t="s">
        <v>60</v>
      </c>
      <c r="AN8" s="673" t="s">
        <v>1175</v>
      </c>
      <c r="AO8" s="379">
        <v>2976</v>
      </c>
      <c r="AP8" s="379">
        <v>3192</v>
      </c>
      <c r="AQ8" s="379">
        <v>3896</v>
      </c>
      <c r="AR8" s="379">
        <v>3704</v>
      </c>
      <c r="AS8" s="873">
        <f t="shared" si="0"/>
        <v>13768</v>
      </c>
    </row>
    <row r="9" spans="1:45" ht="14.1" customHeight="1" x14ac:dyDescent="0.2">
      <c r="A9" s="889">
        <v>45383</v>
      </c>
      <c r="B9" s="890" t="s">
        <v>1190</v>
      </c>
      <c r="C9" s="891"/>
      <c r="D9" s="891" t="s">
        <v>299</v>
      </c>
      <c r="E9" s="891" t="s">
        <v>1178</v>
      </c>
      <c r="F9" s="892">
        <v>4700</v>
      </c>
      <c r="G9" s="892">
        <v>1380</v>
      </c>
      <c r="H9" s="893"/>
      <c r="I9" s="860"/>
      <c r="J9" s="591" t="s">
        <v>1191</v>
      </c>
      <c r="K9" s="591"/>
      <c r="L9" s="591"/>
      <c r="M9" s="591"/>
      <c r="N9" s="894">
        <f>N6/N5</f>
        <v>-8.7363494539781594E-2</v>
      </c>
      <c r="O9" s="894">
        <f>O6/O5</f>
        <v>4.6744574290484141E-2</v>
      </c>
      <c r="P9" s="894">
        <f>P6/P5</f>
        <v>0.12317011610297829</v>
      </c>
      <c r="Q9" s="894">
        <f>Q6/Q5</f>
        <v>-1.0687566797292483E-3</v>
      </c>
      <c r="R9" s="591"/>
      <c r="S9" s="894">
        <f>S8/S6</f>
        <v>-0.17948717948717949</v>
      </c>
      <c r="T9" s="894">
        <f>T8/T6</f>
        <v>-7.8358208955223885E-2</v>
      </c>
      <c r="U9" s="895">
        <f>U8/U6</f>
        <v>-8.3832335329341312E-2</v>
      </c>
      <c r="V9" s="894">
        <v>0</v>
      </c>
      <c r="W9" s="894">
        <f t="shared" ref="W9:AC9" si="1">W8/W6</f>
        <v>8.6956521739130436E-3</v>
      </c>
      <c r="X9" s="894">
        <f t="shared" si="1"/>
        <v>0.18240000000000001</v>
      </c>
      <c r="Y9" s="895">
        <f t="shared" si="1"/>
        <v>1.1086474501108648E-2</v>
      </c>
      <c r="Z9" s="894">
        <f t="shared" si="1"/>
        <v>5.1999999999999998E-2</v>
      </c>
      <c r="AA9" s="894">
        <f t="shared" si="1"/>
        <v>0.16510903426791276</v>
      </c>
      <c r="AB9" s="894">
        <f t="shared" si="1"/>
        <v>0.13793103448275862</v>
      </c>
      <c r="AC9" s="895">
        <f t="shared" si="1"/>
        <v>8.8408644400785857E-2</v>
      </c>
      <c r="AD9" s="894">
        <v>0</v>
      </c>
      <c r="AE9" s="894">
        <f>AE8/AE7</f>
        <v>5.1724137931034482E-2</v>
      </c>
      <c r="AF9" s="894">
        <f>AF8/AF7</f>
        <v>-1.1098779134295227E-2</v>
      </c>
      <c r="AG9" s="896">
        <f>AG8/AG7</f>
        <v>-4.7826086956521741E-2</v>
      </c>
      <c r="AH9" s="894"/>
      <c r="AI9" s="894"/>
      <c r="AJ9" s="894"/>
      <c r="AK9" s="591" t="s">
        <v>1191</v>
      </c>
      <c r="AL9" s="348"/>
      <c r="AM9" s="325"/>
      <c r="AN9" s="325" t="s">
        <v>1178</v>
      </c>
      <c r="AO9" s="881">
        <v>369</v>
      </c>
      <c r="AP9" s="881">
        <v>361</v>
      </c>
      <c r="AQ9" s="881">
        <v>505</v>
      </c>
      <c r="AR9" s="881">
        <v>406</v>
      </c>
      <c r="AS9" s="882">
        <f t="shared" si="0"/>
        <v>1641</v>
      </c>
    </row>
    <row r="10" spans="1:45" ht="14.1" customHeight="1" x14ac:dyDescent="0.2">
      <c r="A10" s="874">
        <v>45079</v>
      </c>
      <c r="B10" s="875" t="s">
        <v>1192</v>
      </c>
      <c r="C10" s="876"/>
      <c r="D10" s="876" t="s">
        <v>296</v>
      </c>
      <c r="E10" s="876" t="s">
        <v>1182</v>
      </c>
      <c r="F10" s="877">
        <v>0</v>
      </c>
      <c r="G10" s="877">
        <v>85</v>
      </c>
      <c r="H10" s="897"/>
      <c r="I10" s="860"/>
      <c r="J10" s="591"/>
      <c r="K10" s="591"/>
      <c r="L10" s="591"/>
      <c r="M10" s="591"/>
      <c r="N10" s="591"/>
      <c r="O10" s="591"/>
      <c r="P10" s="591"/>
      <c r="Q10" s="591"/>
      <c r="R10" s="591"/>
      <c r="S10" s="591"/>
      <c r="T10" s="591"/>
      <c r="U10" s="594"/>
      <c r="V10" s="591"/>
      <c r="W10" s="591"/>
      <c r="X10" s="591"/>
      <c r="Y10" s="594"/>
      <c r="Z10" s="591"/>
      <c r="AA10" s="591"/>
      <c r="AB10" s="591"/>
      <c r="AC10" s="594"/>
      <c r="AD10" s="591"/>
      <c r="AE10" s="591"/>
      <c r="AF10" s="591"/>
      <c r="AG10" s="594"/>
      <c r="AH10" s="591"/>
      <c r="AI10" s="591"/>
      <c r="AJ10" s="591"/>
      <c r="AK10" s="591"/>
      <c r="AL10" s="348"/>
      <c r="AM10" s="673" t="s">
        <v>1193</v>
      </c>
      <c r="AN10" s="673" t="s">
        <v>1175</v>
      </c>
      <c r="AO10" s="379">
        <v>3103</v>
      </c>
      <c r="AP10" s="379">
        <v>3517</v>
      </c>
      <c r="AQ10" s="379">
        <v>3359</v>
      </c>
      <c r="AR10" s="379">
        <v>3682</v>
      </c>
      <c r="AS10" s="873">
        <f t="shared" si="0"/>
        <v>13661</v>
      </c>
    </row>
    <row r="11" spans="1:45" ht="14.1" customHeight="1" x14ac:dyDescent="0.2">
      <c r="A11" s="874">
        <v>45019</v>
      </c>
      <c r="B11" s="875" t="s">
        <v>1194</v>
      </c>
      <c r="C11" s="876"/>
      <c r="D11" s="876" t="s">
        <v>296</v>
      </c>
      <c r="E11" s="876" t="s">
        <v>1182</v>
      </c>
      <c r="F11" s="877">
        <v>650</v>
      </c>
      <c r="G11" s="877">
        <v>200</v>
      </c>
      <c r="H11" s="887"/>
      <c r="I11" s="860"/>
      <c r="J11" s="898" t="s">
        <v>1195</v>
      </c>
      <c r="K11" s="899"/>
      <c r="L11" s="899"/>
      <c r="M11" s="899"/>
      <c r="N11" s="899"/>
      <c r="O11" s="899"/>
      <c r="P11" s="899"/>
      <c r="Q11" s="899"/>
      <c r="R11" s="591"/>
      <c r="S11" s="899"/>
      <c r="T11" s="899"/>
      <c r="U11" s="900"/>
      <c r="V11" s="899"/>
      <c r="W11" s="899"/>
      <c r="X11" s="899"/>
      <c r="Y11" s="900"/>
      <c r="Z11" s="899"/>
      <c r="AA11" s="899"/>
      <c r="AB11" s="899"/>
      <c r="AC11" s="900"/>
      <c r="AD11" s="899"/>
      <c r="AE11" s="899"/>
      <c r="AF11" s="899"/>
      <c r="AG11" s="900"/>
      <c r="AH11" s="899"/>
      <c r="AI11" s="899"/>
      <c r="AJ11" s="899"/>
      <c r="AK11" s="898" t="s">
        <v>1195</v>
      </c>
      <c r="AL11" s="348"/>
      <c r="AM11" s="325"/>
      <c r="AN11" s="325" t="s">
        <v>1178</v>
      </c>
      <c r="AO11" s="881">
        <v>494</v>
      </c>
      <c r="AP11" s="881">
        <v>526</v>
      </c>
      <c r="AQ11" s="881">
        <v>505</v>
      </c>
      <c r="AR11" s="881">
        <v>406</v>
      </c>
      <c r="AS11" s="882">
        <f t="shared" si="0"/>
        <v>1931</v>
      </c>
    </row>
    <row r="12" spans="1:45" ht="14.1" customHeight="1" x14ac:dyDescent="0.2">
      <c r="A12" s="876" t="s">
        <v>1196</v>
      </c>
      <c r="B12" s="875" t="s">
        <v>1197</v>
      </c>
      <c r="C12" s="876"/>
      <c r="D12" s="876" t="s">
        <v>296</v>
      </c>
      <c r="E12" s="876" t="s">
        <v>298</v>
      </c>
      <c r="F12" s="877">
        <v>50</v>
      </c>
      <c r="G12" s="877">
        <v>45</v>
      </c>
      <c r="H12" s="897"/>
      <c r="I12" s="860"/>
      <c r="J12" s="591" t="s">
        <v>342</v>
      </c>
      <c r="K12" s="901"/>
      <c r="L12" s="901"/>
      <c r="M12" s="901"/>
      <c r="N12" s="901"/>
      <c r="O12" s="901"/>
      <c r="P12" s="902">
        <v>-1</v>
      </c>
      <c r="Q12" s="902">
        <v>0</v>
      </c>
      <c r="R12" s="591"/>
      <c r="S12" s="901"/>
      <c r="T12" s="901"/>
      <c r="U12" s="903"/>
      <c r="V12" s="901"/>
      <c r="W12" s="901"/>
      <c r="X12" s="901"/>
      <c r="Y12" s="903"/>
      <c r="Z12" s="902">
        <v>-1.3</v>
      </c>
      <c r="AA12" s="902">
        <v>-1.1000000000000001</v>
      </c>
      <c r="AB12" s="902">
        <v>-1.1000000000000001</v>
      </c>
      <c r="AC12" s="904">
        <v>-0.5</v>
      </c>
      <c r="AD12" s="902">
        <v>-0.2</v>
      </c>
      <c r="AE12" s="902">
        <v>-0.1</v>
      </c>
      <c r="AF12" s="902">
        <v>0</v>
      </c>
      <c r="AG12" s="904">
        <v>0</v>
      </c>
      <c r="AH12" s="264">
        <v>0</v>
      </c>
      <c r="AI12" s="264">
        <v>-0.1</v>
      </c>
      <c r="AJ12" s="264">
        <v>0</v>
      </c>
      <c r="AK12" s="591" t="s">
        <v>342</v>
      </c>
      <c r="AL12" s="348"/>
      <c r="AM12" s="673" t="s">
        <v>1198</v>
      </c>
      <c r="AN12" s="673" t="s">
        <v>1175</v>
      </c>
      <c r="AO12" s="379">
        <v>216</v>
      </c>
      <c r="AP12" s="379">
        <v>271</v>
      </c>
      <c r="AQ12" s="379">
        <v>619</v>
      </c>
      <c r="AR12" s="379">
        <v>277</v>
      </c>
      <c r="AS12" s="873">
        <f t="shared" si="0"/>
        <v>1383</v>
      </c>
    </row>
    <row r="13" spans="1:45" ht="14.1" customHeight="1" x14ac:dyDescent="0.2">
      <c r="A13" s="891" t="s">
        <v>1196</v>
      </c>
      <c r="B13" s="890" t="s">
        <v>1199</v>
      </c>
      <c r="C13" s="891"/>
      <c r="D13" s="891" t="s">
        <v>299</v>
      </c>
      <c r="E13" s="891" t="s">
        <v>1178</v>
      </c>
      <c r="F13" s="892">
        <v>1700</v>
      </c>
      <c r="G13" s="892">
        <v>400</v>
      </c>
      <c r="H13" s="905"/>
      <c r="I13" s="860"/>
      <c r="J13" s="591" t="s">
        <v>340</v>
      </c>
      <c r="K13" s="901"/>
      <c r="L13" s="901"/>
      <c r="M13" s="901"/>
      <c r="N13" s="901"/>
      <c r="O13" s="901"/>
      <c r="P13" s="902">
        <v>-0.4</v>
      </c>
      <c r="Q13" s="902">
        <v>-4</v>
      </c>
      <c r="R13" s="591"/>
      <c r="S13" s="901"/>
      <c r="T13" s="901"/>
      <c r="U13" s="903"/>
      <c r="V13" s="901"/>
      <c r="W13" s="901"/>
      <c r="X13" s="901"/>
      <c r="Y13" s="903"/>
      <c r="Z13" s="902">
        <v>-1.2</v>
      </c>
      <c r="AA13" s="902">
        <v>0.4</v>
      </c>
      <c r="AB13" s="902">
        <v>0.4</v>
      </c>
      <c r="AC13" s="904">
        <v>-0.7</v>
      </c>
      <c r="AD13" s="902">
        <v>-0.1</v>
      </c>
      <c r="AE13" s="902">
        <v>-2.2000000000000002</v>
      </c>
      <c r="AF13" s="902">
        <v>-3.9</v>
      </c>
      <c r="AG13" s="904">
        <v>-4</v>
      </c>
      <c r="AH13" s="264">
        <v>-2.7</v>
      </c>
      <c r="AI13" s="264">
        <v>-0.3</v>
      </c>
      <c r="AJ13" s="264">
        <v>-0.2</v>
      </c>
      <c r="AK13" s="591" t="s">
        <v>340</v>
      </c>
      <c r="AL13" s="348"/>
      <c r="AM13" s="325"/>
      <c r="AN13" s="325" t="s">
        <v>1178</v>
      </c>
      <c r="AO13" s="881">
        <v>34</v>
      </c>
      <c r="AP13" s="881">
        <v>78</v>
      </c>
      <c r="AQ13" s="881">
        <v>76</v>
      </c>
      <c r="AR13" s="881">
        <v>80</v>
      </c>
      <c r="AS13" s="882">
        <f t="shared" si="0"/>
        <v>268</v>
      </c>
    </row>
    <row r="14" spans="1:45" ht="14.1" customHeight="1" x14ac:dyDescent="0.2">
      <c r="A14" s="906" t="s">
        <v>1200</v>
      </c>
      <c r="B14" s="907" t="s">
        <v>1201</v>
      </c>
      <c r="C14" s="906"/>
      <c r="D14" s="906" t="s">
        <v>296</v>
      </c>
      <c r="E14" s="906" t="s">
        <v>298</v>
      </c>
      <c r="F14" s="908">
        <v>600</v>
      </c>
      <c r="G14" s="908">
        <v>225</v>
      </c>
      <c r="H14" s="909"/>
      <c r="I14" s="860"/>
      <c r="J14" s="910" t="s">
        <v>303</v>
      </c>
      <c r="K14" s="911"/>
      <c r="L14" s="911"/>
      <c r="M14" s="911"/>
      <c r="N14" s="912"/>
      <c r="O14" s="912"/>
      <c r="P14" s="913">
        <v>-0.9</v>
      </c>
      <c r="Q14" s="913">
        <v>-1</v>
      </c>
      <c r="R14" s="591"/>
      <c r="S14" s="912"/>
      <c r="T14" s="912"/>
      <c r="U14" s="914"/>
      <c r="V14" s="912"/>
      <c r="W14" s="912"/>
      <c r="X14" s="912"/>
      <c r="Y14" s="914"/>
      <c r="Z14" s="913">
        <v>-1.3</v>
      </c>
      <c r="AA14" s="913">
        <v>-0.9</v>
      </c>
      <c r="AB14" s="913">
        <v>-1</v>
      </c>
      <c r="AC14" s="915">
        <v>-0.7</v>
      </c>
      <c r="AD14" s="913">
        <v>-0.2</v>
      </c>
      <c r="AE14" s="913">
        <v>-0.9</v>
      </c>
      <c r="AF14" s="913">
        <v>-1.3</v>
      </c>
      <c r="AG14" s="916">
        <v>-1.4</v>
      </c>
      <c r="AH14" s="267">
        <v>-1</v>
      </c>
      <c r="AI14" s="267">
        <v>-0.2</v>
      </c>
      <c r="AJ14" s="267">
        <v>-0.1</v>
      </c>
      <c r="AK14" s="910" t="s">
        <v>303</v>
      </c>
      <c r="AL14" s="348"/>
      <c r="AM14" s="673" t="s">
        <v>1202</v>
      </c>
      <c r="AN14" s="673" t="s">
        <v>1175</v>
      </c>
      <c r="AO14" s="379">
        <v>127</v>
      </c>
      <c r="AP14" s="379">
        <v>325</v>
      </c>
      <c r="AQ14" s="379">
        <v>-537</v>
      </c>
      <c r="AR14" s="379">
        <v>-22</v>
      </c>
      <c r="AS14" s="873">
        <f t="shared" si="0"/>
        <v>-107</v>
      </c>
    </row>
    <row r="15" spans="1:45" ht="14.1" customHeight="1" x14ac:dyDescent="0.2">
      <c r="A15" s="876" t="s">
        <v>1203</v>
      </c>
      <c r="B15" s="875" t="s">
        <v>1204</v>
      </c>
      <c r="C15" s="876"/>
      <c r="D15" s="876" t="s">
        <v>299</v>
      </c>
      <c r="E15" s="876" t="s">
        <v>1178</v>
      </c>
      <c r="F15" s="877">
        <v>200</v>
      </c>
      <c r="G15" s="877">
        <v>100</v>
      </c>
      <c r="H15" s="897"/>
      <c r="I15" s="860"/>
      <c r="J15" s="917"/>
      <c r="K15" s="901"/>
      <c r="L15" s="901"/>
      <c r="M15" s="901"/>
      <c r="N15" s="901"/>
      <c r="O15" s="901"/>
      <c r="P15" s="902"/>
      <c r="Q15" s="902"/>
      <c r="R15" s="591"/>
      <c r="S15" s="901"/>
      <c r="T15" s="901"/>
      <c r="U15" s="903"/>
      <c r="V15" s="901"/>
      <c r="W15" s="901"/>
      <c r="X15" s="901"/>
      <c r="Y15" s="903"/>
      <c r="Z15" s="902"/>
      <c r="AA15" s="902"/>
      <c r="AB15" s="902"/>
      <c r="AC15" s="918"/>
      <c r="AD15" s="902"/>
      <c r="AE15" s="901"/>
      <c r="AF15" s="901"/>
      <c r="AG15" s="903"/>
      <c r="AH15" s="902"/>
      <c r="AI15" s="902"/>
      <c r="AJ15" s="902"/>
      <c r="AK15" s="917"/>
      <c r="AL15" s="348"/>
      <c r="AM15" s="673"/>
      <c r="AN15" s="673" t="s">
        <v>1178</v>
      </c>
      <c r="AO15" s="379">
        <v>125</v>
      </c>
      <c r="AP15" s="379">
        <v>165</v>
      </c>
      <c r="AQ15" s="379">
        <v>0</v>
      </c>
      <c r="AR15" s="379">
        <v>0</v>
      </c>
      <c r="AS15" s="873">
        <f t="shared" si="0"/>
        <v>290</v>
      </c>
    </row>
    <row r="16" spans="1:45" ht="14.1" customHeight="1" x14ac:dyDescent="0.2">
      <c r="A16" s="876" t="s">
        <v>1205</v>
      </c>
      <c r="B16" s="875" t="s">
        <v>1206</v>
      </c>
      <c r="C16" s="876"/>
      <c r="D16" s="876" t="s">
        <v>296</v>
      </c>
      <c r="E16" s="876" t="s">
        <v>298</v>
      </c>
      <c r="F16" s="877">
        <v>1040</v>
      </c>
      <c r="G16" s="877">
        <v>330</v>
      </c>
      <c r="H16" s="919">
        <v>0.53</v>
      </c>
      <c r="I16" s="860"/>
      <c r="J16" s="920" t="s">
        <v>1207</v>
      </c>
      <c r="K16" s="921"/>
      <c r="L16" s="921"/>
      <c r="M16" s="921"/>
      <c r="N16" s="921"/>
      <c r="O16" s="921"/>
      <c r="P16" s="921"/>
      <c r="Q16" s="921"/>
      <c r="R16" s="591"/>
      <c r="S16" s="921"/>
      <c r="T16" s="921"/>
      <c r="U16" s="922"/>
      <c r="V16" s="921"/>
      <c r="W16" s="921"/>
      <c r="X16" s="921"/>
      <c r="Y16" s="922"/>
      <c r="Z16" s="921"/>
      <c r="AA16" s="921"/>
      <c r="AB16" s="921"/>
      <c r="AC16" s="922"/>
      <c r="AD16" s="921"/>
      <c r="AE16" s="921"/>
      <c r="AF16" s="921"/>
      <c r="AG16" s="922"/>
      <c r="AH16" s="921"/>
      <c r="AI16" s="921"/>
      <c r="AJ16" s="921"/>
      <c r="AK16" s="920" t="s">
        <v>1207</v>
      </c>
      <c r="AL16" s="348"/>
      <c r="AM16" s="325"/>
      <c r="AN16" s="325" t="s">
        <v>1208</v>
      </c>
      <c r="AO16" s="881">
        <v>125</v>
      </c>
      <c r="AP16" s="881">
        <v>130</v>
      </c>
      <c r="AQ16" s="881">
        <v>0</v>
      </c>
      <c r="AR16" s="881">
        <v>0</v>
      </c>
      <c r="AS16" s="882">
        <f t="shared" si="0"/>
        <v>255</v>
      </c>
    </row>
    <row r="17" spans="1:45" ht="14.1" customHeight="1" x14ac:dyDescent="0.2">
      <c r="A17" s="876" t="s">
        <v>1209</v>
      </c>
      <c r="B17" s="875" t="s">
        <v>1210</v>
      </c>
      <c r="C17" s="876"/>
      <c r="D17" s="876" t="s">
        <v>296</v>
      </c>
      <c r="E17" s="876" t="s">
        <v>297</v>
      </c>
      <c r="F17" s="877">
        <v>65</v>
      </c>
      <c r="G17" s="877">
        <v>50</v>
      </c>
      <c r="H17" s="897"/>
      <c r="I17" s="860"/>
      <c r="J17" s="591" t="s">
        <v>1211</v>
      </c>
      <c r="K17" s="591"/>
      <c r="L17" s="591"/>
      <c r="M17" s="591"/>
      <c r="N17" s="591">
        <v>2358</v>
      </c>
      <c r="O17" s="591">
        <v>4674</v>
      </c>
      <c r="P17" s="591">
        <v>3265</v>
      </c>
      <c r="Q17" s="591">
        <v>9025</v>
      </c>
      <c r="R17" s="591"/>
      <c r="S17" s="591">
        <v>1284</v>
      </c>
      <c r="T17" s="879">
        <v>1780</v>
      </c>
      <c r="U17" s="879">
        <v>2358</v>
      </c>
      <c r="V17" s="591">
        <v>0</v>
      </c>
      <c r="W17" s="879">
        <v>262</v>
      </c>
      <c r="X17" s="879">
        <v>472</v>
      </c>
      <c r="Y17" s="923">
        <v>4674</v>
      </c>
      <c r="Z17" s="591">
        <v>3252</v>
      </c>
      <c r="AA17" s="879">
        <v>3258</v>
      </c>
      <c r="AB17" s="879">
        <v>3265</v>
      </c>
      <c r="AC17" s="923">
        <v>3265</v>
      </c>
      <c r="AD17" s="591">
        <v>0</v>
      </c>
      <c r="AE17" s="879">
        <v>8031</v>
      </c>
      <c r="AF17" s="879">
        <v>9025</v>
      </c>
      <c r="AG17" s="923">
        <v>9025</v>
      </c>
      <c r="AH17" s="591" t="s">
        <v>1180</v>
      </c>
      <c r="AI17" s="591" t="s">
        <v>1180</v>
      </c>
      <c r="AJ17" s="591" t="s">
        <v>1180</v>
      </c>
      <c r="AK17" s="591" t="s">
        <v>1211</v>
      </c>
      <c r="AL17" s="348"/>
      <c r="AM17" s="924" t="s">
        <v>1161</v>
      </c>
      <c r="AN17" s="924"/>
      <c r="AO17" s="925"/>
      <c r="AP17" s="925"/>
      <c r="AQ17" s="925"/>
      <c r="AR17" s="925"/>
      <c r="AS17" s="925"/>
    </row>
    <row r="18" spans="1:45" ht="14.1" customHeight="1" x14ac:dyDescent="0.2">
      <c r="A18" s="876" t="s">
        <v>1212</v>
      </c>
      <c r="B18" s="875" t="s">
        <v>1213</v>
      </c>
      <c r="C18" s="876"/>
      <c r="D18" s="876" t="s">
        <v>296</v>
      </c>
      <c r="E18" s="876" t="s">
        <v>298</v>
      </c>
      <c r="F18" s="877">
        <v>245</v>
      </c>
      <c r="G18" s="877">
        <v>370</v>
      </c>
      <c r="H18" s="897"/>
      <c r="I18" s="860"/>
      <c r="J18" s="591" t="s">
        <v>1214</v>
      </c>
      <c r="K18" s="591"/>
      <c r="L18" s="591"/>
      <c r="M18" s="591"/>
      <c r="N18" s="591"/>
      <c r="O18" s="591"/>
      <c r="P18" s="591"/>
      <c r="Q18" s="591"/>
      <c r="R18" s="591"/>
      <c r="S18" s="591">
        <f>S17-R17</f>
        <v>1284</v>
      </c>
      <c r="T18" s="879">
        <f>T17-S17</f>
        <v>496</v>
      </c>
      <c r="U18" s="879">
        <f>U17-T17</f>
        <v>578</v>
      </c>
      <c r="V18" s="591">
        <f>V17</f>
        <v>0</v>
      </c>
      <c r="W18" s="879">
        <f>W17-V17</f>
        <v>262</v>
      </c>
      <c r="X18" s="879">
        <f>X17-W17</f>
        <v>210</v>
      </c>
      <c r="Y18" s="923">
        <f>Y17-X17</f>
        <v>4202</v>
      </c>
      <c r="Z18" s="591">
        <f>Z17</f>
        <v>3252</v>
      </c>
      <c r="AA18" s="879">
        <f>AA17-Z17</f>
        <v>6</v>
      </c>
      <c r="AB18" s="879">
        <f>AB17-AA17</f>
        <v>7</v>
      </c>
      <c r="AC18" s="923">
        <f>AC17-AB17</f>
        <v>0</v>
      </c>
      <c r="AD18" s="591">
        <v>0</v>
      </c>
      <c r="AE18" s="879">
        <v>8031</v>
      </c>
      <c r="AF18" s="879">
        <f>AF17-AE17</f>
        <v>994</v>
      </c>
      <c r="AG18" s="923">
        <f>AG17-AF17</f>
        <v>0</v>
      </c>
      <c r="AH18" s="591" t="s">
        <v>1180</v>
      </c>
      <c r="AI18" s="591" t="s">
        <v>1180</v>
      </c>
      <c r="AJ18" s="591" t="s">
        <v>1180</v>
      </c>
      <c r="AK18" s="591" t="s">
        <v>1214</v>
      </c>
      <c r="AL18" s="348"/>
      <c r="AM18" s="673" t="s">
        <v>1215</v>
      </c>
      <c r="AN18" s="673" t="s">
        <v>1175</v>
      </c>
      <c r="AO18" s="379">
        <v>0</v>
      </c>
      <c r="AP18" s="379">
        <v>986</v>
      </c>
      <c r="AQ18" s="379">
        <v>901</v>
      </c>
      <c r="AR18" s="379">
        <v>920</v>
      </c>
      <c r="AS18" s="873">
        <f>SUM(AO18:AR18)</f>
        <v>2807</v>
      </c>
    </row>
    <row r="19" spans="1:45" ht="14.1" customHeight="1" x14ac:dyDescent="0.2">
      <c r="A19" s="891" t="s">
        <v>1216</v>
      </c>
      <c r="B19" s="890" t="s">
        <v>1217</v>
      </c>
      <c r="C19" s="891"/>
      <c r="D19" s="891" t="s">
        <v>1218</v>
      </c>
      <c r="E19" s="891" t="s">
        <v>298</v>
      </c>
      <c r="F19" s="892">
        <v>235</v>
      </c>
      <c r="G19" s="892">
        <v>190</v>
      </c>
      <c r="H19" s="905"/>
      <c r="I19" s="860"/>
      <c r="J19" s="591" t="s">
        <v>1219</v>
      </c>
      <c r="K19" s="591"/>
      <c r="L19" s="591"/>
      <c r="M19" s="591"/>
      <c r="N19" s="591">
        <v>1023</v>
      </c>
      <c r="O19" s="591">
        <v>2022</v>
      </c>
      <c r="P19" s="591">
        <v>1361</v>
      </c>
      <c r="Q19" s="591">
        <v>3027</v>
      </c>
      <c r="R19" s="591"/>
      <c r="S19" s="591">
        <v>643</v>
      </c>
      <c r="T19" s="879">
        <v>719</v>
      </c>
      <c r="U19" s="879">
        <v>1023</v>
      </c>
      <c r="V19" s="591">
        <v>0</v>
      </c>
      <c r="W19" s="879">
        <v>72</v>
      </c>
      <c r="X19" s="879">
        <v>316</v>
      </c>
      <c r="Y19" s="923">
        <v>2022</v>
      </c>
      <c r="Z19" s="591">
        <v>1717</v>
      </c>
      <c r="AA19" s="879">
        <v>1729</v>
      </c>
      <c r="AB19" s="879">
        <v>1361</v>
      </c>
      <c r="AC19" s="923">
        <v>1361</v>
      </c>
      <c r="AD19" s="591">
        <v>0</v>
      </c>
      <c r="AE19" s="879">
        <v>2588</v>
      </c>
      <c r="AF19" s="879">
        <v>3063</v>
      </c>
      <c r="AG19" s="923">
        <v>3027</v>
      </c>
      <c r="AH19" s="591" t="s">
        <v>1180</v>
      </c>
      <c r="AI19" s="591" t="s">
        <v>1180</v>
      </c>
      <c r="AJ19" s="591" t="s">
        <v>1180</v>
      </c>
      <c r="AK19" s="591" t="s">
        <v>1219</v>
      </c>
      <c r="AL19" s="348"/>
      <c r="AM19" s="325"/>
      <c r="AN19" s="325" t="s">
        <v>1178</v>
      </c>
      <c r="AO19" s="881">
        <v>0</v>
      </c>
      <c r="AP19" s="881">
        <v>967.47390396659716</v>
      </c>
      <c r="AQ19" s="881">
        <v>836.58386801099914</v>
      </c>
      <c r="AR19" s="881">
        <v>854.22548120989927</v>
      </c>
      <c r="AS19" s="882">
        <f>SUM(AO19:AR19)</f>
        <v>2658.2832531874956</v>
      </c>
    </row>
    <row r="20" spans="1:45" ht="14.1" customHeight="1" x14ac:dyDescent="0.2">
      <c r="A20" s="906" t="s">
        <v>1220</v>
      </c>
      <c r="B20" s="907" t="s">
        <v>1221</v>
      </c>
      <c r="C20" s="906"/>
      <c r="D20" s="906" t="s">
        <v>296</v>
      </c>
      <c r="E20" s="906"/>
      <c r="F20" s="908">
        <v>27</v>
      </c>
      <c r="G20" s="908">
        <v>25</v>
      </c>
      <c r="H20" s="909"/>
      <c r="I20" s="860"/>
      <c r="J20" s="591" t="s">
        <v>1222</v>
      </c>
      <c r="K20" s="591"/>
      <c r="L20" s="591"/>
      <c r="M20" s="591"/>
      <c r="N20" s="591"/>
      <c r="O20" s="591"/>
      <c r="P20" s="591"/>
      <c r="Q20" s="591"/>
      <c r="R20" s="591"/>
      <c r="S20" s="591">
        <f>S19-R19</f>
        <v>643</v>
      </c>
      <c r="T20" s="879">
        <f>T19-S19</f>
        <v>76</v>
      </c>
      <c r="U20" s="879">
        <f>U19-T19</f>
        <v>304</v>
      </c>
      <c r="V20" s="591">
        <f>V19</f>
        <v>0</v>
      </c>
      <c r="W20" s="879">
        <f>W19-V19</f>
        <v>72</v>
      </c>
      <c r="X20" s="879">
        <f>X19-W19</f>
        <v>244</v>
      </c>
      <c r="Y20" s="923">
        <f>Y19-X19</f>
        <v>1706</v>
      </c>
      <c r="Z20" s="591">
        <f>Z19</f>
        <v>1717</v>
      </c>
      <c r="AA20" s="879">
        <f>AA19-Z19</f>
        <v>12</v>
      </c>
      <c r="AB20" s="879">
        <f>AB19-AA19</f>
        <v>-368</v>
      </c>
      <c r="AC20" s="923">
        <f>AC19-AB19</f>
        <v>0</v>
      </c>
      <c r="AD20" s="591">
        <v>0</v>
      </c>
      <c r="AE20" s="879">
        <v>2588</v>
      </c>
      <c r="AF20" s="879">
        <f>AF19-AE19</f>
        <v>475</v>
      </c>
      <c r="AG20" s="923">
        <f>AG19-AF19</f>
        <v>-36</v>
      </c>
      <c r="AH20" s="591" t="s">
        <v>1180</v>
      </c>
      <c r="AI20" s="591" t="s">
        <v>1180</v>
      </c>
      <c r="AJ20" s="591" t="s">
        <v>1180</v>
      </c>
      <c r="AK20" s="591" t="s">
        <v>1222</v>
      </c>
      <c r="AL20" s="348"/>
      <c r="AM20" s="673" t="s">
        <v>1223</v>
      </c>
      <c r="AN20" s="673" t="s">
        <v>1175</v>
      </c>
      <c r="AO20" s="379">
        <v>0</v>
      </c>
      <c r="AP20" s="926">
        <v>51</v>
      </c>
      <c r="AQ20" s="379">
        <v>-10</v>
      </c>
      <c r="AR20" s="379">
        <v>-44</v>
      </c>
      <c r="AS20" s="873">
        <f>SUM(AO20:AR20)</f>
        <v>-3</v>
      </c>
    </row>
    <row r="21" spans="1:45" ht="14.1" customHeight="1" x14ac:dyDescent="0.2">
      <c r="A21" s="876" t="s">
        <v>1224</v>
      </c>
      <c r="B21" s="875" t="s">
        <v>1225</v>
      </c>
      <c r="C21" s="876"/>
      <c r="D21" s="876" t="s">
        <v>296</v>
      </c>
      <c r="E21" s="876"/>
      <c r="F21" s="877">
        <v>60</v>
      </c>
      <c r="G21" s="877">
        <v>50</v>
      </c>
      <c r="H21" s="897"/>
      <c r="I21" s="860"/>
      <c r="J21" s="591" t="s">
        <v>1226</v>
      </c>
      <c r="K21" s="591"/>
      <c r="L21" s="591"/>
      <c r="M21" s="591"/>
      <c r="N21" s="591">
        <v>1877</v>
      </c>
      <c r="O21" s="591">
        <v>3798</v>
      </c>
      <c r="P21" s="591">
        <v>2848</v>
      </c>
      <c r="Q21" s="591">
        <v>6100</v>
      </c>
      <c r="R21" s="591"/>
      <c r="S21" s="591">
        <v>1099</v>
      </c>
      <c r="T21" s="879">
        <v>1396</v>
      </c>
      <c r="U21" s="879">
        <v>1877</v>
      </c>
      <c r="V21" s="591">
        <v>0</v>
      </c>
      <c r="W21" s="879">
        <v>174</v>
      </c>
      <c r="X21" s="879">
        <v>590</v>
      </c>
      <c r="Y21" s="923">
        <v>3798</v>
      </c>
      <c r="Z21" s="591">
        <v>2393</v>
      </c>
      <c r="AA21" s="879">
        <v>2853</v>
      </c>
      <c r="AB21" s="879">
        <v>2868</v>
      </c>
      <c r="AC21" s="923">
        <v>2848</v>
      </c>
      <c r="AD21" s="591">
        <v>0</v>
      </c>
      <c r="AE21" s="879">
        <v>4099</v>
      </c>
      <c r="AF21" s="879">
        <v>5786</v>
      </c>
      <c r="AG21" s="923">
        <v>6100</v>
      </c>
      <c r="AH21" s="591" t="s">
        <v>1180</v>
      </c>
      <c r="AI21" s="591" t="s">
        <v>1180</v>
      </c>
      <c r="AJ21" s="591" t="s">
        <v>1180</v>
      </c>
      <c r="AK21" s="591" t="s">
        <v>1226</v>
      </c>
      <c r="AL21" s="348"/>
      <c r="AM21" s="325"/>
      <c r="AN21" s="325" t="s">
        <v>1178</v>
      </c>
      <c r="AO21" s="881">
        <v>0</v>
      </c>
      <c r="AP21" s="881">
        <v>50.04175365344468</v>
      </c>
      <c r="AQ21" s="881">
        <v>-9.28505957836847</v>
      </c>
      <c r="AR21" s="881">
        <v>-40.85426214482127</v>
      </c>
      <c r="AS21" s="882">
        <f>SUM(AO21:AR21)</f>
        <v>-9.7568069745058494E-2</v>
      </c>
    </row>
    <row r="22" spans="1:45" ht="14.1" customHeight="1" x14ac:dyDescent="0.2">
      <c r="A22" s="876" t="s">
        <v>1227</v>
      </c>
      <c r="B22" s="875" t="s">
        <v>1228</v>
      </c>
      <c r="C22" s="876"/>
      <c r="D22" s="876" t="s">
        <v>299</v>
      </c>
      <c r="E22" s="876"/>
      <c r="F22" s="877">
        <v>210</v>
      </c>
      <c r="G22" s="877">
        <v>60</v>
      </c>
      <c r="H22" s="897"/>
      <c r="I22" s="860"/>
      <c r="J22" s="591" t="s">
        <v>1229</v>
      </c>
      <c r="K22" s="591"/>
      <c r="L22" s="591"/>
      <c r="M22" s="591"/>
      <c r="N22" s="591"/>
      <c r="O22" s="591"/>
      <c r="P22" s="591"/>
      <c r="Q22" s="591"/>
      <c r="R22" s="591"/>
      <c r="S22" s="591">
        <f>S21-R21</f>
        <v>1099</v>
      </c>
      <c r="T22" s="879">
        <f>T21-S21</f>
        <v>297</v>
      </c>
      <c r="U22" s="879">
        <f>U21-T21</f>
        <v>481</v>
      </c>
      <c r="V22" s="591">
        <f>V21</f>
        <v>0</v>
      </c>
      <c r="W22" s="879">
        <f>W21-V21</f>
        <v>174</v>
      </c>
      <c r="X22" s="879">
        <f>X21-W21</f>
        <v>416</v>
      </c>
      <c r="Y22" s="923">
        <f>Y21-X21</f>
        <v>3208</v>
      </c>
      <c r="Z22" s="591">
        <f>Z21</f>
        <v>2393</v>
      </c>
      <c r="AA22" s="879">
        <f>AA21-Z21</f>
        <v>460</v>
      </c>
      <c r="AB22" s="879">
        <f>AB21-AA21</f>
        <v>15</v>
      </c>
      <c r="AC22" s="923">
        <f>AC21-AB21</f>
        <v>-20</v>
      </c>
      <c r="AD22" s="591">
        <v>0</v>
      </c>
      <c r="AE22" s="879">
        <v>4099</v>
      </c>
      <c r="AF22" s="879">
        <f>AF21-AE21</f>
        <v>1687</v>
      </c>
      <c r="AG22" s="923">
        <f>AG21-AF21</f>
        <v>314</v>
      </c>
      <c r="AH22" s="591" t="s">
        <v>1180</v>
      </c>
      <c r="AI22" s="591" t="s">
        <v>1180</v>
      </c>
      <c r="AJ22" s="591" t="s">
        <v>1180</v>
      </c>
      <c r="AK22" s="591" t="s">
        <v>1229</v>
      </c>
      <c r="AL22" s="348"/>
      <c r="AM22" s="673"/>
      <c r="AN22" s="673"/>
      <c r="AO22" s="673"/>
      <c r="AP22" s="673"/>
      <c r="AQ22" s="673"/>
      <c r="AR22" s="673"/>
      <c r="AS22" s="673"/>
    </row>
    <row r="23" spans="1:45" ht="14.1" customHeight="1" x14ac:dyDescent="0.2">
      <c r="A23" s="876" t="s">
        <v>1230</v>
      </c>
      <c r="B23" s="875" t="s">
        <v>1231</v>
      </c>
      <c r="C23" s="876"/>
      <c r="D23" s="876" t="s">
        <v>296</v>
      </c>
      <c r="E23" s="876"/>
      <c r="F23" s="877">
        <v>65</v>
      </c>
      <c r="G23" s="877">
        <v>120</v>
      </c>
      <c r="H23" s="897"/>
      <c r="I23" s="860"/>
      <c r="J23" s="591"/>
      <c r="K23" s="591"/>
      <c r="L23" s="591"/>
      <c r="M23" s="591"/>
      <c r="N23" s="591"/>
      <c r="O23" s="591"/>
      <c r="P23" s="591"/>
      <c r="Q23" s="591"/>
      <c r="R23" s="591"/>
      <c r="S23" s="591"/>
      <c r="T23" s="591"/>
      <c r="U23" s="594"/>
      <c r="V23" s="591"/>
      <c r="W23" s="591"/>
      <c r="X23" s="591"/>
      <c r="Y23" s="594"/>
      <c r="Z23" s="591"/>
      <c r="AA23" s="591"/>
      <c r="AB23" s="591"/>
      <c r="AC23" s="594"/>
      <c r="AD23" s="591"/>
      <c r="AE23" s="879"/>
      <c r="AF23" s="879"/>
      <c r="AG23" s="923"/>
      <c r="AH23" s="591"/>
      <c r="AI23" s="591"/>
      <c r="AJ23" s="591"/>
      <c r="AK23" s="591"/>
      <c r="AL23" s="348"/>
      <c r="AM23" s="674"/>
      <c r="AN23" s="673"/>
      <c r="AO23" s="673"/>
      <c r="AP23" s="673"/>
      <c r="AQ23" s="673"/>
      <c r="AR23" s="673"/>
      <c r="AS23" s="673"/>
    </row>
    <row r="24" spans="1:45" ht="14.1" customHeight="1" x14ac:dyDescent="0.2">
      <c r="A24" s="876" t="s">
        <v>1232</v>
      </c>
      <c r="B24" s="875" t="s">
        <v>1233</v>
      </c>
      <c r="C24" s="876"/>
      <c r="D24" s="876" t="s">
        <v>296</v>
      </c>
      <c r="E24" s="876"/>
      <c r="F24" s="877">
        <v>335</v>
      </c>
      <c r="G24" s="877">
        <v>240</v>
      </c>
      <c r="H24" s="897"/>
      <c r="I24" s="860"/>
      <c r="J24" s="920" t="s">
        <v>1234</v>
      </c>
      <c r="K24" s="921"/>
      <c r="L24" s="921"/>
      <c r="M24" s="921"/>
      <c r="N24" s="921"/>
      <c r="O24" s="921"/>
      <c r="P24" s="921"/>
      <c r="Q24" s="921"/>
      <c r="R24" s="591"/>
      <c r="S24" s="921"/>
      <c r="T24" s="921"/>
      <c r="U24" s="922"/>
      <c r="V24" s="921"/>
      <c r="W24" s="921"/>
      <c r="X24" s="921"/>
      <c r="Y24" s="922"/>
      <c r="Z24" s="921"/>
      <c r="AA24" s="921"/>
      <c r="AB24" s="921"/>
      <c r="AC24" s="922"/>
      <c r="AD24" s="921"/>
      <c r="AE24" s="921"/>
      <c r="AF24" s="921"/>
      <c r="AG24" s="922"/>
      <c r="AH24" s="921"/>
      <c r="AI24" s="921"/>
      <c r="AJ24" s="921"/>
      <c r="AK24" s="920" t="s">
        <v>1234</v>
      </c>
      <c r="AL24" s="348"/>
      <c r="AM24" s="927"/>
      <c r="AN24" s="927"/>
      <c r="AO24" s="928"/>
      <c r="AP24" s="928"/>
      <c r="AQ24" s="928"/>
      <c r="AR24" s="928"/>
      <c r="AS24" s="927"/>
    </row>
    <row r="25" spans="1:45" ht="14.1" customHeight="1" x14ac:dyDescent="0.2">
      <c r="A25" s="876" t="s">
        <v>1235</v>
      </c>
      <c r="B25" s="875" t="s">
        <v>1236</v>
      </c>
      <c r="C25" s="876"/>
      <c r="D25" s="876" t="s">
        <v>296</v>
      </c>
      <c r="E25" s="876"/>
      <c r="F25" s="877">
        <v>110</v>
      </c>
      <c r="G25" s="877">
        <v>50</v>
      </c>
      <c r="H25" s="897"/>
      <c r="I25" s="860"/>
      <c r="J25" s="591" t="s">
        <v>342</v>
      </c>
      <c r="K25" s="591"/>
      <c r="L25" s="591"/>
      <c r="M25" s="591"/>
      <c r="N25" s="591"/>
      <c r="O25" s="591"/>
      <c r="P25" s="591"/>
      <c r="Q25" s="591"/>
      <c r="R25" s="591"/>
      <c r="S25" s="591"/>
      <c r="T25" s="591"/>
      <c r="U25" s="594"/>
      <c r="V25" s="591"/>
      <c r="W25" s="591"/>
      <c r="X25" s="591"/>
      <c r="Y25" s="594"/>
      <c r="Z25" s="591"/>
      <c r="AA25" s="591"/>
      <c r="AB25" s="591"/>
      <c r="AC25" s="594">
        <v>3</v>
      </c>
      <c r="AD25" s="591">
        <v>1</v>
      </c>
      <c r="AE25" s="929">
        <v>0.2</v>
      </c>
      <c r="AF25" s="929">
        <v>0.2</v>
      </c>
      <c r="AG25" s="930">
        <v>0</v>
      </c>
      <c r="AH25" s="591">
        <v>0</v>
      </c>
      <c r="AI25" s="591">
        <v>0</v>
      </c>
      <c r="AJ25" s="591">
        <v>0</v>
      </c>
      <c r="AK25" s="591" t="s">
        <v>342</v>
      </c>
      <c r="AL25" s="348"/>
      <c r="AM25" s="348"/>
      <c r="AN25" s="348"/>
      <c r="AO25" s="673"/>
      <c r="AP25" s="931"/>
      <c r="AQ25" s="931"/>
      <c r="AR25" s="931"/>
      <c r="AS25" s="673"/>
    </row>
    <row r="26" spans="1:45" ht="14.1" customHeight="1" x14ac:dyDescent="0.2">
      <c r="A26" s="876" t="s">
        <v>1237</v>
      </c>
      <c r="B26" s="875" t="s">
        <v>1238</v>
      </c>
      <c r="C26" s="876"/>
      <c r="D26" s="876" t="s">
        <v>296</v>
      </c>
      <c r="E26" s="876"/>
      <c r="F26" s="877">
        <v>195</v>
      </c>
      <c r="G26" s="877">
        <v>180</v>
      </c>
      <c r="H26" s="897"/>
      <c r="I26" s="860"/>
      <c r="J26" s="591" t="s">
        <v>1239</v>
      </c>
      <c r="K26" s="591"/>
      <c r="L26" s="591"/>
      <c r="M26" s="591"/>
      <c r="N26" s="591"/>
      <c r="O26" s="591"/>
      <c r="P26" s="591"/>
      <c r="Q26" s="591"/>
      <c r="R26" s="591"/>
      <c r="S26" s="591"/>
      <c r="T26" s="591"/>
      <c r="U26" s="594"/>
      <c r="V26" s="591"/>
      <c r="W26" s="591"/>
      <c r="X26" s="591"/>
      <c r="Y26" s="594"/>
      <c r="Z26" s="591"/>
      <c r="AA26" s="591"/>
      <c r="AB26" s="591"/>
      <c r="AC26" s="594">
        <v>13</v>
      </c>
      <c r="AD26" s="591">
        <v>14</v>
      </c>
      <c r="AE26" s="929">
        <v>31</v>
      </c>
      <c r="AF26" s="929">
        <v>28</v>
      </c>
      <c r="AG26" s="930">
        <v>35</v>
      </c>
      <c r="AH26" s="591">
        <v>32</v>
      </c>
      <c r="AI26" s="591">
        <v>2</v>
      </c>
      <c r="AJ26" s="591">
        <v>1</v>
      </c>
      <c r="AK26" s="591" t="s">
        <v>1239</v>
      </c>
      <c r="AL26" s="348"/>
      <c r="AM26" s="348"/>
      <c r="AN26" s="348"/>
      <c r="AO26" s="673"/>
      <c r="AP26" s="931"/>
      <c r="AQ26" s="931"/>
      <c r="AR26" s="931"/>
      <c r="AS26" s="673"/>
    </row>
    <row r="27" spans="1:45" ht="14.1" customHeight="1" x14ac:dyDescent="0.2">
      <c r="A27" s="891" t="s">
        <v>1240</v>
      </c>
      <c r="B27" s="890" t="s">
        <v>1241</v>
      </c>
      <c r="C27" s="891"/>
      <c r="D27" s="891" t="s">
        <v>296</v>
      </c>
      <c r="E27" s="891"/>
      <c r="F27" s="892">
        <v>135</v>
      </c>
      <c r="G27" s="892">
        <v>200</v>
      </c>
      <c r="H27" s="905"/>
      <c r="I27" s="860"/>
      <c r="J27" s="932" t="s">
        <v>303</v>
      </c>
      <c r="K27" s="591"/>
      <c r="L27" s="591"/>
      <c r="M27" s="591"/>
      <c r="N27" s="591"/>
      <c r="O27" s="591"/>
      <c r="P27" s="591"/>
      <c r="Q27" s="591"/>
      <c r="R27" s="591"/>
      <c r="S27" s="591"/>
      <c r="T27" s="591"/>
      <c r="U27" s="594"/>
      <c r="V27" s="591"/>
      <c r="W27" s="591"/>
      <c r="X27" s="591"/>
      <c r="Y27" s="594"/>
      <c r="Z27" s="591"/>
      <c r="AA27" s="591"/>
      <c r="AB27" s="591"/>
      <c r="AC27" s="933">
        <v>5</v>
      </c>
      <c r="AD27" s="932">
        <v>2</v>
      </c>
      <c r="AE27" s="934">
        <v>7</v>
      </c>
      <c r="AF27" s="934">
        <v>6</v>
      </c>
      <c r="AG27" s="935">
        <v>7</v>
      </c>
      <c r="AH27" s="932">
        <v>7</v>
      </c>
      <c r="AI27" s="932">
        <v>0</v>
      </c>
      <c r="AJ27" s="932">
        <v>0</v>
      </c>
      <c r="AK27" s="932" t="s">
        <v>303</v>
      </c>
      <c r="AL27" s="348"/>
      <c r="AM27" s="348"/>
      <c r="AN27" s="348"/>
      <c r="AO27" s="673"/>
      <c r="AP27" s="931"/>
      <c r="AQ27" s="931"/>
      <c r="AR27" s="931"/>
      <c r="AS27" s="673"/>
    </row>
    <row r="28" spans="1:45" ht="14.1" customHeight="1" x14ac:dyDescent="0.2">
      <c r="A28" s="868" t="s">
        <v>1242</v>
      </c>
      <c r="B28" s="868" t="s">
        <v>1243</v>
      </c>
      <c r="C28" s="868"/>
      <c r="D28" s="868" t="s">
        <v>296</v>
      </c>
      <c r="E28" s="868"/>
      <c r="F28" s="869"/>
      <c r="G28" s="869">
        <v>-2</v>
      </c>
      <c r="H28" s="936"/>
      <c r="I28" s="860"/>
      <c r="J28" s="348"/>
      <c r="K28" s="348"/>
      <c r="L28" s="348"/>
      <c r="M28" s="348"/>
      <c r="N28" s="348"/>
      <c r="O28" s="348"/>
      <c r="P28" s="348"/>
      <c r="Q28" s="348"/>
      <c r="R28" s="348"/>
      <c r="S28" s="348"/>
      <c r="T28" s="348"/>
      <c r="U28" s="353"/>
      <c r="V28" s="348"/>
      <c r="W28" s="348"/>
      <c r="X28" s="348"/>
      <c r="Y28" s="353"/>
      <c r="Z28" s="348"/>
      <c r="AA28" s="348"/>
      <c r="AB28" s="348"/>
      <c r="AC28" s="353"/>
      <c r="AD28" s="348"/>
      <c r="AE28" s="348"/>
      <c r="AF28" s="348"/>
      <c r="AG28" s="353"/>
      <c r="AH28" s="348"/>
      <c r="AI28" s="348"/>
      <c r="AJ28" s="348"/>
      <c r="AK28" s="348"/>
      <c r="AL28" s="348"/>
      <c r="AM28" s="348"/>
      <c r="AN28" s="348"/>
      <c r="AO28" s="673"/>
      <c r="AP28" s="931"/>
      <c r="AQ28" s="931"/>
      <c r="AR28" s="931"/>
      <c r="AS28" s="673"/>
    </row>
    <row r="29" spans="1:45" ht="14.1" customHeight="1" x14ac:dyDescent="0.2">
      <c r="A29" s="906" t="s">
        <v>1244</v>
      </c>
      <c r="B29" s="906"/>
      <c r="C29" s="906" t="s">
        <v>1245</v>
      </c>
      <c r="D29" s="906" t="s">
        <v>299</v>
      </c>
      <c r="E29" s="906"/>
      <c r="F29" s="908"/>
      <c r="G29" s="908">
        <v>-40</v>
      </c>
      <c r="H29" s="909"/>
      <c r="I29" s="860"/>
      <c r="J29" s="348"/>
      <c r="K29" s="348"/>
      <c r="L29" s="348"/>
      <c r="M29" s="348"/>
      <c r="N29" s="348"/>
      <c r="O29" s="348"/>
      <c r="P29" s="348"/>
      <c r="Q29" s="348"/>
      <c r="R29" s="348"/>
      <c r="S29" s="348"/>
      <c r="T29" s="348"/>
      <c r="U29" s="353"/>
      <c r="V29" s="348"/>
      <c r="W29" s="348"/>
      <c r="X29" s="348"/>
      <c r="Y29" s="353"/>
      <c r="Z29" s="348"/>
      <c r="AA29" s="348"/>
      <c r="AB29" s="348"/>
      <c r="AC29" s="353"/>
      <c r="AD29" s="348"/>
      <c r="AE29" s="348"/>
      <c r="AF29" s="348"/>
      <c r="AG29" s="353"/>
      <c r="AH29" s="348"/>
      <c r="AI29" s="348"/>
      <c r="AJ29" s="348"/>
      <c r="AK29" s="348"/>
      <c r="AL29" s="348"/>
      <c r="AM29" s="673"/>
      <c r="AN29" s="348"/>
      <c r="AO29" s="931"/>
      <c r="AP29" s="931"/>
      <c r="AQ29" s="931"/>
      <c r="AR29" s="931"/>
      <c r="AS29" s="673"/>
    </row>
    <row r="30" spans="1:45" ht="14.1" customHeight="1" x14ac:dyDescent="0.2">
      <c r="A30" s="876" t="s">
        <v>1246</v>
      </c>
      <c r="B30" s="876"/>
      <c r="C30" s="875" t="s">
        <v>1247</v>
      </c>
      <c r="D30" s="876" t="s">
        <v>299</v>
      </c>
      <c r="E30" s="876"/>
      <c r="F30" s="877">
        <v>-275</v>
      </c>
      <c r="G30" s="877">
        <v>-40</v>
      </c>
      <c r="H30" s="897"/>
      <c r="I30" s="860"/>
      <c r="J30" s="348"/>
      <c r="K30" s="348"/>
      <c r="L30" s="348"/>
      <c r="M30" s="348"/>
      <c r="N30" s="348"/>
      <c r="O30" s="348"/>
      <c r="P30" s="348"/>
      <c r="Q30" s="348"/>
      <c r="R30" s="348"/>
      <c r="S30" s="348"/>
      <c r="T30" s="348"/>
      <c r="U30" s="353"/>
      <c r="V30" s="348"/>
      <c r="W30" s="348"/>
      <c r="X30" s="348"/>
      <c r="Y30" s="353"/>
      <c r="Z30" s="348"/>
      <c r="AA30" s="348"/>
      <c r="AB30" s="348"/>
      <c r="AC30" s="353"/>
      <c r="AD30" s="348"/>
      <c r="AE30" s="348"/>
      <c r="AF30" s="348"/>
      <c r="AG30" s="353"/>
      <c r="AH30" s="348"/>
      <c r="AI30" s="348"/>
      <c r="AJ30" s="348"/>
      <c r="AK30" s="348"/>
      <c r="AL30" s="348"/>
      <c r="AM30" s="673"/>
      <c r="AN30" s="673"/>
      <c r="AO30" s="673"/>
      <c r="AP30" s="673"/>
      <c r="AQ30" s="673"/>
      <c r="AR30" s="673"/>
      <c r="AS30" s="673"/>
    </row>
    <row r="31" spans="1:45" ht="14.1" customHeight="1" x14ac:dyDescent="0.2">
      <c r="A31" s="876" t="s">
        <v>1248</v>
      </c>
      <c r="B31" s="875" t="s">
        <v>1249</v>
      </c>
      <c r="C31" s="876" t="s">
        <v>195</v>
      </c>
      <c r="D31" s="876" t="s">
        <v>299</v>
      </c>
      <c r="E31" s="876"/>
      <c r="F31" s="877">
        <v>645</v>
      </c>
      <c r="G31" s="877">
        <v>900</v>
      </c>
      <c r="H31" s="897"/>
      <c r="I31" s="860"/>
      <c r="J31" s="348"/>
      <c r="K31" s="348"/>
      <c r="L31" s="348"/>
      <c r="M31" s="348"/>
      <c r="N31" s="348"/>
      <c r="O31" s="348"/>
      <c r="P31" s="348"/>
      <c r="Q31" s="348"/>
      <c r="R31" s="348"/>
      <c r="S31" s="348"/>
      <c r="T31" s="348"/>
      <c r="U31" s="353"/>
      <c r="V31" s="348"/>
      <c r="W31" s="348"/>
      <c r="X31" s="348"/>
      <c r="Y31" s="353"/>
      <c r="Z31" s="348"/>
      <c r="AA31" s="348"/>
      <c r="AB31" s="348"/>
      <c r="AC31" s="353"/>
      <c r="AD31" s="348"/>
      <c r="AE31" s="348"/>
      <c r="AF31" s="348"/>
      <c r="AG31" s="353"/>
      <c r="AH31" s="348"/>
      <c r="AI31" s="348"/>
      <c r="AJ31" s="348"/>
      <c r="AK31" s="348"/>
      <c r="AL31" s="348"/>
      <c r="AM31" s="673"/>
      <c r="AN31" s="673"/>
      <c r="AO31" s="673"/>
      <c r="AP31" s="673"/>
      <c r="AQ31" s="673"/>
      <c r="AR31" s="673"/>
      <c r="AS31" s="673"/>
    </row>
    <row r="32" spans="1:45" ht="14.1" customHeight="1" x14ac:dyDescent="0.2">
      <c r="A32" s="876" t="s">
        <v>1250</v>
      </c>
      <c r="B32" s="875" t="s">
        <v>1251</v>
      </c>
      <c r="C32" s="876" t="s">
        <v>195</v>
      </c>
      <c r="D32" s="876" t="s">
        <v>296</v>
      </c>
      <c r="E32" s="876"/>
      <c r="F32" s="877"/>
      <c r="G32" s="877">
        <v>8</v>
      </c>
      <c r="H32" s="897"/>
      <c r="I32" s="860"/>
      <c r="J32" s="348"/>
      <c r="K32" s="348"/>
      <c r="L32" s="348"/>
      <c r="M32" s="348"/>
      <c r="N32" s="348"/>
      <c r="O32" s="348"/>
      <c r="P32" s="348"/>
      <c r="Q32" s="348"/>
      <c r="R32" s="348"/>
      <c r="S32" s="348"/>
      <c r="T32" s="348"/>
      <c r="U32" s="353"/>
      <c r="V32" s="348"/>
      <c r="W32" s="348"/>
      <c r="X32" s="348"/>
      <c r="Y32" s="353"/>
      <c r="Z32" s="348"/>
      <c r="AA32" s="348"/>
      <c r="AB32" s="348"/>
      <c r="AC32" s="353"/>
      <c r="AD32" s="348"/>
      <c r="AE32" s="348"/>
      <c r="AF32" s="348"/>
      <c r="AG32" s="353"/>
      <c r="AH32" s="348"/>
      <c r="AI32" s="348"/>
      <c r="AJ32" s="348"/>
      <c r="AK32" s="348"/>
      <c r="AL32" s="348"/>
      <c r="AM32" s="674"/>
      <c r="AN32" s="927"/>
      <c r="AO32" s="928"/>
      <c r="AP32" s="928"/>
      <c r="AQ32" s="928"/>
      <c r="AR32" s="928"/>
      <c r="AS32" s="928"/>
    </row>
    <row r="33" spans="1:45" ht="14.1" customHeight="1" x14ac:dyDescent="0.2">
      <c r="A33" s="891" t="s">
        <v>1252</v>
      </c>
      <c r="B33" s="890" t="s">
        <v>1253</v>
      </c>
      <c r="C33" s="891" t="s">
        <v>195</v>
      </c>
      <c r="D33" s="891" t="s">
        <v>299</v>
      </c>
      <c r="E33" s="891"/>
      <c r="F33" s="892">
        <v>580</v>
      </c>
      <c r="G33" s="892">
        <v>250</v>
      </c>
      <c r="H33" s="905"/>
      <c r="I33" s="860"/>
      <c r="J33" s="348"/>
      <c r="K33" s="348"/>
      <c r="L33" s="348"/>
      <c r="M33" s="348"/>
      <c r="N33" s="348"/>
      <c r="O33" s="348"/>
      <c r="P33" s="348"/>
      <c r="Q33" s="348"/>
      <c r="R33" s="348"/>
      <c r="S33" s="348"/>
      <c r="T33" s="348"/>
      <c r="U33" s="353"/>
      <c r="V33" s="348"/>
      <c r="W33" s="348"/>
      <c r="X33" s="348"/>
      <c r="Y33" s="353"/>
      <c r="Z33" s="348"/>
      <c r="AA33" s="348"/>
      <c r="AB33" s="348"/>
      <c r="AC33" s="353"/>
      <c r="AD33" s="348"/>
      <c r="AE33" s="348"/>
      <c r="AF33" s="937"/>
      <c r="AG33" s="652"/>
      <c r="AH33" s="348"/>
      <c r="AI33" s="348"/>
      <c r="AJ33" s="348"/>
      <c r="AK33" s="348"/>
      <c r="AL33" s="348"/>
      <c r="AM33" s="673"/>
      <c r="AN33" s="673"/>
      <c r="AO33" s="673"/>
      <c r="AP33" s="379"/>
      <c r="AQ33" s="379"/>
      <c r="AR33" s="379"/>
      <c r="AS33" s="379"/>
    </row>
    <row r="34" spans="1:45" ht="14.1" customHeight="1" x14ac:dyDescent="0.2">
      <c r="A34" s="906" t="s">
        <v>1254</v>
      </c>
      <c r="B34" s="907" t="s">
        <v>1255</v>
      </c>
      <c r="C34" s="906" t="s">
        <v>195</v>
      </c>
      <c r="D34" s="906" t="s">
        <v>296</v>
      </c>
      <c r="E34" s="906"/>
      <c r="F34" s="908"/>
      <c r="G34" s="908">
        <v>6</v>
      </c>
      <c r="H34" s="909"/>
      <c r="I34" s="860"/>
      <c r="J34" s="348"/>
      <c r="K34" s="348"/>
      <c r="L34" s="348"/>
      <c r="M34" s="348"/>
      <c r="N34" s="348"/>
      <c r="O34" s="348"/>
      <c r="P34" s="348"/>
      <c r="Q34" s="348"/>
      <c r="R34" s="348"/>
      <c r="S34" s="348"/>
      <c r="T34" s="348"/>
      <c r="U34" s="353"/>
      <c r="V34" s="348"/>
      <c r="W34" s="348"/>
      <c r="X34" s="348"/>
      <c r="Y34" s="353"/>
      <c r="Z34" s="348"/>
      <c r="AA34" s="348"/>
      <c r="AB34" s="348"/>
      <c r="AC34" s="353"/>
      <c r="AD34" s="348"/>
      <c r="AE34" s="348"/>
      <c r="AF34" s="348"/>
      <c r="AG34" s="353"/>
      <c r="AH34" s="348"/>
      <c r="AI34" s="348"/>
      <c r="AJ34" s="348"/>
      <c r="AK34" s="348"/>
      <c r="AL34" s="348"/>
      <c r="AM34" s="673"/>
      <c r="AN34" s="673"/>
      <c r="AO34" s="673"/>
      <c r="AP34" s="379"/>
      <c r="AQ34" s="379"/>
      <c r="AR34" s="379"/>
      <c r="AS34" s="379"/>
    </row>
    <row r="35" spans="1:45" ht="14.1" customHeight="1" x14ac:dyDescent="0.2">
      <c r="A35" s="876" t="s">
        <v>1256</v>
      </c>
      <c r="B35" s="875" t="s">
        <v>1257</v>
      </c>
      <c r="C35" s="876" t="s">
        <v>195</v>
      </c>
      <c r="D35" s="876" t="s">
        <v>296</v>
      </c>
      <c r="E35" s="876"/>
      <c r="F35" s="877">
        <v>55</v>
      </c>
      <c r="G35" s="877"/>
      <c r="H35" s="919">
        <v>0.34</v>
      </c>
      <c r="I35" s="860"/>
      <c r="J35" s="348"/>
      <c r="K35" s="348"/>
      <c r="L35" s="348"/>
      <c r="M35" s="348"/>
      <c r="N35" s="348"/>
      <c r="O35" s="348"/>
      <c r="P35" s="348"/>
      <c r="Q35" s="348"/>
      <c r="R35" s="348"/>
      <c r="S35" s="348"/>
      <c r="T35" s="348"/>
      <c r="U35" s="353"/>
      <c r="V35" s="348"/>
      <c r="W35" s="348"/>
      <c r="X35" s="348"/>
      <c r="Y35" s="353"/>
      <c r="Z35" s="348"/>
      <c r="AA35" s="348"/>
      <c r="AB35" s="348"/>
      <c r="AC35" s="353"/>
      <c r="AD35" s="348"/>
      <c r="AE35" s="348"/>
      <c r="AF35" s="348"/>
      <c r="AG35" s="353"/>
      <c r="AH35" s="348"/>
      <c r="AI35" s="348"/>
      <c r="AJ35" s="348"/>
      <c r="AK35" s="348"/>
      <c r="AL35" s="348"/>
      <c r="AM35" s="673"/>
      <c r="AN35" s="673"/>
      <c r="AO35" s="673"/>
      <c r="AP35" s="379"/>
      <c r="AQ35" s="379"/>
      <c r="AR35" s="379"/>
      <c r="AS35" s="379"/>
    </row>
    <row r="36" spans="1:45" ht="14.1" customHeight="1" x14ac:dyDescent="0.2">
      <c r="A36" s="876" t="s">
        <v>1258</v>
      </c>
      <c r="B36" s="875" t="s">
        <v>1259</v>
      </c>
      <c r="C36" s="876" t="s">
        <v>195</v>
      </c>
      <c r="D36" s="876" t="s">
        <v>296</v>
      </c>
      <c r="E36" s="876"/>
      <c r="F36" s="877">
        <v>50</v>
      </c>
      <c r="G36" s="877">
        <v>26</v>
      </c>
      <c r="H36" s="897"/>
      <c r="I36" s="860"/>
      <c r="J36" s="348"/>
      <c r="K36" s="348"/>
      <c r="L36" s="348"/>
      <c r="M36" s="348"/>
      <c r="N36" s="348"/>
      <c r="O36" s="348"/>
      <c r="P36" s="348"/>
      <c r="Q36" s="348"/>
      <c r="R36" s="348"/>
      <c r="S36" s="348"/>
      <c r="T36" s="348"/>
      <c r="U36" s="353"/>
      <c r="V36" s="348"/>
      <c r="W36" s="348"/>
      <c r="X36" s="348"/>
      <c r="Y36" s="353"/>
      <c r="Z36" s="348"/>
      <c r="AA36" s="348"/>
      <c r="AB36" s="348"/>
      <c r="AC36" s="353"/>
      <c r="AD36" s="348"/>
      <c r="AE36" s="348"/>
      <c r="AF36" s="348"/>
      <c r="AG36" s="353"/>
      <c r="AH36" s="348"/>
      <c r="AI36" s="348"/>
      <c r="AJ36" s="348"/>
      <c r="AK36" s="348"/>
      <c r="AL36" s="348"/>
      <c r="AM36" s="927"/>
      <c r="AN36" s="927"/>
      <c r="AO36" s="927"/>
      <c r="AP36" s="938"/>
      <c r="AQ36" s="938"/>
      <c r="AR36" s="938"/>
      <c r="AS36" s="938"/>
    </row>
    <row r="37" spans="1:45" ht="14.1" customHeight="1" x14ac:dyDescent="0.2">
      <c r="A37" s="876" t="s">
        <v>1260</v>
      </c>
      <c r="B37" s="875" t="s">
        <v>1261</v>
      </c>
      <c r="C37" s="876" t="s">
        <v>195</v>
      </c>
      <c r="D37" s="876" t="s">
        <v>296</v>
      </c>
      <c r="E37" s="876"/>
      <c r="F37" s="877">
        <v>90</v>
      </c>
      <c r="G37" s="877">
        <v>37</v>
      </c>
      <c r="H37" s="897"/>
      <c r="I37" s="860"/>
      <c r="J37" s="348"/>
      <c r="K37" s="348"/>
      <c r="L37" s="348"/>
      <c r="M37" s="348"/>
      <c r="N37" s="348"/>
      <c r="O37" s="348"/>
      <c r="P37" s="348"/>
      <c r="Q37" s="348"/>
      <c r="R37" s="348"/>
      <c r="S37" s="348"/>
      <c r="T37" s="348"/>
      <c r="U37" s="353"/>
      <c r="V37" s="348"/>
      <c r="W37" s="348"/>
      <c r="X37" s="348"/>
      <c r="Y37" s="353"/>
      <c r="Z37" s="348"/>
      <c r="AA37" s="348"/>
      <c r="AB37" s="348"/>
      <c r="AC37" s="353"/>
      <c r="AD37" s="348"/>
      <c r="AE37" s="348"/>
      <c r="AF37" s="348"/>
      <c r="AG37" s="353"/>
      <c r="AH37" s="348"/>
      <c r="AI37" s="348"/>
      <c r="AJ37" s="348"/>
      <c r="AK37" s="348"/>
      <c r="AL37" s="348"/>
      <c r="AM37" s="673"/>
      <c r="AN37" s="673"/>
      <c r="AO37" s="673"/>
      <c r="AP37" s="379"/>
      <c r="AQ37" s="379"/>
      <c r="AR37" s="379"/>
      <c r="AS37" s="379"/>
    </row>
    <row r="38" spans="1:45" ht="14.1" customHeight="1" x14ac:dyDescent="0.2">
      <c r="A38" s="876" t="s">
        <v>1260</v>
      </c>
      <c r="B38" s="875" t="s">
        <v>1262</v>
      </c>
      <c r="C38" s="876" t="s">
        <v>195</v>
      </c>
      <c r="D38" s="876" t="s">
        <v>296</v>
      </c>
      <c r="E38" s="876"/>
      <c r="F38" s="877"/>
      <c r="G38" s="877">
        <v>35</v>
      </c>
      <c r="H38" s="897"/>
      <c r="I38" s="860"/>
      <c r="J38" s="348"/>
      <c r="K38" s="348"/>
      <c r="L38" s="348"/>
      <c r="M38" s="348"/>
      <c r="N38" s="348"/>
      <c r="O38" s="348"/>
      <c r="P38" s="348"/>
      <c r="Q38" s="348"/>
      <c r="R38" s="348"/>
      <c r="S38" s="348"/>
      <c r="T38" s="348"/>
      <c r="U38" s="353"/>
      <c r="V38" s="348"/>
      <c r="W38" s="348"/>
      <c r="X38" s="348"/>
      <c r="Y38" s="353"/>
      <c r="Z38" s="348"/>
      <c r="AA38" s="348"/>
      <c r="AB38" s="348"/>
      <c r="AC38" s="353"/>
      <c r="AD38" s="348"/>
      <c r="AE38" s="348"/>
      <c r="AF38" s="348"/>
      <c r="AG38" s="353"/>
      <c r="AH38" s="348"/>
      <c r="AI38" s="348"/>
      <c r="AJ38" s="348"/>
      <c r="AK38" s="348"/>
      <c r="AL38" s="348"/>
      <c r="AM38" s="673"/>
      <c r="AN38" s="673"/>
      <c r="AO38" s="673"/>
      <c r="AP38" s="379"/>
      <c r="AQ38" s="379"/>
      <c r="AR38" s="379"/>
      <c r="AS38" s="379"/>
    </row>
    <row r="39" spans="1:45" ht="14.1" customHeight="1" x14ac:dyDescent="0.2">
      <c r="A39" s="891" t="s">
        <v>1263</v>
      </c>
      <c r="B39" s="890" t="s">
        <v>1264</v>
      </c>
      <c r="C39" s="891" t="s">
        <v>195</v>
      </c>
      <c r="D39" s="891" t="s">
        <v>299</v>
      </c>
      <c r="E39" s="891"/>
      <c r="F39" s="892"/>
      <c r="G39" s="892">
        <v>22</v>
      </c>
      <c r="H39" s="905"/>
      <c r="I39" s="860"/>
      <c r="J39" s="348"/>
      <c r="K39" s="348"/>
      <c r="L39" s="348"/>
      <c r="M39" s="348"/>
      <c r="N39" s="348"/>
      <c r="O39" s="348"/>
      <c r="P39" s="348"/>
      <c r="Q39" s="348"/>
      <c r="R39" s="348"/>
      <c r="S39" s="348"/>
      <c r="T39" s="348"/>
      <c r="U39" s="353"/>
      <c r="V39" s="348"/>
      <c r="W39" s="348"/>
      <c r="X39" s="348"/>
      <c r="Y39" s="353"/>
      <c r="Z39" s="348"/>
      <c r="AA39" s="348"/>
      <c r="AB39" s="348"/>
      <c r="AC39" s="353"/>
      <c r="AD39" s="348"/>
      <c r="AE39" s="348"/>
      <c r="AF39" s="348"/>
      <c r="AG39" s="353"/>
      <c r="AH39" s="348"/>
      <c r="AI39" s="348"/>
      <c r="AJ39" s="348"/>
      <c r="AK39" s="348"/>
      <c r="AL39" s="348"/>
      <c r="AM39" s="673"/>
      <c r="AN39" s="673"/>
      <c r="AO39" s="673"/>
      <c r="AP39" s="379"/>
      <c r="AQ39" s="379"/>
      <c r="AR39" s="379"/>
      <c r="AS39" s="379"/>
    </row>
    <row r="40" spans="1:45" ht="14.1" customHeight="1" x14ac:dyDescent="0.2">
      <c r="A40" s="906" t="s">
        <v>1265</v>
      </c>
      <c r="B40" s="907" t="s">
        <v>1266</v>
      </c>
      <c r="C40" s="906" t="s">
        <v>195</v>
      </c>
      <c r="D40" s="906" t="s">
        <v>296</v>
      </c>
      <c r="E40" s="906"/>
      <c r="F40" s="908">
        <v>30</v>
      </c>
      <c r="G40" s="908"/>
      <c r="H40" s="939">
        <v>1</v>
      </c>
      <c r="I40" s="860"/>
      <c r="J40" s="348"/>
      <c r="K40" s="348"/>
      <c r="L40" s="348"/>
      <c r="M40" s="348"/>
      <c r="N40" s="348"/>
      <c r="O40" s="348"/>
      <c r="P40" s="348"/>
      <c r="Q40" s="348"/>
      <c r="R40" s="348"/>
      <c r="S40" s="348"/>
      <c r="T40" s="348"/>
      <c r="U40" s="353"/>
      <c r="V40" s="348"/>
      <c r="W40" s="348"/>
      <c r="X40" s="348"/>
      <c r="Y40" s="353"/>
      <c r="Z40" s="348"/>
      <c r="AA40" s="348"/>
      <c r="AB40" s="348"/>
      <c r="AC40" s="353"/>
      <c r="AD40" s="348"/>
      <c r="AE40" s="348"/>
      <c r="AF40" s="348"/>
      <c r="AG40" s="353"/>
      <c r="AH40" s="348"/>
      <c r="AI40" s="348"/>
      <c r="AJ40" s="348"/>
      <c r="AK40" s="348"/>
      <c r="AL40" s="348"/>
      <c r="AM40" s="927"/>
      <c r="AN40" s="927"/>
      <c r="AO40" s="927"/>
      <c r="AP40" s="940"/>
      <c r="AQ40" s="940"/>
      <c r="AR40" s="940"/>
      <c r="AS40" s="940"/>
    </row>
    <row r="41" spans="1:45" ht="14.1" customHeight="1" x14ac:dyDescent="0.2">
      <c r="A41" s="891" t="s">
        <v>1267</v>
      </c>
      <c r="B41" s="890" t="s">
        <v>1268</v>
      </c>
      <c r="C41" s="891" t="s">
        <v>195</v>
      </c>
      <c r="D41" s="891" t="s">
        <v>299</v>
      </c>
      <c r="E41" s="891"/>
      <c r="F41" s="892">
        <v>110</v>
      </c>
      <c r="G41" s="892">
        <v>38</v>
      </c>
      <c r="H41" s="905"/>
      <c r="I41" s="860"/>
      <c r="J41" s="348"/>
      <c r="K41" s="348"/>
      <c r="L41" s="348"/>
      <c r="M41" s="348"/>
      <c r="N41" s="348"/>
      <c r="O41" s="348"/>
      <c r="P41" s="348"/>
      <c r="Q41" s="348"/>
      <c r="R41" s="348"/>
      <c r="S41" s="348"/>
      <c r="T41" s="348"/>
      <c r="U41" s="353"/>
      <c r="V41" s="348"/>
      <c r="W41" s="348"/>
      <c r="X41" s="348"/>
      <c r="Y41" s="353"/>
      <c r="Z41" s="348"/>
      <c r="AA41" s="348"/>
      <c r="AB41" s="348"/>
      <c r="AC41" s="353"/>
      <c r="AD41" s="348"/>
      <c r="AE41" s="348"/>
      <c r="AF41" s="348"/>
      <c r="AG41" s="353"/>
      <c r="AH41" s="348"/>
      <c r="AI41" s="348"/>
      <c r="AJ41" s="348"/>
      <c r="AK41" s="348"/>
      <c r="AL41" s="348"/>
      <c r="AM41" s="673"/>
      <c r="AN41" s="673"/>
      <c r="AO41" s="673"/>
      <c r="AP41" s="941"/>
      <c r="AQ41" s="941"/>
      <c r="AR41" s="673"/>
      <c r="AS41" s="673"/>
    </row>
    <row r="42" spans="1:45" ht="17.100000000000001" customHeight="1" x14ac:dyDescent="0.2">
      <c r="A42" s="868" t="s">
        <v>1269</v>
      </c>
      <c r="B42" s="867" t="s">
        <v>1270</v>
      </c>
      <c r="C42" s="868" t="s">
        <v>195</v>
      </c>
      <c r="D42" s="868" t="s">
        <v>296</v>
      </c>
      <c r="E42" s="868"/>
      <c r="F42" s="869"/>
      <c r="G42" s="869">
        <v>19</v>
      </c>
      <c r="H42" s="936"/>
      <c r="I42" s="860"/>
      <c r="J42" s="348"/>
      <c r="K42" s="348"/>
      <c r="L42" s="348"/>
      <c r="M42" s="348"/>
      <c r="N42" s="348"/>
      <c r="O42" s="348"/>
      <c r="P42" s="348"/>
      <c r="Q42" s="348"/>
      <c r="R42" s="348"/>
      <c r="S42" s="348"/>
      <c r="T42" s="348"/>
      <c r="U42" s="353"/>
      <c r="V42" s="348"/>
      <c r="W42" s="348"/>
      <c r="X42" s="348"/>
      <c r="Y42" s="353"/>
      <c r="Z42" s="348"/>
      <c r="AA42" s="348"/>
      <c r="AB42" s="348"/>
      <c r="AC42" s="353"/>
      <c r="AD42" s="348"/>
      <c r="AE42" s="348"/>
      <c r="AF42" s="348"/>
      <c r="AG42" s="353"/>
      <c r="AH42" s="348"/>
      <c r="AI42" s="348"/>
      <c r="AJ42" s="348"/>
      <c r="AK42" s="348"/>
      <c r="AL42" s="348"/>
      <c r="AM42" s="673"/>
      <c r="AN42" s="673"/>
      <c r="AO42" s="673"/>
      <c r="AP42" s="673"/>
      <c r="AQ42" s="673"/>
      <c r="AR42" s="673"/>
      <c r="AS42" s="673"/>
    </row>
    <row r="43" spans="1:45" ht="14.1" customHeight="1" x14ac:dyDescent="0.2">
      <c r="A43" s="906" t="s">
        <v>1271</v>
      </c>
      <c r="B43" s="907" t="s">
        <v>1272</v>
      </c>
      <c r="C43" s="906" t="s">
        <v>195</v>
      </c>
      <c r="D43" s="906" t="s">
        <v>299</v>
      </c>
      <c r="E43" s="906"/>
      <c r="F43" s="908">
        <v>230</v>
      </c>
      <c r="G43" s="908">
        <v>75</v>
      </c>
      <c r="H43" s="909"/>
      <c r="I43" s="860"/>
      <c r="J43" s="348"/>
      <c r="K43" s="348"/>
      <c r="L43" s="348"/>
      <c r="M43" s="348"/>
      <c r="N43" s="348"/>
      <c r="O43" s="348"/>
      <c r="P43" s="348"/>
      <c r="Q43" s="348"/>
      <c r="R43" s="348"/>
      <c r="S43" s="348"/>
      <c r="T43" s="348"/>
      <c r="U43" s="353"/>
      <c r="V43" s="348"/>
      <c r="W43" s="348"/>
      <c r="X43" s="348"/>
      <c r="Y43" s="353"/>
      <c r="Z43" s="348"/>
      <c r="AA43" s="348"/>
      <c r="AB43" s="348"/>
      <c r="AC43" s="353"/>
      <c r="AD43" s="348"/>
      <c r="AE43" s="348"/>
      <c r="AF43" s="348"/>
      <c r="AG43" s="353"/>
      <c r="AH43" s="348"/>
      <c r="AI43" s="348"/>
      <c r="AJ43" s="348"/>
      <c r="AK43" s="348"/>
      <c r="AL43" s="348"/>
      <c r="AM43" s="673"/>
      <c r="AN43" s="673"/>
      <c r="AO43" s="673"/>
      <c r="AP43" s="673"/>
      <c r="AQ43" s="673"/>
      <c r="AR43" s="673"/>
      <c r="AS43" s="673"/>
    </row>
    <row r="44" spans="1:45" ht="14.1" customHeight="1" x14ac:dyDescent="0.2">
      <c r="A44" s="876" t="s">
        <v>1273</v>
      </c>
      <c r="B44" s="875" t="s">
        <v>1274</v>
      </c>
      <c r="C44" s="876" t="s">
        <v>195</v>
      </c>
      <c r="D44" s="876" t="s">
        <v>296</v>
      </c>
      <c r="E44" s="876"/>
      <c r="F44" s="877">
        <v>190</v>
      </c>
      <c r="G44" s="877">
        <v>45</v>
      </c>
      <c r="H44" s="897"/>
      <c r="I44" s="860"/>
      <c r="J44" s="348"/>
      <c r="K44" s="348"/>
      <c r="L44" s="348"/>
      <c r="M44" s="348"/>
      <c r="N44" s="348"/>
      <c r="O44" s="348"/>
      <c r="P44" s="348"/>
      <c r="Q44" s="348"/>
      <c r="R44" s="348"/>
      <c r="S44" s="348"/>
      <c r="T44" s="348"/>
      <c r="U44" s="353"/>
      <c r="V44" s="348"/>
      <c r="W44" s="348"/>
      <c r="X44" s="348"/>
      <c r="Y44" s="353"/>
      <c r="Z44" s="348"/>
      <c r="AA44" s="348"/>
      <c r="AB44" s="348"/>
      <c r="AC44" s="353"/>
      <c r="AD44" s="348"/>
      <c r="AE44" s="348"/>
      <c r="AF44" s="348"/>
      <c r="AG44" s="353"/>
      <c r="AH44" s="348"/>
      <c r="AI44" s="348"/>
      <c r="AJ44" s="348"/>
      <c r="AK44" s="348"/>
      <c r="AL44" s="348"/>
      <c r="AM44" s="673"/>
      <c r="AN44" s="673"/>
      <c r="AO44" s="673"/>
      <c r="AP44" s="673"/>
      <c r="AQ44" s="673"/>
      <c r="AR44" s="673"/>
      <c r="AS44" s="673"/>
    </row>
    <row r="45" spans="1:45" ht="14.1" customHeight="1" x14ac:dyDescent="0.2">
      <c r="A45" s="891" t="s">
        <v>1275</v>
      </c>
      <c r="B45" s="890" t="s">
        <v>1276</v>
      </c>
      <c r="C45" s="891" t="s">
        <v>195</v>
      </c>
      <c r="D45" s="891" t="s">
        <v>299</v>
      </c>
      <c r="E45" s="891"/>
      <c r="F45" s="892">
        <v>420</v>
      </c>
      <c r="G45" s="892">
        <v>687</v>
      </c>
      <c r="H45" s="905"/>
      <c r="I45" s="860"/>
      <c r="J45" s="348"/>
      <c r="K45" s="348"/>
      <c r="L45" s="348"/>
      <c r="M45" s="348"/>
      <c r="N45" s="348"/>
      <c r="O45" s="348"/>
      <c r="P45" s="348"/>
      <c r="Q45" s="348"/>
      <c r="R45" s="348"/>
      <c r="S45" s="348"/>
      <c r="T45" s="348"/>
      <c r="U45" s="353"/>
      <c r="V45" s="348"/>
      <c r="W45" s="348"/>
      <c r="X45" s="348"/>
      <c r="Y45" s="353"/>
      <c r="Z45" s="348"/>
      <c r="AA45" s="348"/>
      <c r="AB45" s="348"/>
      <c r="AC45" s="353"/>
      <c r="AD45" s="348"/>
      <c r="AE45" s="348"/>
      <c r="AF45" s="348"/>
      <c r="AG45" s="353"/>
      <c r="AH45" s="348"/>
      <c r="AI45" s="348"/>
      <c r="AJ45" s="348"/>
      <c r="AK45" s="348"/>
      <c r="AL45" s="348"/>
      <c r="AM45" s="942"/>
      <c r="AN45" s="673"/>
      <c r="AO45" s="928"/>
      <c r="AP45" s="928"/>
      <c r="AQ45" s="928"/>
      <c r="AR45" s="928"/>
      <c r="AS45" s="928"/>
    </row>
    <row r="46" spans="1:45" ht="14.1" customHeight="1" x14ac:dyDescent="0.2">
      <c r="A46" s="906" t="s">
        <v>1277</v>
      </c>
      <c r="B46" s="907" t="s">
        <v>1278</v>
      </c>
      <c r="C46" s="906" t="s">
        <v>195</v>
      </c>
      <c r="D46" s="906" t="s">
        <v>299</v>
      </c>
      <c r="E46" s="906"/>
      <c r="F46" s="908">
        <v>45</v>
      </c>
      <c r="G46" s="908">
        <v>20</v>
      </c>
      <c r="H46" s="909"/>
      <c r="I46" s="860"/>
      <c r="J46" s="348"/>
      <c r="K46" s="348"/>
      <c r="L46" s="348"/>
      <c r="M46" s="348"/>
      <c r="N46" s="348"/>
      <c r="O46" s="348"/>
      <c r="P46" s="348"/>
      <c r="Q46" s="348"/>
      <c r="R46" s="348"/>
      <c r="S46" s="348"/>
      <c r="T46" s="348"/>
      <c r="U46" s="353"/>
      <c r="V46" s="348"/>
      <c r="W46" s="348"/>
      <c r="X46" s="348"/>
      <c r="Y46" s="353"/>
      <c r="Z46" s="348"/>
      <c r="AA46" s="348"/>
      <c r="AB46" s="348"/>
      <c r="AC46" s="353"/>
      <c r="AD46" s="348"/>
      <c r="AE46" s="348"/>
      <c r="AF46" s="348"/>
      <c r="AG46" s="353"/>
      <c r="AH46" s="348"/>
      <c r="AI46" s="348"/>
      <c r="AJ46" s="348"/>
      <c r="AK46" s="348"/>
      <c r="AL46" s="348"/>
      <c r="AM46" s="673"/>
      <c r="AN46" s="673"/>
      <c r="AO46" s="379"/>
      <c r="AP46" s="379"/>
      <c r="AQ46" s="379"/>
      <c r="AR46" s="379"/>
      <c r="AS46" s="938"/>
    </row>
    <row r="47" spans="1:45" ht="14.1" customHeight="1" x14ac:dyDescent="0.2">
      <c r="A47" s="876" t="s">
        <v>1279</v>
      </c>
      <c r="B47" s="876" t="s">
        <v>1280</v>
      </c>
      <c r="C47" s="876" t="s">
        <v>195</v>
      </c>
      <c r="D47" s="876" t="s">
        <v>296</v>
      </c>
      <c r="E47" s="876"/>
      <c r="F47" s="877"/>
      <c r="G47" s="877">
        <v>15</v>
      </c>
      <c r="H47" s="897"/>
      <c r="I47" s="860"/>
      <c r="J47" s="348"/>
      <c r="K47" s="348"/>
      <c r="L47" s="348"/>
      <c r="M47" s="348"/>
      <c r="N47" s="348"/>
      <c r="O47" s="348"/>
      <c r="P47" s="348"/>
      <c r="Q47" s="348"/>
      <c r="R47" s="348"/>
      <c r="S47" s="348"/>
      <c r="T47" s="348"/>
      <c r="U47" s="353"/>
      <c r="V47" s="348"/>
      <c r="W47" s="348"/>
      <c r="X47" s="348"/>
      <c r="Y47" s="353"/>
      <c r="Z47" s="348"/>
      <c r="AA47" s="348"/>
      <c r="AB47" s="348"/>
      <c r="AC47" s="353"/>
      <c r="AD47" s="348"/>
      <c r="AE47" s="348"/>
      <c r="AF47" s="348"/>
      <c r="AG47" s="353"/>
      <c r="AH47" s="348"/>
      <c r="AI47" s="348"/>
      <c r="AJ47" s="348"/>
      <c r="AK47" s="348"/>
      <c r="AL47" s="348"/>
      <c r="AM47" s="673"/>
      <c r="AN47" s="673"/>
      <c r="AO47" s="379"/>
      <c r="AP47" s="379"/>
      <c r="AQ47" s="379"/>
      <c r="AR47" s="379"/>
      <c r="AS47" s="938"/>
    </row>
    <row r="48" spans="1:45" ht="14.1" customHeight="1" x14ac:dyDescent="0.2">
      <c r="A48" s="876" t="s">
        <v>1279</v>
      </c>
      <c r="B48" s="875" t="s">
        <v>1281</v>
      </c>
      <c r="C48" s="876" t="s">
        <v>195</v>
      </c>
      <c r="D48" s="876" t="s">
        <v>296</v>
      </c>
      <c r="E48" s="876"/>
      <c r="F48" s="877">
        <v>230</v>
      </c>
      <c r="G48" s="877">
        <v>113</v>
      </c>
      <c r="H48" s="897"/>
      <c r="I48" s="860"/>
      <c r="J48" s="348"/>
      <c r="K48" s="348"/>
      <c r="L48" s="348"/>
      <c r="M48" s="348"/>
      <c r="N48" s="348"/>
      <c r="O48" s="348"/>
      <c r="P48" s="348"/>
      <c r="Q48" s="348"/>
      <c r="R48" s="348"/>
      <c r="S48" s="348"/>
      <c r="T48" s="348"/>
      <c r="U48" s="353"/>
      <c r="V48" s="348"/>
      <c r="W48" s="348"/>
      <c r="X48" s="348"/>
      <c r="Y48" s="353"/>
      <c r="Z48" s="348"/>
      <c r="AA48" s="348"/>
      <c r="AB48" s="348"/>
      <c r="AC48" s="353"/>
      <c r="AD48" s="348"/>
      <c r="AE48" s="348"/>
      <c r="AF48" s="348"/>
      <c r="AG48" s="353"/>
      <c r="AH48" s="348"/>
      <c r="AI48" s="348"/>
      <c r="AJ48" s="348"/>
      <c r="AK48" s="348"/>
      <c r="AL48" s="348"/>
      <c r="AM48" s="673"/>
      <c r="AN48" s="673"/>
      <c r="AO48" s="379"/>
      <c r="AP48" s="379"/>
      <c r="AQ48" s="379"/>
      <c r="AR48" s="379"/>
      <c r="AS48" s="938"/>
    </row>
    <row r="49" spans="1:45" ht="12.75" x14ac:dyDescent="0.2">
      <c r="A49" s="891" t="s">
        <v>1282</v>
      </c>
      <c r="B49" s="890" t="s">
        <v>1283</v>
      </c>
      <c r="C49" s="891" t="s">
        <v>195</v>
      </c>
      <c r="D49" s="891" t="s">
        <v>296</v>
      </c>
      <c r="E49" s="891"/>
      <c r="F49" s="892">
        <v>90</v>
      </c>
      <c r="G49" s="892">
        <v>43</v>
      </c>
      <c r="H49" s="905"/>
      <c r="I49" s="860"/>
      <c r="J49" s="348"/>
      <c r="K49" s="348"/>
      <c r="L49" s="348"/>
      <c r="M49" s="348"/>
      <c r="N49" s="348"/>
      <c r="O49" s="348"/>
      <c r="P49" s="348"/>
      <c r="Q49" s="348"/>
      <c r="R49" s="348"/>
      <c r="S49" s="348"/>
      <c r="T49" s="348"/>
      <c r="U49" s="353"/>
      <c r="V49" s="348"/>
      <c r="W49" s="348"/>
      <c r="X49" s="348"/>
      <c r="Y49" s="353"/>
      <c r="Z49" s="348"/>
      <c r="AA49" s="348"/>
      <c r="AB49" s="348"/>
      <c r="AC49" s="353"/>
      <c r="AD49" s="348"/>
      <c r="AE49" s="348"/>
      <c r="AF49" s="348"/>
      <c r="AG49" s="353"/>
      <c r="AH49" s="348"/>
      <c r="AI49" s="348"/>
      <c r="AJ49" s="348"/>
      <c r="AK49" s="348"/>
      <c r="AL49" s="348"/>
      <c r="AM49" s="673"/>
      <c r="AN49" s="673"/>
      <c r="AO49" s="379"/>
      <c r="AP49" s="379"/>
      <c r="AQ49" s="379"/>
      <c r="AR49" s="379"/>
      <c r="AS49" s="938"/>
    </row>
    <row r="50" spans="1:45" ht="12.75" x14ac:dyDescent="0.2">
      <c r="I50" s="860"/>
      <c r="J50" s="348"/>
      <c r="K50" s="348"/>
      <c r="L50" s="348"/>
      <c r="M50" s="348"/>
      <c r="N50" s="348"/>
      <c r="O50" s="348"/>
      <c r="P50" s="348"/>
      <c r="Q50" s="348"/>
      <c r="R50" s="348"/>
      <c r="S50" s="348"/>
      <c r="T50" s="348"/>
      <c r="U50" s="353"/>
      <c r="V50" s="348"/>
      <c r="W50" s="348"/>
      <c r="X50" s="348"/>
      <c r="Y50" s="353"/>
      <c r="Z50" s="348"/>
      <c r="AA50" s="348"/>
      <c r="AB50" s="348"/>
      <c r="AC50" s="353"/>
      <c r="AD50" s="348"/>
      <c r="AE50" s="348"/>
      <c r="AF50" s="348"/>
      <c r="AG50" s="353"/>
      <c r="AH50" s="348"/>
      <c r="AI50" s="348"/>
      <c r="AJ50" s="348"/>
      <c r="AK50" s="348"/>
      <c r="AL50" s="348"/>
      <c r="AM50" s="673"/>
      <c r="AN50" s="673"/>
      <c r="AO50" s="943"/>
      <c r="AP50" s="943"/>
      <c r="AQ50" s="943"/>
      <c r="AR50" s="943"/>
      <c r="AS50" s="944"/>
    </row>
  </sheetData>
  <hyperlinks>
    <hyperlink ref="B14" r:id="rId1" display="https://www.epirocgroup.com/en/media/corporate-press-releases/2022/20221201-epiroc-completes-acquisition-of-leading-provider-of-mining-automation-solutions" xr:uid="{3AEA394A-1133-47CB-98C4-A598AC53B263}"/>
    <hyperlink ref="B15" r:id="rId2" display="https://www.epirocgroup.com/en/media/corporate-press-releases/2022/20221104-epiroc-completes-acquisition-of-u-s--manufacturer-of-excavator-attachments" xr:uid="{7DBC68EF-44BB-4DEB-85C4-F539CAA34013}"/>
    <hyperlink ref="B16" r:id="rId3" display="https://www.epirocgroup.com/en/media/corporate-press-releases/2022/20221101-epiroc-completes-acquisition-of-majority-ownership-in-australian-mine-connectivity-provider" xr:uid="{84C723D5-6278-46ED-8665-D36BC088372F}"/>
    <hyperlink ref="B17" r:id="rId4" display="https://www.epirocgroup.com/en/media/corporate-press-releases/2022/20221014-epiroc-completes-acquisition-of-australian-provider-of-digital-core-imaging-solutions-for-mining-companies" xr:uid="{2B7EA86D-14A2-4ECA-B31B-77FD69521D3F}"/>
    <hyperlink ref="B18" r:id="rId5" display="https://www.epirocgroup.com/en/media/corporate-press-releases/2022/20220610-epiroc-to-acquire-manufacturer-of-rock-drills" xr:uid="{075E3847-8E78-40F1-8CE2-204EB0AA7448}"/>
    <hyperlink ref="B19" r:id="rId6" display="https://www.epirocgroup.com/en/media/corporate-press-releases/2022/20220601-epiroc-completes-acquisition-of-australian-mining-electrification-infrastructure-provider" xr:uid="{7FBFB882-1C53-4CDB-AE27-EC6420D6D02D}"/>
    <hyperlink ref="B20" r:id="rId7" display="https://www.epirocgroup.com/en/media/corporate-press-releases/2021/20211103-epiroc-completes-acquisition-of-specialist-in-mining-vehicle-battery-conversions" xr:uid="{F05C4A8D-13D5-411F-BE26-CD316E359DB4}"/>
    <hyperlink ref="B21" r:id="rId8" display="https://www.epirocgroup.com/en/media/corporate-press-releases/2021/20211102-epiroc-acquires-remaining-share-of-mobilaris-mce" xr:uid="{8CAC970E-9A8B-40C8-90CA-2D2E100707E1}"/>
    <hyperlink ref="B22" r:id="rId9" display="https://www.epirocgroup.com/en/media/corporate-press-releases/2021/20210427-epiroc-to-acquire-south-korean-hydraulic-breaker-manufacturer" xr:uid="{1974B83C-FFB1-4376-9F61-98680E3187A9}"/>
    <hyperlink ref="B23" r:id="rId10" display="https://www.epirocgroup.com/en/media/corporate-press-releases/2021/20210707-epiroc-acquires-chilean-provider-of-intelligent-mining-solutions" xr:uid="{0EC19A70-2CDD-42FB-86B2-7F7B4BA0F871}"/>
    <hyperlink ref="B24" r:id="rId11" display="https://www.epirocgroup.com/en/media/corporate-press-releases/2021/20210331-epiroc-to-acquire-mining-electrification-solutions-provider" xr:uid="{67029C30-9725-487F-9EA1-1AC7BBB50B75}"/>
    <hyperlink ref="B25" r:id="rId12" display="https://www.epirocgroup.com/en/media/corporate-press-releases/2021/20210607-epiroc-acquires-canadian-mine-connectivity-provider" xr:uid="{7D350CC0-250E-44DE-BF17-203059DA1824}"/>
    <hyperlink ref="B26" r:id="rId13" display="https://www.epirocgroup.com/en/media/corporate-press-releases/2021/20210528-epiroc-to-acquire-australian-mining-logging-company" xr:uid="{08B1AB64-4112-4E8E-98DE-28FC0366346A}"/>
    <hyperlink ref="B27" r:id="rId14" display="https://www.epirocgroup.com/en/media/corporate-press-releases/2020/20201222-epiroc-to-acquire-software-company-for-increased-mine-productivity" xr:uid="{F46B559E-BDA0-40F5-A07D-7D279389353A}"/>
    <hyperlink ref="C30" r:id="rId15" display="https://author-epiroc-prod.adobecqms.net/content/corporate/en/media/corporate-press-releases/2019/20190903-epiroc-completes-divestment-of-geotechnical-consumables-product-line-to-mimir-invest.html" xr:uid="{9F6E0E38-EC14-4535-99DB-7FEC6DCFD4D1}"/>
    <hyperlink ref="B31" r:id="rId16" display="https://author-epiroc-prod.adobecqms.net/content/corporate/en/media/corporate-press-releases/2019/20190402-epiroc-completes-acquisition-of-south-african-underground-rock-reinforcement-products-manufacturer-new-concept-mining.html" xr:uid="{019F52D2-2161-4684-BF03-8CF8F64C6FD4}"/>
    <hyperlink ref="B32" r:id="rId17" display="https://author-epiroc-prod.adobecqms.net/content/corporate/en/media/corporate-press-releases/2019/20190201-epiroc-acquires-us-water-well-drilling-equipment-distributor.html" xr:uid="{630A7CAB-0516-4CF7-AFCC-BFAC39A75073}"/>
    <hyperlink ref="B33" r:id="rId18" display="https://author-epiroc-prod.adobecqms.net/content/corporate/en/media/corporate-press-releases/2019/20190103_epiroc_completes_acquisition_of_canadian_exploration_tools_manufacturer.html" xr:uid="{A07D28AB-E00B-4F4F-9883-1CBC98CB1477}"/>
    <hyperlink ref="B34" r:id="rId19" display="https://www.epirocgroup.com/en/media/corporate-press-releases/2018/20181102-epiroc-acquires-mining-equipment-distributor-in-estonia" xr:uid="{D1D0239E-0C29-4BA2-9B70-FED7E81174CE}"/>
    <hyperlink ref="B35" r:id="rId20" display="https://www.epirocgroup.com/en/media/corporate-press-releases/2018/20181030-epiroc-invests-in-autonomous-mining-solutions-business" xr:uid="{6F1F261E-CEFC-4A53-8DF1-DD85207F7C0D}"/>
    <hyperlink ref="B36" r:id="rId21" display="https://www.epirocgroup.com/en/media/corporate-press-releases/2018/20180110-acquisition" xr:uid="{BC87DD1D-8C8B-46C5-A300-A9F88F585CE5}"/>
    <hyperlink ref="B37" r:id="rId22" display="https://www.epirocgroup.com/en/media/corporate-press-releases/2017/20171206-acquisition" xr:uid="{9D0CDD63-F228-4A6D-803A-08D99E274E1E}"/>
    <hyperlink ref="B38" r:id="rId23" display="https://www.epirocgroup.com/en/media/corporate-press-releases/2017/20171201-acquisition" xr:uid="{50895078-4E9F-46D9-A225-82E5E2814225}"/>
    <hyperlink ref="B39" r:id="rId24" display="https://www.epirocgroup.com/en/media/corporate-press-releases/2017/20171204-acquisition" xr:uid="{9DED219E-87F7-4939-8396-A34F62949286}"/>
    <hyperlink ref="B40" r:id="rId25" display="https://www.epirocgroup.com/en/media/corporate-press-releases/2017/170704-atlas-copco-completes-acquisition-of-swedish-mining-intelligence-business" xr:uid="{E349B677-38BF-43A9-8EC9-EC0986DBFFE6}"/>
    <hyperlink ref="B41" r:id="rId26" display="https://www.epirocgroup.com/en/media/corporate-press-releases/2017/20170202-acquisition" xr:uid="{E5FB394E-02D7-4D9F-8F59-6E4F3B656CD4}"/>
    <hyperlink ref="B42" r:id="rId27" display="http://www.epirocgroup.com/en/media/corporate-press-releases/2014/140203-atlas-copco-completes-acquisition-of-geawelltech" xr:uid="{5B252434-9F81-4B3F-831F-01845AB5DCEA}"/>
    <hyperlink ref="B43" r:id="rId28" display="http://www.epirocgroup.com/en/media/corporate-press-releases/2013/131017-atlas-copco-buys-us-oil-and-gas-service-business" xr:uid="{382F1B36-1AA5-4470-936E-CE8A46189995}"/>
    <hyperlink ref="B44" r:id="rId29" display="https://www.atlascopcogroup.com/en/media/corporate-press-releases/2013/130403_Meyco_Acquisition" xr:uid="{CB1C9373-E57C-4C4D-B1BC-BCAC058BFD8A}"/>
    <hyperlink ref="B45" r:id="rId30" display="http://www.epirocgroup.com/en/media/corporate-press-releases/2013/130305-atlas-copco-buys-chinese-rock-drilling-tools-business" xr:uid="{25790FF0-4404-45C4-8660-D8EA3C9E2286}"/>
    <hyperlink ref="B46" r:id="rId31" display="http://www.epirocgroup.com/en/media/corporate-press-releases/2012/120925-atlas-copco-acquires-us-manufacturer-of-drill-bits" xr:uid="{304381F0-B9CA-4A31-ACF6-F641AC11E994}"/>
    <hyperlink ref="B48" r:id="rId32" display="http://www.atlascopco.com/us/News/CorporateNews/120131_Atlas_Copco_closes_GIA_acquisition.aspx" xr:uid="{D9FD4918-DB28-4A96-A7BD-675C7E81ABED}"/>
    <hyperlink ref="B49" r:id="rId33" display="http://www.atlascopcogroup.com/content/corporate/en/media/corporate-press-releases/2012/120112_Atlas_Copco_acquires_Perfora.html" xr:uid="{EEA377A0-3EB7-4D1B-BB5F-B7DFF9A357E4}"/>
    <hyperlink ref="B12" r:id="rId34" xr:uid="{441EF063-FC1F-4FA6-A8FA-9C9B52DEFF97}"/>
    <hyperlink ref="B11" r:id="rId35" xr:uid="{4DD40199-FF9E-40CF-BDF4-F3786507277E}"/>
    <hyperlink ref="B13" r:id="rId36" xr:uid="{D947B9A2-CCCD-4293-A531-C210E1336B70}"/>
    <hyperlink ref="B8" r:id="rId37" xr:uid="{2A6E44F7-9681-457F-9E32-E954BB9B6E64}"/>
    <hyperlink ref="B9" r:id="rId38" display="STANLEY Infrastructure" xr:uid="{8DBB9FC7-848E-41D0-A1C3-EE85D9C85ADD}"/>
    <hyperlink ref="B5" r:id="rId39" xr:uid="{0CE0D902-4A8D-46C3-B099-7683CA1C6072}"/>
    <hyperlink ref="B7" r:id="rId40" xr:uid="{57564080-18B8-404D-9D31-550842BC87D1}"/>
    <hyperlink ref="B6" r:id="rId41" xr:uid="{24E88A4D-D840-4C61-833E-952DCA484213}"/>
    <hyperlink ref="A2" location="'START PAGE'!A1" display="Back to start page" xr:uid="{161305B5-FD9F-4B3E-A498-E9D776F5541D}"/>
    <hyperlink ref="B4" r:id="rId42" xr:uid="{E5A753BC-FB9F-4E61-950C-9DC01EC43949}"/>
  </hyperlinks>
  <pageMargins left="0.7" right="0.7" top="0.75" bottom="0.75" header="0.3" footer="0.3"/>
  <pageSetup paperSize="9" scale="58" fitToHeight="0" orientation="portrait" r:id="rId43"/>
  <legacyDrawing r:id="rId4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defaultColWidth="10" defaultRowHeight="13.35" customHeight="1" x14ac:dyDescent="0.2"/>
  <cols>
    <col min="1" max="1" width="29.5703125" customWidth="1"/>
    <col min="2" max="7" width="8.42578125" bestFit="1" customWidth="1"/>
    <col min="8" max="9" width="9" bestFit="1" customWidth="1"/>
    <col min="10" max="10" width="5.140625" customWidth="1"/>
    <col min="11" max="11" width="9" bestFit="1" customWidth="1"/>
    <col min="12" max="34" width="5.85546875" bestFit="1" customWidth="1"/>
  </cols>
  <sheetData>
    <row r="1" spans="1:38" ht="16.5" thickBot="1" x14ac:dyDescent="0.3">
      <c r="A1" s="16" t="s">
        <v>293</v>
      </c>
      <c r="B1" s="945" t="s">
        <v>127</v>
      </c>
      <c r="C1" s="945"/>
      <c r="D1" s="945"/>
      <c r="E1" s="946"/>
      <c r="F1" s="946"/>
      <c r="G1" s="946"/>
      <c r="H1" s="946"/>
      <c r="I1" s="946"/>
      <c r="J1" s="348"/>
      <c r="K1" s="945" t="s">
        <v>128</v>
      </c>
      <c r="L1" s="946"/>
      <c r="M1" s="946"/>
      <c r="N1" s="947"/>
      <c r="O1" s="945"/>
      <c r="P1" s="946"/>
      <c r="Q1" s="946"/>
      <c r="R1" s="947"/>
      <c r="S1" s="945"/>
      <c r="T1" s="946"/>
      <c r="U1" s="946"/>
      <c r="V1" s="947"/>
      <c r="W1" s="945"/>
      <c r="X1" s="946"/>
      <c r="Y1" s="946"/>
      <c r="Z1" s="947"/>
      <c r="AA1" s="945"/>
      <c r="AB1" s="946"/>
      <c r="AC1" s="946"/>
      <c r="AD1" s="947"/>
      <c r="AE1" s="945"/>
      <c r="AF1" s="946"/>
      <c r="AG1" s="946"/>
      <c r="AH1" s="947"/>
      <c r="AI1" s="348"/>
      <c r="AJ1" s="348"/>
      <c r="AK1" s="348"/>
      <c r="AL1" s="348"/>
    </row>
    <row r="2" spans="1:38" ht="14.25" thickTop="1" thickBot="1" x14ac:dyDescent="0.25">
      <c r="A2" s="19" t="s">
        <v>32</v>
      </c>
      <c r="B2" s="1041" t="s">
        <v>1284</v>
      </c>
      <c r="C2" s="1041"/>
      <c r="D2" s="1041"/>
      <c r="E2" s="1041"/>
      <c r="F2" s="1041"/>
      <c r="G2" s="1041"/>
      <c r="H2" s="1041"/>
      <c r="I2" s="1041"/>
      <c r="J2" s="90"/>
      <c r="K2" s="90"/>
      <c r="L2" s="90"/>
      <c r="M2" s="90"/>
      <c r="N2" s="93"/>
      <c r="O2" s="90"/>
      <c r="P2" s="90"/>
      <c r="Q2" s="90"/>
      <c r="R2" s="93"/>
      <c r="S2" s="90"/>
      <c r="T2" s="90"/>
      <c r="U2" s="90"/>
      <c r="V2" s="93"/>
      <c r="W2" s="90"/>
      <c r="X2" s="90"/>
      <c r="Y2" s="90"/>
      <c r="Z2" s="93"/>
      <c r="AA2" s="90"/>
      <c r="AB2" s="90"/>
      <c r="AC2" s="90"/>
      <c r="AD2" s="93"/>
      <c r="AE2" s="1041" t="s">
        <v>1284</v>
      </c>
      <c r="AF2" s="1041"/>
      <c r="AG2" s="1041"/>
      <c r="AH2" s="1041"/>
      <c r="AI2" s="1041"/>
      <c r="AJ2" s="1041"/>
      <c r="AK2" s="1041"/>
      <c r="AL2" s="1041"/>
    </row>
    <row r="3" spans="1:38" ht="13.5" thickTop="1" x14ac:dyDescent="0.2">
      <c r="A3" s="948"/>
      <c r="B3" s="1041"/>
      <c r="C3" s="1041"/>
      <c r="D3" s="1041"/>
      <c r="E3" s="1041"/>
      <c r="F3" s="1041"/>
      <c r="G3" s="1041"/>
      <c r="H3" s="1041"/>
      <c r="I3" s="1041"/>
      <c r="J3" s="90"/>
      <c r="K3" s="90"/>
      <c r="L3" s="90"/>
      <c r="M3" s="90"/>
      <c r="N3" s="93"/>
      <c r="O3" s="90"/>
      <c r="P3" s="90"/>
      <c r="Q3" s="90"/>
      <c r="R3" s="93"/>
      <c r="S3" s="90"/>
      <c r="T3" s="90"/>
      <c r="U3" s="90"/>
      <c r="V3" s="93"/>
      <c r="W3" s="90"/>
      <c r="X3" s="90"/>
      <c r="Y3" s="90"/>
      <c r="Z3" s="93"/>
      <c r="AA3" s="90"/>
      <c r="AB3" s="90"/>
      <c r="AC3" s="90"/>
      <c r="AD3" s="93"/>
      <c r="AE3" s="1041"/>
      <c r="AF3" s="1041"/>
      <c r="AG3" s="1041"/>
      <c r="AH3" s="1041"/>
      <c r="AI3" s="1041"/>
      <c r="AJ3" s="1041"/>
      <c r="AK3" s="1041"/>
      <c r="AL3" s="1041"/>
    </row>
    <row r="4" spans="1:38" ht="36" customHeight="1" x14ac:dyDescent="0.2">
      <c r="A4" s="948"/>
      <c r="B4" s="1041"/>
      <c r="C4" s="1041"/>
      <c r="D4" s="1041"/>
      <c r="E4" s="1041"/>
      <c r="F4" s="1041"/>
      <c r="G4" s="1041"/>
      <c r="H4" s="1041"/>
      <c r="I4" s="1041"/>
      <c r="J4" s="90"/>
      <c r="K4" s="90"/>
      <c r="L4" s="90"/>
      <c r="M4" s="90"/>
      <c r="N4" s="93"/>
      <c r="O4" s="90"/>
      <c r="P4" s="90"/>
      <c r="Q4" s="90"/>
      <c r="R4" s="93"/>
      <c r="S4" s="90"/>
      <c r="T4" s="90"/>
      <c r="U4" s="90"/>
      <c r="V4" s="93"/>
      <c r="W4" s="90"/>
      <c r="X4" s="90"/>
      <c r="Y4" s="90"/>
      <c r="Z4" s="93"/>
      <c r="AA4" s="90"/>
      <c r="AB4" s="90"/>
      <c r="AC4" s="90"/>
      <c r="AD4" s="93"/>
      <c r="AE4" s="1041"/>
      <c r="AF4" s="1041"/>
      <c r="AG4" s="1041"/>
      <c r="AH4" s="1041"/>
      <c r="AI4" s="1041"/>
      <c r="AJ4" s="1041"/>
      <c r="AK4" s="1041"/>
      <c r="AL4" s="1041"/>
    </row>
    <row r="5" spans="1:38" ht="12.75" x14ac:dyDescent="0.2">
      <c r="A5" s="949" t="s">
        <v>480</v>
      </c>
      <c r="B5" s="950">
        <v>2015</v>
      </c>
      <c r="C5" s="950">
        <v>2016</v>
      </c>
      <c r="D5" s="950">
        <v>2017</v>
      </c>
      <c r="E5" s="950">
        <v>2018</v>
      </c>
      <c r="F5" s="950">
        <v>2019</v>
      </c>
      <c r="G5" s="950">
        <v>2020</v>
      </c>
      <c r="H5" s="950">
        <v>2021</v>
      </c>
      <c r="I5" s="950">
        <v>2022</v>
      </c>
      <c r="J5" s="348"/>
      <c r="K5" s="950">
        <v>2017</v>
      </c>
      <c r="L5" s="950"/>
      <c r="M5" s="950"/>
      <c r="N5" s="951"/>
      <c r="O5" s="950">
        <v>2018</v>
      </c>
      <c r="P5" s="950"/>
      <c r="Q5" s="950"/>
      <c r="R5" s="951"/>
      <c r="S5" s="950">
        <v>2019</v>
      </c>
      <c r="T5" s="950"/>
      <c r="U5" s="950"/>
      <c r="V5" s="951"/>
      <c r="W5" s="950">
        <v>2020</v>
      </c>
      <c r="X5" s="950"/>
      <c r="Y5" s="950"/>
      <c r="Z5" s="951"/>
      <c r="AA5" s="950">
        <v>2021</v>
      </c>
      <c r="AB5" s="950"/>
      <c r="AC5" s="950"/>
      <c r="AD5" s="951"/>
      <c r="AE5" s="950">
        <v>2022</v>
      </c>
      <c r="AF5" s="950"/>
      <c r="AG5" s="950"/>
      <c r="AH5" s="951"/>
      <c r="AI5" s="348"/>
      <c r="AJ5" s="90"/>
      <c r="AK5" s="90"/>
      <c r="AL5" s="90"/>
    </row>
    <row r="6" spans="1:38" ht="12.75" x14ac:dyDescent="0.2">
      <c r="A6" s="952" t="s">
        <v>264</v>
      </c>
      <c r="B6" s="953" t="s">
        <v>501</v>
      </c>
      <c r="C6" s="953" t="s">
        <v>501</v>
      </c>
      <c r="D6" s="953" t="s">
        <v>501</v>
      </c>
      <c r="E6" s="953" t="s">
        <v>501</v>
      </c>
      <c r="F6" s="953" t="s">
        <v>501</v>
      </c>
      <c r="G6" s="953" t="s">
        <v>501</v>
      </c>
      <c r="H6" s="953" t="s">
        <v>501</v>
      </c>
      <c r="I6" s="953" t="s">
        <v>501</v>
      </c>
      <c r="J6" s="348"/>
      <c r="K6" s="953" t="s">
        <v>503</v>
      </c>
      <c r="L6" s="953" t="s">
        <v>504</v>
      </c>
      <c r="M6" s="953" t="s">
        <v>505</v>
      </c>
      <c r="N6" s="954" t="s">
        <v>506</v>
      </c>
      <c r="O6" s="953" t="s">
        <v>503</v>
      </c>
      <c r="P6" s="953" t="s">
        <v>504</v>
      </c>
      <c r="Q6" s="953" t="s">
        <v>505</v>
      </c>
      <c r="R6" s="954" t="s">
        <v>506</v>
      </c>
      <c r="S6" s="953" t="s">
        <v>503</v>
      </c>
      <c r="T6" s="953" t="s">
        <v>504</v>
      </c>
      <c r="U6" s="953" t="s">
        <v>505</v>
      </c>
      <c r="V6" s="954" t="s">
        <v>506</v>
      </c>
      <c r="W6" s="953" t="s">
        <v>503</v>
      </c>
      <c r="X6" s="953" t="s">
        <v>504</v>
      </c>
      <c r="Y6" s="953" t="s">
        <v>505</v>
      </c>
      <c r="Z6" s="954" t="s">
        <v>506</v>
      </c>
      <c r="AA6" s="953" t="s">
        <v>503</v>
      </c>
      <c r="AB6" s="953" t="s">
        <v>504</v>
      </c>
      <c r="AC6" s="953" t="s">
        <v>505</v>
      </c>
      <c r="AD6" s="954" t="s">
        <v>506</v>
      </c>
      <c r="AE6" s="953" t="s">
        <v>503</v>
      </c>
      <c r="AF6" s="953" t="s">
        <v>504</v>
      </c>
      <c r="AG6" s="953" t="s">
        <v>505</v>
      </c>
      <c r="AH6" s="954" t="s">
        <v>506</v>
      </c>
      <c r="AI6" s="348"/>
      <c r="AJ6" s="90"/>
      <c r="AK6" s="90"/>
      <c r="AL6" s="90"/>
    </row>
    <row r="7" spans="1:38" ht="12.75" x14ac:dyDescent="0.2">
      <c r="A7" s="584" t="s">
        <v>296</v>
      </c>
      <c r="B7" s="619">
        <v>19213</v>
      </c>
      <c r="C7" s="619">
        <v>19413</v>
      </c>
      <c r="D7" s="619">
        <v>24574.266098877102</v>
      </c>
      <c r="E7" s="619">
        <v>29695</v>
      </c>
      <c r="F7" s="619">
        <v>28509</v>
      </c>
      <c r="G7" s="619">
        <v>27252</v>
      </c>
      <c r="H7" s="619">
        <f t="shared" ref="H7:H12" si="0">SUM(AA7:AD7)</f>
        <v>34513</v>
      </c>
      <c r="I7" s="619">
        <v>41566</v>
      </c>
      <c r="J7" s="348"/>
      <c r="K7" s="619">
        <v>6200.2283143322002</v>
      </c>
      <c r="L7" s="619">
        <v>6323.0377845449002</v>
      </c>
      <c r="M7" s="619">
        <v>6263</v>
      </c>
      <c r="N7" s="955">
        <v>5788</v>
      </c>
      <c r="O7" s="619">
        <v>7442</v>
      </c>
      <c r="P7" s="619">
        <v>7947</v>
      </c>
      <c r="Q7" s="619">
        <v>7190</v>
      </c>
      <c r="R7" s="955">
        <v>7116</v>
      </c>
      <c r="S7" s="619">
        <v>7248</v>
      </c>
      <c r="T7" s="619">
        <v>7677</v>
      </c>
      <c r="U7" s="619">
        <v>6874</v>
      </c>
      <c r="V7" s="955">
        <v>6710</v>
      </c>
      <c r="W7" s="619">
        <v>7101</v>
      </c>
      <c r="X7" s="619">
        <v>6129</v>
      </c>
      <c r="Y7" s="619">
        <v>7068</v>
      </c>
      <c r="Z7" s="955">
        <v>6954</v>
      </c>
      <c r="AA7" s="619">
        <v>7991</v>
      </c>
      <c r="AB7" s="619">
        <v>8387</v>
      </c>
      <c r="AC7" s="619">
        <v>9336</v>
      </c>
      <c r="AD7" s="955">
        <v>8799</v>
      </c>
      <c r="AE7" s="619">
        <v>10547</v>
      </c>
      <c r="AF7" s="619">
        <v>10567</v>
      </c>
      <c r="AG7" s="619">
        <v>9526</v>
      </c>
      <c r="AH7" s="955">
        <v>10926</v>
      </c>
      <c r="AI7" s="348"/>
      <c r="AJ7" s="90"/>
      <c r="AK7" s="90"/>
      <c r="AL7" s="90"/>
    </row>
    <row r="8" spans="1:38" ht="12.75" x14ac:dyDescent="0.2">
      <c r="A8" s="956" t="s">
        <v>297</v>
      </c>
      <c r="B8" s="957">
        <v>7776</v>
      </c>
      <c r="C8" s="957">
        <v>8506</v>
      </c>
      <c r="D8" s="957">
        <v>12246</v>
      </c>
      <c r="E8" s="957">
        <v>15244</v>
      </c>
      <c r="F8" s="957">
        <v>12355</v>
      </c>
      <c r="G8" s="957">
        <v>11326</v>
      </c>
      <c r="H8" s="957">
        <f t="shared" si="0"/>
        <v>16403</v>
      </c>
      <c r="I8" s="957">
        <v>17189</v>
      </c>
      <c r="J8" s="348"/>
      <c r="K8" s="957">
        <v>3147</v>
      </c>
      <c r="L8" s="957">
        <v>3142</v>
      </c>
      <c r="M8" s="957">
        <v>3281</v>
      </c>
      <c r="N8" s="958">
        <v>2676</v>
      </c>
      <c r="O8" s="957">
        <v>4054</v>
      </c>
      <c r="P8" s="957">
        <v>4234</v>
      </c>
      <c r="Q8" s="957">
        <v>3601</v>
      </c>
      <c r="R8" s="958">
        <v>3355</v>
      </c>
      <c r="S8" s="957">
        <v>3442</v>
      </c>
      <c r="T8" s="957">
        <v>3580</v>
      </c>
      <c r="U8" s="957">
        <v>2727</v>
      </c>
      <c r="V8" s="958">
        <v>2606</v>
      </c>
      <c r="W8" s="957">
        <v>2850</v>
      </c>
      <c r="X8" s="957">
        <v>2410</v>
      </c>
      <c r="Y8" s="957">
        <v>3099</v>
      </c>
      <c r="Z8" s="958">
        <v>2967</v>
      </c>
      <c r="AA8" s="957">
        <v>4028</v>
      </c>
      <c r="AB8" s="957">
        <v>4031</v>
      </c>
      <c r="AC8" s="957">
        <v>4532</v>
      </c>
      <c r="AD8" s="958">
        <v>3812</v>
      </c>
      <c r="AE8" s="957">
        <v>5244</v>
      </c>
      <c r="AF8" s="957">
        <v>4682</v>
      </c>
      <c r="AG8" s="957">
        <v>3437</v>
      </c>
      <c r="AH8" s="958">
        <v>3826</v>
      </c>
      <c r="AI8" s="348"/>
      <c r="AJ8" s="90"/>
      <c r="AK8" s="90"/>
      <c r="AL8" s="90"/>
    </row>
    <row r="9" spans="1:38" ht="12.75" x14ac:dyDescent="0.2">
      <c r="A9" s="956" t="s">
        <v>298</v>
      </c>
      <c r="B9" s="959">
        <v>11437</v>
      </c>
      <c r="C9" s="959">
        <v>10907</v>
      </c>
      <c r="D9" s="959">
        <v>12328</v>
      </c>
      <c r="E9" s="959">
        <v>14451</v>
      </c>
      <c r="F9" s="959">
        <v>16154</v>
      </c>
      <c r="G9" s="959">
        <v>15926</v>
      </c>
      <c r="H9" s="959">
        <f t="shared" si="0"/>
        <v>18110</v>
      </c>
      <c r="I9" s="959">
        <v>24377</v>
      </c>
      <c r="J9" s="348"/>
      <c r="K9" s="959">
        <v>3053</v>
      </c>
      <c r="L9" s="959">
        <v>3181</v>
      </c>
      <c r="M9" s="959">
        <v>2982</v>
      </c>
      <c r="N9" s="960">
        <v>3112</v>
      </c>
      <c r="O9" s="959">
        <v>3388</v>
      </c>
      <c r="P9" s="959">
        <v>3713</v>
      </c>
      <c r="Q9" s="959">
        <v>3589</v>
      </c>
      <c r="R9" s="960">
        <v>3761</v>
      </c>
      <c r="S9" s="959">
        <v>3806</v>
      </c>
      <c r="T9" s="959">
        <v>4097</v>
      </c>
      <c r="U9" s="959">
        <v>4147</v>
      </c>
      <c r="V9" s="960">
        <v>4105</v>
      </c>
      <c r="W9" s="959">
        <v>4251</v>
      </c>
      <c r="X9" s="959">
        <v>3719</v>
      </c>
      <c r="Y9" s="959">
        <v>3969</v>
      </c>
      <c r="Z9" s="960">
        <v>3987</v>
      </c>
      <c r="AA9" s="959">
        <v>3963</v>
      </c>
      <c r="AB9" s="959">
        <v>4356</v>
      </c>
      <c r="AC9" s="959">
        <v>4804</v>
      </c>
      <c r="AD9" s="960">
        <v>4987</v>
      </c>
      <c r="AE9" s="959">
        <v>5303</v>
      </c>
      <c r="AF9" s="959">
        <v>5885</v>
      </c>
      <c r="AG9" s="959">
        <v>6089</v>
      </c>
      <c r="AH9" s="960">
        <v>7100</v>
      </c>
      <c r="AI9" s="348"/>
      <c r="AJ9" s="90"/>
      <c r="AK9" s="90"/>
      <c r="AL9" s="90"/>
    </row>
    <row r="10" spans="1:38" ht="12.75" x14ac:dyDescent="0.2">
      <c r="A10" s="584" t="s">
        <v>299</v>
      </c>
      <c r="B10" s="619">
        <v>8109</v>
      </c>
      <c r="C10" s="619">
        <v>7947</v>
      </c>
      <c r="D10" s="619">
        <v>9047.0275727111002</v>
      </c>
      <c r="E10" s="619">
        <v>9611</v>
      </c>
      <c r="F10" s="619">
        <v>10768</v>
      </c>
      <c r="G10" s="619">
        <v>9185</v>
      </c>
      <c r="H10" s="619">
        <f t="shared" si="0"/>
        <v>11025</v>
      </c>
      <c r="I10" s="619">
        <v>11795</v>
      </c>
      <c r="J10" s="348"/>
      <c r="K10" s="619">
        <v>2341.2545534702999</v>
      </c>
      <c r="L10" s="619">
        <v>2269.6157532337002</v>
      </c>
      <c r="M10" s="619">
        <v>2239.1572660071001</v>
      </c>
      <c r="N10" s="955">
        <v>2197</v>
      </c>
      <c r="O10" s="619">
        <v>2550</v>
      </c>
      <c r="P10" s="619">
        <v>2470</v>
      </c>
      <c r="Q10" s="619">
        <v>2285</v>
      </c>
      <c r="R10" s="955">
        <v>2306</v>
      </c>
      <c r="S10" s="619">
        <v>2760</v>
      </c>
      <c r="T10" s="619">
        <v>2826</v>
      </c>
      <c r="U10" s="619">
        <v>2665</v>
      </c>
      <c r="V10" s="955">
        <v>2517</v>
      </c>
      <c r="W10" s="619">
        <v>2619</v>
      </c>
      <c r="X10" s="619">
        <v>1980</v>
      </c>
      <c r="Y10" s="619">
        <v>2249</v>
      </c>
      <c r="Z10" s="955">
        <v>2337</v>
      </c>
      <c r="AA10" s="619">
        <v>2674</v>
      </c>
      <c r="AB10" s="619">
        <v>2678</v>
      </c>
      <c r="AC10" s="619">
        <v>2866</v>
      </c>
      <c r="AD10" s="955">
        <v>2807</v>
      </c>
      <c r="AE10" s="619">
        <v>3263</v>
      </c>
      <c r="AF10" s="619">
        <v>2825</v>
      </c>
      <c r="AG10" s="619">
        <v>2767</v>
      </c>
      <c r="AH10" s="955">
        <v>2940</v>
      </c>
      <c r="AI10" s="348"/>
      <c r="AJ10" s="90"/>
      <c r="AK10" s="90"/>
      <c r="AL10" s="90"/>
    </row>
    <row r="11" spans="1:38" ht="12.75" x14ac:dyDescent="0.2">
      <c r="A11" s="584" t="s">
        <v>300</v>
      </c>
      <c r="B11" s="619">
        <v>229</v>
      </c>
      <c r="C11" s="619">
        <v>274</v>
      </c>
      <c r="D11" s="619">
        <v>210</v>
      </c>
      <c r="E11" s="619">
        <v>94</v>
      </c>
      <c r="F11" s="619">
        <v>215</v>
      </c>
      <c r="G11" s="619">
        <v>142</v>
      </c>
      <c r="H11" s="619">
        <f t="shared" si="0"/>
        <v>110</v>
      </c>
      <c r="I11" s="619">
        <v>-139</v>
      </c>
      <c r="J11" s="348"/>
      <c r="K11" s="619">
        <v>-21</v>
      </c>
      <c r="L11" s="619">
        <v>68.861974440200356</v>
      </c>
      <c r="M11" s="619">
        <v>89</v>
      </c>
      <c r="N11" s="955">
        <v>73</v>
      </c>
      <c r="O11" s="619">
        <v>44</v>
      </c>
      <c r="P11" s="619">
        <v>66</v>
      </c>
      <c r="Q11" s="619">
        <v>-62</v>
      </c>
      <c r="R11" s="955">
        <v>46</v>
      </c>
      <c r="S11" s="619">
        <v>55</v>
      </c>
      <c r="T11" s="619">
        <v>50</v>
      </c>
      <c r="U11" s="619">
        <v>61</v>
      </c>
      <c r="V11" s="955">
        <v>49</v>
      </c>
      <c r="W11" s="619">
        <v>52</v>
      </c>
      <c r="X11" s="619">
        <v>-4</v>
      </c>
      <c r="Y11" s="619">
        <v>56</v>
      </c>
      <c r="Z11" s="955">
        <v>38</v>
      </c>
      <c r="AA11" s="619">
        <v>25</v>
      </c>
      <c r="AB11" s="619">
        <v>5</v>
      </c>
      <c r="AC11" s="619">
        <v>43</v>
      </c>
      <c r="AD11" s="955">
        <v>37</v>
      </c>
      <c r="AE11" s="619">
        <v>8</v>
      </c>
      <c r="AF11" s="619">
        <v>-15</v>
      </c>
      <c r="AG11" s="619">
        <v>29</v>
      </c>
      <c r="AH11" s="955">
        <v>-161</v>
      </c>
      <c r="AI11" s="348"/>
      <c r="AJ11" s="90"/>
      <c r="AK11" s="90"/>
      <c r="AL11" s="90"/>
    </row>
    <row r="12" spans="1:38" ht="12.75" x14ac:dyDescent="0.2">
      <c r="A12" s="910" t="s">
        <v>301</v>
      </c>
      <c r="B12" s="961">
        <v>27551</v>
      </c>
      <c r="C12" s="961">
        <v>27634</v>
      </c>
      <c r="D12" s="961">
        <v>33831</v>
      </c>
      <c r="E12" s="961">
        <v>39400</v>
      </c>
      <c r="F12" s="961">
        <v>39492</v>
      </c>
      <c r="G12" s="961">
        <v>36579</v>
      </c>
      <c r="H12" s="961">
        <f t="shared" si="0"/>
        <v>45648</v>
      </c>
      <c r="I12" s="961">
        <v>53222</v>
      </c>
      <c r="J12" s="348"/>
      <c r="K12" s="961">
        <v>8520</v>
      </c>
      <c r="L12" s="961">
        <v>8661.5155122188007</v>
      </c>
      <c r="M12" s="961">
        <v>8591.1572660070997</v>
      </c>
      <c r="N12" s="962">
        <v>8058</v>
      </c>
      <c r="O12" s="961">
        <v>10036</v>
      </c>
      <c r="P12" s="961">
        <v>10483</v>
      </c>
      <c r="Q12" s="961">
        <v>9413</v>
      </c>
      <c r="R12" s="962">
        <v>9468</v>
      </c>
      <c r="S12" s="961">
        <v>10063</v>
      </c>
      <c r="T12" s="961">
        <v>10553</v>
      </c>
      <c r="U12" s="961">
        <v>9600</v>
      </c>
      <c r="V12" s="962">
        <v>9276</v>
      </c>
      <c r="W12" s="961">
        <v>9772</v>
      </c>
      <c r="X12" s="961">
        <v>8105</v>
      </c>
      <c r="Y12" s="961">
        <v>9373</v>
      </c>
      <c r="Z12" s="962">
        <v>9329</v>
      </c>
      <c r="AA12" s="961">
        <v>10690</v>
      </c>
      <c r="AB12" s="961">
        <v>11070</v>
      </c>
      <c r="AC12" s="961">
        <v>12245</v>
      </c>
      <c r="AD12" s="962">
        <v>11643</v>
      </c>
      <c r="AE12" s="961">
        <v>13818</v>
      </c>
      <c r="AF12" s="961">
        <v>13377</v>
      </c>
      <c r="AG12" s="961">
        <v>12322</v>
      </c>
      <c r="AH12" s="962">
        <v>13705</v>
      </c>
      <c r="AI12" s="348"/>
      <c r="AJ12" s="90"/>
      <c r="AK12" s="90"/>
      <c r="AL12" s="90"/>
    </row>
    <row r="13" spans="1:38" ht="12.75" x14ac:dyDescent="0.2">
      <c r="A13" s="949"/>
      <c r="B13" s="963"/>
      <c r="C13" s="963"/>
      <c r="D13" s="963"/>
      <c r="E13" s="963"/>
      <c r="F13" s="963"/>
      <c r="G13" s="963"/>
      <c r="H13" s="963"/>
      <c r="I13" s="963"/>
      <c r="J13" s="348"/>
      <c r="K13" s="963"/>
      <c r="L13" s="963"/>
      <c r="M13" s="963"/>
      <c r="N13" s="964"/>
      <c r="O13" s="963"/>
      <c r="P13" s="963"/>
      <c r="Q13" s="963"/>
      <c r="R13" s="964"/>
      <c r="S13" s="963"/>
      <c r="T13" s="963"/>
      <c r="U13" s="963"/>
      <c r="V13" s="964"/>
      <c r="W13" s="963"/>
      <c r="X13" s="963"/>
      <c r="Y13" s="963"/>
      <c r="Z13" s="964"/>
      <c r="AA13" s="963"/>
      <c r="AB13" s="963"/>
      <c r="AC13" s="963"/>
      <c r="AD13" s="964"/>
      <c r="AE13" s="963"/>
      <c r="AF13" s="963"/>
      <c r="AG13" s="963"/>
      <c r="AH13" s="964"/>
      <c r="AI13" s="348"/>
      <c r="AJ13" s="90"/>
      <c r="AK13" s="90"/>
      <c r="AL13" s="90"/>
    </row>
    <row r="14" spans="1:38" ht="12.75" x14ac:dyDescent="0.2">
      <c r="A14" s="965"/>
      <c r="B14" s="963"/>
      <c r="C14" s="963"/>
      <c r="D14" s="963"/>
      <c r="E14" s="963"/>
      <c r="F14" s="963"/>
      <c r="G14" s="963"/>
      <c r="H14" s="963"/>
      <c r="I14" s="963"/>
      <c r="J14" s="348"/>
      <c r="K14" s="963"/>
      <c r="L14" s="963"/>
      <c r="M14" s="963"/>
      <c r="N14" s="964"/>
      <c r="O14" s="963"/>
      <c r="P14" s="963"/>
      <c r="Q14" s="963"/>
      <c r="R14" s="964"/>
      <c r="S14" s="963"/>
      <c r="T14" s="963"/>
      <c r="U14" s="963"/>
      <c r="V14" s="964"/>
      <c r="W14" s="963"/>
      <c r="X14" s="963"/>
      <c r="Y14" s="963"/>
      <c r="Z14" s="964"/>
      <c r="AA14" s="963"/>
      <c r="AB14" s="963"/>
      <c r="AC14" s="963"/>
      <c r="AD14" s="964"/>
      <c r="AE14" s="963"/>
      <c r="AF14" s="963"/>
      <c r="AG14" s="963"/>
      <c r="AH14" s="964"/>
      <c r="AI14" s="348"/>
      <c r="AJ14" s="90"/>
      <c r="AK14" s="90"/>
      <c r="AL14" s="90"/>
    </row>
    <row r="15" spans="1:38" ht="12.75" x14ac:dyDescent="0.2">
      <c r="A15" s="965" t="s">
        <v>200</v>
      </c>
      <c r="B15" s="950">
        <v>2015</v>
      </c>
      <c r="C15" s="950">
        <v>2016</v>
      </c>
      <c r="D15" s="950">
        <v>2017</v>
      </c>
      <c r="E15" s="950">
        <v>2018</v>
      </c>
      <c r="F15" s="950">
        <v>2019</v>
      </c>
      <c r="G15" s="950">
        <v>2020</v>
      </c>
      <c r="H15" s="950">
        <f>SUM(AA15:AD15)</f>
        <v>2021</v>
      </c>
      <c r="I15" s="950">
        <v>2022</v>
      </c>
      <c r="J15" s="348"/>
      <c r="K15" s="950">
        <v>2017</v>
      </c>
      <c r="L15" s="950"/>
      <c r="M15" s="950"/>
      <c r="N15" s="951"/>
      <c r="O15" s="950">
        <v>2018</v>
      </c>
      <c r="P15" s="950"/>
      <c r="Q15" s="950"/>
      <c r="R15" s="951"/>
      <c r="S15" s="950">
        <v>2019</v>
      </c>
      <c r="T15" s="950"/>
      <c r="U15" s="950"/>
      <c r="V15" s="951"/>
      <c r="W15" s="950">
        <v>2020</v>
      </c>
      <c r="X15" s="950"/>
      <c r="Y15" s="950"/>
      <c r="Z15" s="951"/>
      <c r="AA15" s="950">
        <v>2021</v>
      </c>
      <c r="AB15" s="950"/>
      <c r="AC15" s="950"/>
      <c r="AD15" s="951" t="s">
        <v>306</v>
      </c>
      <c r="AE15" s="950">
        <v>2022</v>
      </c>
      <c r="AF15" s="950" t="s">
        <v>306</v>
      </c>
      <c r="AG15" s="950" t="s">
        <v>306</v>
      </c>
      <c r="AH15" s="951" t="s">
        <v>306</v>
      </c>
      <c r="AI15" s="348"/>
      <c r="AJ15" s="90"/>
      <c r="AK15" s="90"/>
      <c r="AL15" s="90"/>
    </row>
    <row r="16" spans="1:38" ht="12.75" x14ac:dyDescent="0.2">
      <c r="A16" s="966" t="s">
        <v>264</v>
      </c>
      <c r="B16" s="967" t="s">
        <v>501</v>
      </c>
      <c r="C16" s="967" t="s">
        <v>501</v>
      </c>
      <c r="D16" s="967" t="s">
        <v>501</v>
      </c>
      <c r="E16" s="967" t="s">
        <v>501</v>
      </c>
      <c r="F16" s="967" t="s">
        <v>501</v>
      </c>
      <c r="G16" s="967" t="s">
        <v>501</v>
      </c>
      <c r="H16" s="967" t="s">
        <v>501</v>
      </c>
      <c r="I16" s="967" t="s">
        <v>501</v>
      </c>
      <c r="J16" s="348"/>
      <c r="K16" s="967" t="s">
        <v>503</v>
      </c>
      <c r="L16" s="967" t="s">
        <v>504</v>
      </c>
      <c r="M16" s="967" t="s">
        <v>505</v>
      </c>
      <c r="N16" s="968" t="s">
        <v>506</v>
      </c>
      <c r="O16" s="967" t="s">
        <v>503</v>
      </c>
      <c r="P16" s="967" t="s">
        <v>504</v>
      </c>
      <c r="Q16" s="967" t="s">
        <v>505</v>
      </c>
      <c r="R16" s="968" t="s">
        <v>506</v>
      </c>
      <c r="S16" s="967" t="s">
        <v>503</v>
      </c>
      <c r="T16" s="967" t="s">
        <v>504</v>
      </c>
      <c r="U16" s="967" t="s">
        <v>505</v>
      </c>
      <c r="V16" s="968" t="s">
        <v>506</v>
      </c>
      <c r="W16" s="967" t="s">
        <v>503</v>
      </c>
      <c r="X16" s="967" t="s">
        <v>504</v>
      </c>
      <c r="Y16" s="967" t="s">
        <v>505</v>
      </c>
      <c r="Z16" s="968" t="s">
        <v>506</v>
      </c>
      <c r="AA16" s="967" t="s">
        <v>503</v>
      </c>
      <c r="AB16" s="967" t="s">
        <v>504</v>
      </c>
      <c r="AC16" s="967" t="str">
        <f>+AC$6</f>
        <v>Q3</v>
      </c>
      <c r="AD16" s="968" t="s">
        <v>506</v>
      </c>
      <c r="AE16" s="967" t="s">
        <v>503</v>
      </c>
      <c r="AF16" s="967" t="s">
        <v>504</v>
      </c>
      <c r="AG16" s="967" t="s">
        <v>505</v>
      </c>
      <c r="AH16" s="968" t="s">
        <v>506</v>
      </c>
      <c r="AI16" s="348"/>
      <c r="AJ16" s="90"/>
      <c r="AK16" s="90"/>
      <c r="AL16" s="90"/>
    </row>
    <row r="17" spans="1:38" ht="12.75" x14ac:dyDescent="0.2">
      <c r="A17" s="584" t="s">
        <v>296</v>
      </c>
      <c r="B17" s="619">
        <v>20317</v>
      </c>
      <c r="C17" s="619">
        <v>18898</v>
      </c>
      <c r="D17" s="619">
        <v>22383</v>
      </c>
      <c r="E17" s="619">
        <v>28540</v>
      </c>
      <c r="F17" s="619">
        <v>29891</v>
      </c>
      <c r="G17" s="619">
        <v>26927</v>
      </c>
      <c r="H17" s="619">
        <f t="shared" ref="H17:H22" si="1">SUM(AA17:AD17)</f>
        <v>29320</v>
      </c>
      <c r="I17" s="619">
        <v>37661</v>
      </c>
      <c r="J17" s="348"/>
      <c r="K17" s="619">
        <v>5220</v>
      </c>
      <c r="L17" s="619">
        <v>5495</v>
      </c>
      <c r="M17" s="619">
        <v>5406</v>
      </c>
      <c r="N17" s="955">
        <v>6262</v>
      </c>
      <c r="O17" s="619">
        <v>5943</v>
      </c>
      <c r="P17" s="619">
        <v>7325</v>
      </c>
      <c r="Q17" s="619">
        <v>7178</v>
      </c>
      <c r="R17" s="955">
        <v>8094</v>
      </c>
      <c r="S17" s="619">
        <v>7115</v>
      </c>
      <c r="T17" s="619">
        <v>7702</v>
      </c>
      <c r="U17" s="619">
        <v>7334</v>
      </c>
      <c r="V17" s="955">
        <v>7740</v>
      </c>
      <c r="W17" s="619">
        <v>6579</v>
      </c>
      <c r="X17" s="619">
        <v>6422</v>
      </c>
      <c r="Y17" s="619">
        <v>6471</v>
      </c>
      <c r="Z17" s="955">
        <v>7455</v>
      </c>
      <c r="AA17" s="619">
        <v>6391</v>
      </c>
      <c r="AB17" s="619">
        <v>7187</v>
      </c>
      <c r="AC17" s="619">
        <v>7242</v>
      </c>
      <c r="AD17" s="955">
        <v>8500</v>
      </c>
      <c r="AE17" s="619">
        <v>8196</v>
      </c>
      <c r="AF17" s="619">
        <v>8700</v>
      </c>
      <c r="AG17" s="619">
        <v>9747</v>
      </c>
      <c r="AH17" s="955">
        <v>11018</v>
      </c>
      <c r="AI17" s="348"/>
      <c r="AJ17" s="90"/>
      <c r="AK17" s="90"/>
      <c r="AL17" s="90"/>
    </row>
    <row r="18" spans="1:38" ht="12.75" x14ac:dyDescent="0.2">
      <c r="A18" s="956" t="s">
        <v>297</v>
      </c>
      <c r="B18" s="957">
        <v>8510</v>
      </c>
      <c r="C18" s="957">
        <v>7710</v>
      </c>
      <c r="D18" s="957">
        <v>10276</v>
      </c>
      <c r="E18" s="957">
        <v>14238</v>
      </c>
      <c r="F18" s="957">
        <v>13862</v>
      </c>
      <c r="G18" s="957">
        <v>11382</v>
      </c>
      <c r="H18" s="957">
        <f t="shared" si="1"/>
        <v>12197</v>
      </c>
      <c r="I18" s="957">
        <v>15198</v>
      </c>
      <c r="J18" s="937"/>
      <c r="K18" s="957">
        <v>2219</v>
      </c>
      <c r="L18" s="957">
        <v>2469</v>
      </c>
      <c r="M18" s="957">
        <v>2414</v>
      </c>
      <c r="N18" s="958">
        <v>3174</v>
      </c>
      <c r="O18" s="957">
        <v>2678</v>
      </c>
      <c r="P18" s="957">
        <v>3640</v>
      </c>
      <c r="Q18" s="957">
        <v>3570</v>
      </c>
      <c r="R18" s="958">
        <v>4350</v>
      </c>
      <c r="S18" s="957">
        <v>3313</v>
      </c>
      <c r="T18" s="957">
        <v>3638</v>
      </c>
      <c r="U18" s="957">
        <v>3198</v>
      </c>
      <c r="V18" s="958">
        <v>3713</v>
      </c>
      <c r="W18" s="957">
        <v>2519</v>
      </c>
      <c r="X18" s="957">
        <v>2768</v>
      </c>
      <c r="Y18" s="957">
        <v>2688</v>
      </c>
      <c r="Z18" s="958">
        <v>3408</v>
      </c>
      <c r="AA18" s="957">
        <v>2562</v>
      </c>
      <c r="AB18" s="957">
        <v>3052</v>
      </c>
      <c r="AC18" s="957">
        <v>2792</v>
      </c>
      <c r="AD18" s="958">
        <v>3791</v>
      </c>
      <c r="AE18" s="957">
        <v>3410</v>
      </c>
      <c r="AF18" s="957">
        <v>3190</v>
      </c>
      <c r="AG18" s="957">
        <v>3832</v>
      </c>
      <c r="AH18" s="958">
        <v>4766</v>
      </c>
      <c r="AI18" s="348"/>
      <c r="AJ18" s="90"/>
      <c r="AK18" s="90"/>
      <c r="AL18" s="90"/>
    </row>
    <row r="19" spans="1:38" ht="12.75" x14ac:dyDescent="0.2">
      <c r="A19" s="956" t="s">
        <v>298</v>
      </c>
      <c r="B19" s="959">
        <v>11807</v>
      </c>
      <c r="C19" s="959">
        <v>11188</v>
      </c>
      <c r="D19" s="959">
        <v>12106.760383407502</v>
      </c>
      <c r="E19" s="959">
        <v>14302</v>
      </c>
      <c r="F19" s="959">
        <v>16030</v>
      </c>
      <c r="G19" s="959">
        <v>15545</v>
      </c>
      <c r="H19" s="959">
        <f t="shared" si="1"/>
        <v>17123</v>
      </c>
      <c r="I19" s="959">
        <v>22463</v>
      </c>
      <c r="J19" s="969"/>
      <c r="K19" s="959">
        <v>3000.7719271698002</v>
      </c>
      <c r="L19" s="959">
        <v>3026</v>
      </c>
      <c r="M19" s="959">
        <v>2992</v>
      </c>
      <c r="N19" s="960">
        <v>3088.1511000085002</v>
      </c>
      <c r="O19" s="959">
        <v>3265</v>
      </c>
      <c r="P19" s="959">
        <v>3685</v>
      </c>
      <c r="Q19" s="959">
        <v>3608</v>
      </c>
      <c r="R19" s="960">
        <v>3744.3818536147</v>
      </c>
      <c r="S19" s="959">
        <v>3802</v>
      </c>
      <c r="T19" s="959">
        <v>4064</v>
      </c>
      <c r="U19" s="959">
        <v>4136</v>
      </c>
      <c r="V19" s="960">
        <v>4028</v>
      </c>
      <c r="W19" s="959">
        <v>4060</v>
      </c>
      <c r="X19" s="959">
        <v>3654</v>
      </c>
      <c r="Y19" s="959">
        <v>3783</v>
      </c>
      <c r="Z19" s="960">
        <v>4048</v>
      </c>
      <c r="AA19" s="959">
        <v>3829</v>
      </c>
      <c r="AB19" s="959">
        <v>4135</v>
      </c>
      <c r="AC19" s="959">
        <v>4450</v>
      </c>
      <c r="AD19" s="960">
        <v>4709</v>
      </c>
      <c r="AE19" s="959">
        <v>4786</v>
      </c>
      <c r="AF19" s="959">
        <v>5510</v>
      </c>
      <c r="AG19" s="959">
        <v>5915</v>
      </c>
      <c r="AH19" s="960">
        <v>6252</v>
      </c>
      <c r="AI19" s="348"/>
      <c r="AJ19" s="90"/>
      <c r="AK19" s="90"/>
      <c r="AL19" s="90"/>
    </row>
    <row r="20" spans="1:38" ht="12.75" x14ac:dyDescent="0.2">
      <c r="A20" s="584" t="s">
        <v>299</v>
      </c>
      <c r="B20" s="619">
        <v>8088</v>
      </c>
      <c r="C20" s="619">
        <v>7925</v>
      </c>
      <c r="D20" s="619">
        <v>8738</v>
      </c>
      <c r="E20" s="619">
        <v>9519</v>
      </c>
      <c r="F20" s="619">
        <v>10799</v>
      </c>
      <c r="G20" s="619">
        <v>9024</v>
      </c>
      <c r="H20" s="619">
        <f t="shared" si="1"/>
        <v>10205</v>
      </c>
      <c r="I20" s="619">
        <v>12049</v>
      </c>
      <c r="J20" s="348"/>
      <c r="K20" s="619">
        <v>2161</v>
      </c>
      <c r="L20" s="619">
        <v>2297</v>
      </c>
      <c r="M20" s="619">
        <v>2141</v>
      </c>
      <c r="N20" s="955">
        <v>2139</v>
      </c>
      <c r="O20" s="619">
        <v>2245</v>
      </c>
      <c r="P20" s="619">
        <v>2452</v>
      </c>
      <c r="Q20" s="619">
        <v>2382</v>
      </c>
      <c r="R20" s="955">
        <v>2440</v>
      </c>
      <c r="S20" s="619">
        <v>2605</v>
      </c>
      <c r="T20" s="619">
        <v>2926</v>
      </c>
      <c r="U20" s="619">
        <v>2765</v>
      </c>
      <c r="V20" s="955">
        <v>2503</v>
      </c>
      <c r="W20" s="619">
        <v>2505</v>
      </c>
      <c r="X20" s="619">
        <v>2035</v>
      </c>
      <c r="Y20" s="619">
        <v>2196</v>
      </c>
      <c r="Z20" s="955">
        <v>2288</v>
      </c>
      <c r="AA20" s="619">
        <v>2345</v>
      </c>
      <c r="AB20" s="619">
        <v>2517</v>
      </c>
      <c r="AC20" s="619">
        <v>2699</v>
      </c>
      <c r="AD20" s="955">
        <v>2644</v>
      </c>
      <c r="AE20" s="619">
        <v>2877</v>
      </c>
      <c r="AF20" s="619">
        <v>3154</v>
      </c>
      <c r="AG20" s="619">
        <v>3034</v>
      </c>
      <c r="AH20" s="955">
        <v>2984</v>
      </c>
      <c r="AI20" s="348"/>
      <c r="AJ20" s="90"/>
      <c r="AK20" s="90"/>
      <c r="AL20" s="90"/>
    </row>
    <row r="21" spans="1:38" ht="12.75" x14ac:dyDescent="0.2">
      <c r="A21" s="584" t="s">
        <v>300</v>
      </c>
      <c r="B21" s="619">
        <v>258</v>
      </c>
      <c r="C21" s="619">
        <v>279</v>
      </c>
      <c r="D21" s="619">
        <v>243.24751847849984</v>
      </c>
      <c r="E21" s="619">
        <v>226</v>
      </c>
      <c r="F21" s="619">
        <v>159</v>
      </c>
      <c r="G21" s="619">
        <v>171</v>
      </c>
      <c r="H21" s="619">
        <f t="shared" si="1"/>
        <v>120</v>
      </c>
      <c r="I21" s="619">
        <v>-16</v>
      </c>
      <c r="J21" s="348"/>
      <c r="K21" s="619">
        <v>30.247518478499842</v>
      </c>
      <c r="L21" s="619">
        <v>87</v>
      </c>
      <c r="M21" s="619">
        <v>63</v>
      </c>
      <c r="N21" s="955">
        <v>63</v>
      </c>
      <c r="O21" s="619">
        <v>45</v>
      </c>
      <c r="P21" s="619">
        <v>66</v>
      </c>
      <c r="Q21" s="619">
        <v>91</v>
      </c>
      <c r="R21" s="955">
        <v>24</v>
      </c>
      <c r="S21" s="619">
        <v>65</v>
      </c>
      <c r="T21" s="619">
        <v>-2</v>
      </c>
      <c r="U21" s="619">
        <v>59</v>
      </c>
      <c r="V21" s="955">
        <v>37</v>
      </c>
      <c r="W21" s="619">
        <v>50</v>
      </c>
      <c r="X21" s="619">
        <v>1</v>
      </c>
      <c r="Y21" s="619">
        <v>57</v>
      </c>
      <c r="Z21" s="955">
        <v>63</v>
      </c>
      <c r="AA21" s="619">
        <v>37</v>
      </c>
      <c r="AB21" s="619">
        <v>29</v>
      </c>
      <c r="AC21" s="619">
        <v>25</v>
      </c>
      <c r="AD21" s="955">
        <v>29</v>
      </c>
      <c r="AE21" s="619">
        <v>15</v>
      </c>
      <c r="AF21" s="619">
        <v>14</v>
      </c>
      <c r="AG21" s="619">
        <v>21</v>
      </c>
      <c r="AH21" s="955">
        <v>-66</v>
      </c>
      <c r="AI21" s="348"/>
      <c r="AJ21" s="90"/>
      <c r="AK21" s="90"/>
      <c r="AL21" s="90"/>
    </row>
    <row r="22" spans="1:38" ht="12.75" x14ac:dyDescent="0.2">
      <c r="A22" s="910" t="s">
        <v>301</v>
      </c>
      <c r="B22" s="961">
        <v>28663</v>
      </c>
      <c r="C22" s="961">
        <v>27102</v>
      </c>
      <c r="D22" s="961">
        <v>31364.2475184785</v>
      </c>
      <c r="E22" s="961">
        <v>38285</v>
      </c>
      <c r="F22" s="961">
        <v>40849</v>
      </c>
      <c r="G22" s="961">
        <v>36122</v>
      </c>
      <c r="H22" s="961">
        <f t="shared" si="1"/>
        <v>39645</v>
      </c>
      <c r="I22" s="961">
        <v>49694</v>
      </c>
      <c r="J22" s="348"/>
      <c r="K22" s="961">
        <v>7411.2475184784998</v>
      </c>
      <c r="L22" s="961">
        <v>7879</v>
      </c>
      <c r="M22" s="961">
        <v>7610</v>
      </c>
      <c r="N22" s="962">
        <v>8464</v>
      </c>
      <c r="O22" s="961">
        <v>8233</v>
      </c>
      <c r="P22" s="961">
        <v>9843</v>
      </c>
      <c r="Q22" s="961">
        <v>9651</v>
      </c>
      <c r="R22" s="962">
        <v>10558</v>
      </c>
      <c r="S22" s="961">
        <v>9785</v>
      </c>
      <c r="T22" s="961">
        <v>10626</v>
      </c>
      <c r="U22" s="961">
        <v>10158</v>
      </c>
      <c r="V22" s="962">
        <v>10280</v>
      </c>
      <c r="W22" s="961">
        <v>9134</v>
      </c>
      <c r="X22" s="961">
        <v>8458</v>
      </c>
      <c r="Y22" s="961">
        <v>8724</v>
      </c>
      <c r="Z22" s="962">
        <v>9806</v>
      </c>
      <c r="AA22" s="961">
        <v>8773</v>
      </c>
      <c r="AB22" s="961">
        <v>9733</v>
      </c>
      <c r="AC22" s="961">
        <v>9966</v>
      </c>
      <c r="AD22" s="962">
        <v>11173</v>
      </c>
      <c r="AE22" s="961">
        <v>11088</v>
      </c>
      <c r="AF22" s="961">
        <v>11868</v>
      </c>
      <c r="AG22" s="961">
        <v>12802</v>
      </c>
      <c r="AH22" s="962">
        <v>13936</v>
      </c>
      <c r="AI22" s="348"/>
      <c r="AJ22" s="90"/>
      <c r="AK22" s="90"/>
      <c r="AL22" s="90"/>
    </row>
    <row r="23" spans="1:38" ht="12.75" x14ac:dyDescent="0.2">
      <c r="A23" s="956" t="s">
        <v>304</v>
      </c>
      <c r="B23" s="963"/>
      <c r="C23" s="970">
        <v>-0.05</v>
      </c>
      <c r="D23" s="970">
        <v>0.16</v>
      </c>
      <c r="E23" s="970">
        <v>0.22</v>
      </c>
      <c r="F23" s="970">
        <v>7.0000000000000007E-2</v>
      </c>
      <c r="G23" s="970">
        <v>-0.12</v>
      </c>
      <c r="H23" s="970">
        <f>H22/G22-1</f>
        <v>9.7530590775704473E-2</v>
      </c>
      <c r="I23" s="970">
        <f>I22/H22-1</f>
        <v>0.25347458695926339</v>
      </c>
      <c r="J23" s="348"/>
      <c r="K23" s="963"/>
      <c r="L23" s="963"/>
      <c r="M23" s="963"/>
      <c r="N23" s="964"/>
      <c r="O23" s="963"/>
      <c r="P23" s="963"/>
      <c r="Q23" s="963"/>
      <c r="R23" s="964"/>
      <c r="S23" s="963"/>
      <c r="T23" s="963"/>
      <c r="U23" s="963"/>
      <c r="V23" s="964"/>
      <c r="W23" s="963"/>
      <c r="X23" s="963"/>
      <c r="Y23" s="963"/>
      <c r="Z23" s="964"/>
      <c r="AA23" s="963"/>
      <c r="AB23" s="963"/>
      <c r="AC23" s="963"/>
      <c r="AD23" s="964"/>
      <c r="AE23" s="963"/>
      <c r="AF23" s="963"/>
      <c r="AG23" s="963"/>
      <c r="AH23" s="964"/>
      <c r="AI23" s="348"/>
      <c r="AJ23" s="90"/>
      <c r="AK23" s="90"/>
      <c r="AL23" s="90"/>
    </row>
    <row r="24" spans="1:38" ht="12.75" x14ac:dyDescent="0.2">
      <c r="A24" s="956" t="s">
        <v>1285</v>
      </c>
      <c r="B24" s="963"/>
      <c r="C24" s="971">
        <f t="shared" ref="C24:I24" si="2">($H$22/$B$22)^(1/6)-1</f>
        <v>5.5547536297333666E-2</v>
      </c>
      <c r="D24" s="971">
        <f t="shared" si="2"/>
        <v>5.5547536297333666E-2</v>
      </c>
      <c r="E24" s="971">
        <f t="shared" si="2"/>
        <v>5.5547536297333666E-2</v>
      </c>
      <c r="F24" s="971">
        <f t="shared" si="2"/>
        <v>5.5547536297333666E-2</v>
      </c>
      <c r="G24" s="971">
        <f t="shared" si="2"/>
        <v>5.5547536297333666E-2</v>
      </c>
      <c r="H24" s="971">
        <f t="shared" si="2"/>
        <v>5.5547536297333666E-2</v>
      </c>
      <c r="I24" s="971">
        <f t="shared" si="2"/>
        <v>5.5547536297333666E-2</v>
      </c>
      <c r="J24" s="348"/>
      <c r="K24" s="963"/>
      <c r="L24" s="963"/>
      <c r="M24" s="963"/>
      <c r="N24" s="964"/>
      <c r="O24" s="963"/>
      <c r="P24" s="963"/>
      <c r="Q24" s="963"/>
      <c r="R24" s="964"/>
      <c r="S24" s="963"/>
      <c r="T24" s="963"/>
      <c r="U24" s="963"/>
      <c r="V24" s="964"/>
      <c r="W24" s="963"/>
      <c r="X24" s="963"/>
      <c r="Y24" s="963"/>
      <c r="Z24" s="964"/>
      <c r="AA24" s="963"/>
      <c r="AB24" s="963"/>
      <c r="AC24" s="963"/>
      <c r="AD24" s="964"/>
      <c r="AE24" s="963"/>
      <c r="AF24" s="963"/>
      <c r="AG24" s="963"/>
      <c r="AH24" s="964"/>
      <c r="AI24" s="348"/>
      <c r="AJ24" s="90"/>
      <c r="AK24" s="90"/>
      <c r="AL24" s="90"/>
    </row>
    <row r="25" spans="1:38" ht="12.75" x14ac:dyDescent="0.2">
      <c r="A25" s="949"/>
      <c r="B25" s="963"/>
      <c r="C25" s="963"/>
      <c r="D25" s="963"/>
      <c r="E25" s="963"/>
      <c r="F25" s="963"/>
      <c r="G25" s="972"/>
      <c r="H25" s="972"/>
      <c r="I25" s="972"/>
      <c r="J25" s="348"/>
      <c r="K25" s="963"/>
      <c r="L25" s="963"/>
      <c r="M25" s="963"/>
      <c r="N25" s="964"/>
      <c r="O25" s="963"/>
      <c r="P25" s="963"/>
      <c r="Q25" s="963"/>
      <c r="R25" s="964"/>
      <c r="S25" s="963"/>
      <c r="T25" s="963"/>
      <c r="U25" s="963"/>
      <c r="V25" s="964"/>
      <c r="W25" s="963"/>
      <c r="X25" s="963"/>
      <c r="Y25" s="963"/>
      <c r="Z25" s="964"/>
      <c r="AA25" s="963"/>
      <c r="AB25" s="963"/>
      <c r="AC25" s="963"/>
      <c r="AD25" s="964"/>
      <c r="AE25" s="963"/>
      <c r="AF25" s="963"/>
      <c r="AG25" s="963"/>
      <c r="AH25" s="964"/>
      <c r="AI25" s="348"/>
      <c r="AJ25" s="90"/>
      <c r="AK25" s="90"/>
      <c r="AL25" s="90"/>
    </row>
    <row r="26" spans="1:38" ht="12.75" x14ac:dyDescent="0.2">
      <c r="A26" s="949" t="s">
        <v>1286</v>
      </c>
      <c r="B26" s="950">
        <v>2015</v>
      </c>
      <c r="C26" s="950">
        <v>2016</v>
      </c>
      <c r="D26" s="950">
        <v>2017</v>
      </c>
      <c r="E26" s="950">
        <v>2018</v>
      </c>
      <c r="F26" s="950">
        <v>2019</v>
      </c>
      <c r="G26" s="950">
        <v>2020</v>
      </c>
      <c r="H26" s="950">
        <f>SUM(AA26:AD26)</f>
        <v>2021</v>
      </c>
      <c r="I26" s="950">
        <f>SUM(AB26:AE26)</f>
        <v>2022</v>
      </c>
      <c r="J26" s="348"/>
      <c r="K26" s="950">
        <v>2017</v>
      </c>
      <c r="L26" s="950"/>
      <c r="M26" s="950"/>
      <c r="N26" s="951"/>
      <c r="O26" s="950">
        <v>2018</v>
      </c>
      <c r="P26" s="950"/>
      <c r="Q26" s="950"/>
      <c r="R26" s="951"/>
      <c r="S26" s="950">
        <v>2019</v>
      </c>
      <c r="T26" s="950"/>
      <c r="U26" s="950"/>
      <c r="V26" s="951"/>
      <c r="W26" s="950">
        <v>2020</v>
      </c>
      <c r="X26" s="950"/>
      <c r="Y26" s="950"/>
      <c r="Z26" s="951"/>
      <c r="AA26" s="950">
        <v>2021</v>
      </c>
      <c r="AB26" s="950"/>
      <c r="AC26" s="950"/>
      <c r="AD26" s="951" t="s">
        <v>306</v>
      </c>
      <c r="AE26" s="950">
        <v>2022</v>
      </c>
      <c r="AF26" s="950" t="s">
        <v>306</v>
      </c>
      <c r="AG26" s="950" t="s">
        <v>306</v>
      </c>
      <c r="AH26" s="951" t="s">
        <v>306</v>
      </c>
      <c r="AI26" s="348"/>
      <c r="AJ26" s="90"/>
      <c r="AK26" s="90"/>
      <c r="AL26" s="90"/>
    </row>
    <row r="27" spans="1:38" ht="12.75" x14ac:dyDescent="0.2">
      <c r="A27" s="966" t="s">
        <v>264</v>
      </c>
      <c r="B27" s="967" t="s">
        <v>501</v>
      </c>
      <c r="C27" s="967" t="s">
        <v>501</v>
      </c>
      <c r="D27" s="967" t="s">
        <v>501</v>
      </c>
      <c r="E27" s="967" t="s">
        <v>501</v>
      </c>
      <c r="F27" s="967" t="s">
        <v>501</v>
      </c>
      <c r="G27" s="967" t="s">
        <v>501</v>
      </c>
      <c r="H27" s="967" t="s">
        <v>501</v>
      </c>
      <c r="I27" s="967" t="s">
        <v>501</v>
      </c>
      <c r="J27" s="348"/>
      <c r="K27" s="967" t="s">
        <v>503</v>
      </c>
      <c r="L27" s="967" t="s">
        <v>504</v>
      </c>
      <c r="M27" s="967" t="s">
        <v>505</v>
      </c>
      <c r="N27" s="968" t="s">
        <v>506</v>
      </c>
      <c r="O27" s="967" t="s">
        <v>503</v>
      </c>
      <c r="P27" s="967" t="s">
        <v>504</v>
      </c>
      <c r="Q27" s="967" t="s">
        <v>505</v>
      </c>
      <c r="R27" s="968" t="s">
        <v>506</v>
      </c>
      <c r="S27" s="967" t="s">
        <v>503</v>
      </c>
      <c r="T27" s="967" t="s">
        <v>504</v>
      </c>
      <c r="U27" s="967" t="s">
        <v>505</v>
      </c>
      <c r="V27" s="968" t="s">
        <v>506</v>
      </c>
      <c r="W27" s="967" t="s">
        <v>503</v>
      </c>
      <c r="X27" s="967" t="s">
        <v>504</v>
      </c>
      <c r="Y27" s="967" t="s">
        <v>505</v>
      </c>
      <c r="Z27" s="968" t="s">
        <v>506</v>
      </c>
      <c r="AA27" s="967" t="s">
        <v>503</v>
      </c>
      <c r="AB27" s="967" t="s">
        <v>504</v>
      </c>
      <c r="AC27" s="967" t="str">
        <f>+AC$6</f>
        <v>Q3</v>
      </c>
      <c r="AD27" s="968" t="s">
        <v>506</v>
      </c>
      <c r="AE27" s="967" t="s">
        <v>503</v>
      </c>
      <c r="AF27" s="967" t="s">
        <v>504</v>
      </c>
      <c r="AG27" s="967" t="s">
        <v>505</v>
      </c>
      <c r="AH27" s="968" t="s">
        <v>506</v>
      </c>
      <c r="AI27" s="348"/>
      <c r="AJ27" s="90"/>
      <c r="AK27" s="90"/>
      <c r="AL27" s="90"/>
    </row>
    <row r="28" spans="1:38" ht="12.75" x14ac:dyDescent="0.2">
      <c r="A28" s="584" t="s">
        <v>553</v>
      </c>
      <c r="B28" s="619">
        <v>4370</v>
      </c>
      <c r="C28" s="619">
        <v>3802</v>
      </c>
      <c r="D28" s="901">
        <v>5107</v>
      </c>
      <c r="E28" s="901">
        <v>6713</v>
      </c>
      <c r="F28" s="619">
        <v>7436</v>
      </c>
      <c r="G28" s="619">
        <v>6639</v>
      </c>
      <c r="H28" s="619">
        <f t="shared" ref="H28:H33" si="3">SUM(AA28:AD28)</f>
        <v>7808</v>
      </c>
      <c r="I28" s="619">
        <v>9277</v>
      </c>
      <c r="J28" s="348"/>
      <c r="K28" s="901">
        <v>1166</v>
      </c>
      <c r="L28" s="901">
        <v>1242</v>
      </c>
      <c r="M28" s="901">
        <v>1261</v>
      </c>
      <c r="N28" s="903">
        <v>1438</v>
      </c>
      <c r="O28" s="901">
        <v>1351</v>
      </c>
      <c r="P28" s="901">
        <v>1741</v>
      </c>
      <c r="Q28" s="901">
        <v>1755</v>
      </c>
      <c r="R28" s="903">
        <v>1866</v>
      </c>
      <c r="S28" s="901">
        <v>1707</v>
      </c>
      <c r="T28" s="901">
        <v>1961</v>
      </c>
      <c r="U28" s="901">
        <v>1923</v>
      </c>
      <c r="V28" s="903">
        <v>1845</v>
      </c>
      <c r="W28" s="901">
        <v>1586</v>
      </c>
      <c r="X28" s="901">
        <v>1441</v>
      </c>
      <c r="Y28" s="901">
        <v>1646</v>
      </c>
      <c r="Z28" s="903">
        <v>1966</v>
      </c>
      <c r="AA28" s="901">
        <v>1696</v>
      </c>
      <c r="AB28" s="901">
        <v>1880</v>
      </c>
      <c r="AC28" s="901">
        <v>1909</v>
      </c>
      <c r="AD28" s="903">
        <v>2323</v>
      </c>
      <c r="AE28" s="901">
        <v>2142</v>
      </c>
      <c r="AF28" s="901">
        <v>1891</v>
      </c>
      <c r="AG28" s="901">
        <v>2417</v>
      </c>
      <c r="AH28" s="903">
        <v>2827</v>
      </c>
      <c r="AI28" s="348"/>
      <c r="AJ28" s="90"/>
      <c r="AK28" s="90"/>
      <c r="AL28" s="90"/>
    </row>
    <row r="29" spans="1:38" ht="12.75" x14ac:dyDescent="0.2">
      <c r="A29" s="584" t="s">
        <v>299</v>
      </c>
      <c r="B29" s="957">
        <v>957</v>
      </c>
      <c r="C29" s="957">
        <v>937</v>
      </c>
      <c r="D29" s="619">
        <v>1146.0051558893001</v>
      </c>
      <c r="E29" s="619">
        <v>1239</v>
      </c>
      <c r="F29" s="619">
        <v>1252</v>
      </c>
      <c r="G29" s="619">
        <v>1097</v>
      </c>
      <c r="H29" s="619">
        <f t="shared" si="3"/>
        <v>1784</v>
      </c>
      <c r="I29" s="619">
        <v>2114</v>
      </c>
      <c r="J29" s="348"/>
      <c r="K29" s="619">
        <v>321</v>
      </c>
      <c r="L29" s="619">
        <v>328</v>
      </c>
      <c r="M29" s="619">
        <v>279</v>
      </c>
      <c r="N29" s="955">
        <v>218.0051558893</v>
      </c>
      <c r="O29" s="619">
        <v>287</v>
      </c>
      <c r="P29" s="619">
        <v>304</v>
      </c>
      <c r="Q29" s="619">
        <v>324</v>
      </c>
      <c r="R29" s="955">
        <v>324</v>
      </c>
      <c r="S29" s="619">
        <v>371</v>
      </c>
      <c r="T29" s="619">
        <v>429</v>
      </c>
      <c r="U29" s="619">
        <v>157</v>
      </c>
      <c r="V29" s="955">
        <v>295</v>
      </c>
      <c r="W29" s="619">
        <v>337</v>
      </c>
      <c r="X29" s="619">
        <v>143</v>
      </c>
      <c r="Y29" s="619">
        <v>254</v>
      </c>
      <c r="Z29" s="955">
        <v>363</v>
      </c>
      <c r="AA29" s="619">
        <v>386</v>
      </c>
      <c r="AB29" s="619">
        <v>416</v>
      </c>
      <c r="AC29" s="619">
        <v>502</v>
      </c>
      <c r="AD29" s="955">
        <v>480</v>
      </c>
      <c r="AE29" s="619">
        <v>520</v>
      </c>
      <c r="AF29" s="619">
        <v>500</v>
      </c>
      <c r="AG29" s="619">
        <v>571</v>
      </c>
      <c r="AH29" s="955">
        <v>523</v>
      </c>
      <c r="AI29" s="348"/>
      <c r="AJ29" s="90"/>
      <c r="AK29" s="90"/>
      <c r="AL29" s="90"/>
    </row>
    <row r="30" spans="1:38" ht="12.75" x14ac:dyDescent="0.2">
      <c r="A30" s="584" t="s">
        <v>1287</v>
      </c>
      <c r="B30" s="959">
        <v>-152</v>
      </c>
      <c r="C30" s="959">
        <v>-191</v>
      </c>
      <c r="D30" s="901">
        <v>-323</v>
      </c>
      <c r="E30" s="619">
        <v>-567</v>
      </c>
      <c r="F30" s="619">
        <v>-552</v>
      </c>
      <c r="G30" s="619">
        <v>-354</v>
      </c>
      <c r="H30" s="619">
        <f t="shared" si="3"/>
        <v>-597</v>
      </c>
      <c r="I30" s="619">
        <v>-244</v>
      </c>
      <c r="J30" s="348"/>
      <c r="K30" s="901">
        <v>-73</v>
      </c>
      <c r="L30" s="901">
        <v>-102</v>
      </c>
      <c r="M30" s="901">
        <v>-20</v>
      </c>
      <c r="N30" s="903">
        <v>-128</v>
      </c>
      <c r="O30" s="901">
        <v>-123</v>
      </c>
      <c r="P30" s="901">
        <v>-235</v>
      </c>
      <c r="Q30" s="901">
        <v>-181</v>
      </c>
      <c r="R30" s="903">
        <v>-28</v>
      </c>
      <c r="S30" s="901">
        <v>-148</v>
      </c>
      <c r="T30" s="901">
        <v>-127</v>
      </c>
      <c r="U30" s="901">
        <v>-153</v>
      </c>
      <c r="V30" s="903">
        <v>-124</v>
      </c>
      <c r="W30" s="901">
        <v>9</v>
      </c>
      <c r="X30" s="901">
        <v>-166</v>
      </c>
      <c r="Y30" s="901">
        <v>-80</v>
      </c>
      <c r="Z30" s="903">
        <v>-117</v>
      </c>
      <c r="AA30" s="901">
        <v>-215</v>
      </c>
      <c r="AB30" s="901">
        <v>-114</v>
      </c>
      <c r="AC30" s="901">
        <v>-59</v>
      </c>
      <c r="AD30" s="903">
        <v>-209</v>
      </c>
      <c r="AE30" s="901">
        <v>-31</v>
      </c>
      <c r="AF30" s="901">
        <v>-10</v>
      </c>
      <c r="AG30" s="901">
        <v>-88</v>
      </c>
      <c r="AH30" s="903">
        <v>-115</v>
      </c>
      <c r="AI30" s="348"/>
      <c r="AJ30" s="90"/>
      <c r="AK30" s="90"/>
      <c r="AL30" s="90"/>
    </row>
    <row r="31" spans="1:38" ht="12.75" x14ac:dyDescent="0.2">
      <c r="A31" s="910" t="s">
        <v>192</v>
      </c>
      <c r="B31" s="961">
        <v>5175</v>
      </c>
      <c r="C31" s="961">
        <v>4548</v>
      </c>
      <c r="D31" s="961">
        <v>5930.0051558893001</v>
      </c>
      <c r="E31" s="961">
        <v>7385</v>
      </c>
      <c r="F31" s="961">
        <v>8136</v>
      </c>
      <c r="G31" s="961">
        <v>7382</v>
      </c>
      <c r="H31" s="961">
        <f t="shared" si="3"/>
        <v>8995</v>
      </c>
      <c r="I31" s="961">
        <v>11147</v>
      </c>
      <c r="J31" s="348"/>
      <c r="K31" s="961">
        <v>1414</v>
      </c>
      <c r="L31" s="961">
        <v>1468</v>
      </c>
      <c r="M31" s="961">
        <v>1520</v>
      </c>
      <c r="N31" s="962">
        <v>1528.0051558893001</v>
      </c>
      <c r="O31" s="961">
        <v>1515</v>
      </c>
      <c r="P31" s="961">
        <v>1810</v>
      </c>
      <c r="Q31" s="961">
        <v>1898</v>
      </c>
      <c r="R31" s="962">
        <v>2162</v>
      </c>
      <c r="S31" s="961">
        <v>1930</v>
      </c>
      <c r="T31" s="961">
        <v>2263</v>
      </c>
      <c r="U31" s="961">
        <v>1927</v>
      </c>
      <c r="V31" s="962">
        <v>2016</v>
      </c>
      <c r="W31" s="961">
        <v>1932</v>
      </c>
      <c r="X31" s="961">
        <v>1418</v>
      </c>
      <c r="Y31" s="961">
        <v>1820</v>
      </c>
      <c r="Z31" s="962">
        <v>2212</v>
      </c>
      <c r="AA31" s="961">
        <v>1867</v>
      </c>
      <c r="AB31" s="961">
        <v>2182</v>
      </c>
      <c r="AC31" s="961">
        <v>2352</v>
      </c>
      <c r="AD31" s="962">
        <v>2594</v>
      </c>
      <c r="AE31" s="961">
        <v>2631</v>
      </c>
      <c r="AF31" s="961">
        <v>2381</v>
      </c>
      <c r="AG31" s="961">
        <v>2900</v>
      </c>
      <c r="AH31" s="962">
        <v>3235</v>
      </c>
      <c r="AI31" s="348"/>
      <c r="AJ31" s="90"/>
      <c r="AK31" s="90"/>
      <c r="AL31" s="90"/>
    </row>
    <row r="32" spans="1:38" ht="12.75" x14ac:dyDescent="0.2">
      <c r="A32" s="584" t="s">
        <v>283</v>
      </c>
      <c r="B32" s="619">
        <v>-220</v>
      </c>
      <c r="C32" s="619">
        <v>-137</v>
      </c>
      <c r="D32" s="619">
        <v>-137</v>
      </c>
      <c r="E32" s="619">
        <v>-184</v>
      </c>
      <c r="F32" s="619">
        <v>-293</v>
      </c>
      <c r="G32" s="619">
        <v>-295</v>
      </c>
      <c r="H32" s="619">
        <f t="shared" si="3"/>
        <v>-31</v>
      </c>
      <c r="I32" s="619">
        <v>-369</v>
      </c>
      <c r="J32" s="348"/>
      <c r="K32" s="619">
        <v>-23</v>
      </c>
      <c r="L32" s="619">
        <v>-10</v>
      </c>
      <c r="M32" s="619">
        <v>-19</v>
      </c>
      <c r="N32" s="955">
        <v>-85</v>
      </c>
      <c r="O32" s="619">
        <v>-57</v>
      </c>
      <c r="P32" s="619">
        <v>-44</v>
      </c>
      <c r="Q32" s="619">
        <v>-36.982705969999984</v>
      </c>
      <c r="R32" s="955">
        <v>-46.017294030000016</v>
      </c>
      <c r="S32" s="619">
        <v>-100</v>
      </c>
      <c r="T32" s="619">
        <v>-38</v>
      </c>
      <c r="U32" s="619">
        <v>-61</v>
      </c>
      <c r="V32" s="955">
        <v>-94</v>
      </c>
      <c r="W32" s="619">
        <v>-46</v>
      </c>
      <c r="X32" s="619">
        <v>-51</v>
      </c>
      <c r="Y32" s="619">
        <v>-76</v>
      </c>
      <c r="Z32" s="955">
        <v>-122</v>
      </c>
      <c r="AA32" s="619">
        <v>-33</v>
      </c>
      <c r="AB32" s="619">
        <v>-44</v>
      </c>
      <c r="AC32" s="619">
        <v>73</v>
      </c>
      <c r="AD32" s="955">
        <v>-27</v>
      </c>
      <c r="AE32" s="619">
        <v>-67</v>
      </c>
      <c r="AF32" s="619">
        <v>-89</v>
      </c>
      <c r="AG32" s="619">
        <v>-24</v>
      </c>
      <c r="AH32" s="955">
        <v>-189</v>
      </c>
      <c r="AI32" s="348"/>
      <c r="AJ32" s="90"/>
      <c r="AK32" s="90"/>
      <c r="AL32" s="90"/>
    </row>
    <row r="33" spans="1:38" ht="12.75" x14ac:dyDescent="0.2">
      <c r="A33" s="910" t="s">
        <v>285</v>
      </c>
      <c r="B33" s="961">
        <v>4955</v>
      </c>
      <c r="C33" s="961">
        <v>4411</v>
      </c>
      <c r="D33" s="961">
        <v>5793</v>
      </c>
      <c r="E33" s="961">
        <v>7201</v>
      </c>
      <c r="F33" s="961">
        <v>7843</v>
      </c>
      <c r="G33" s="961">
        <v>7087</v>
      </c>
      <c r="H33" s="961">
        <f t="shared" si="3"/>
        <v>8964</v>
      </c>
      <c r="I33" s="961">
        <v>10778</v>
      </c>
      <c r="J33" s="348"/>
      <c r="K33" s="961">
        <v>1391</v>
      </c>
      <c r="L33" s="961">
        <v>1458</v>
      </c>
      <c r="M33" s="961">
        <v>1501</v>
      </c>
      <c r="N33" s="962">
        <v>1443</v>
      </c>
      <c r="O33" s="961">
        <v>1458</v>
      </c>
      <c r="P33" s="961">
        <v>1766</v>
      </c>
      <c r="Q33" s="961">
        <v>1861.0172940299999</v>
      </c>
      <c r="R33" s="962">
        <v>2116.1874796013699</v>
      </c>
      <c r="S33" s="961">
        <v>1830</v>
      </c>
      <c r="T33" s="961">
        <v>2225</v>
      </c>
      <c r="U33" s="961">
        <v>1866</v>
      </c>
      <c r="V33" s="962">
        <v>1922</v>
      </c>
      <c r="W33" s="961">
        <v>1886</v>
      </c>
      <c r="X33" s="961">
        <v>1367</v>
      </c>
      <c r="Y33" s="961">
        <v>1744</v>
      </c>
      <c r="Z33" s="962">
        <v>2090</v>
      </c>
      <c r="AA33" s="961">
        <v>1834</v>
      </c>
      <c r="AB33" s="961">
        <v>2138</v>
      </c>
      <c r="AC33" s="961">
        <v>2425</v>
      </c>
      <c r="AD33" s="962">
        <v>2567</v>
      </c>
      <c r="AE33" s="961">
        <v>2564</v>
      </c>
      <c r="AF33" s="961">
        <v>2292</v>
      </c>
      <c r="AG33" s="961">
        <v>2876</v>
      </c>
      <c r="AH33" s="962">
        <v>3046</v>
      </c>
      <c r="AI33" s="348"/>
      <c r="AJ33" s="90"/>
      <c r="AK33" s="90"/>
      <c r="AL33" s="90"/>
    </row>
    <row r="34" spans="1:38" ht="12.75" x14ac:dyDescent="0.2">
      <c r="A34" s="949"/>
      <c r="B34" s="973"/>
      <c r="C34" s="974"/>
      <c r="D34" s="973"/>
      <c r="E34" s="973"/>
      <c r="F34" s="973"/>
      <c r="G34" s="973"/>
      <c r="H34" s="973"/>
      <c r="I34" s="973"/>
      <c r="J34" s="348"/>
      <c r="K34" s="973"/>
      <c r="L34" s="973"/>
      <c r="M34" s="973"/>
      <c r="N34" s="975"/>
      <c r="O34" s="973"/>
      <c r="P34" s="973"/>
      <c r="Q34" s="973"/>
      <c r="R34" s="975"/>
      <c r="S34" s="973"/>
      <c r="T34" s="973"/>
      <c r="U34" s="973"/>
      <c r="V34" s="975"/>
      <c r="W34" s="973"/>
      <c r="X34" s="973"/>
      <c r="Y34" s="973"/>
      <c r="Z34" s="975"/>
      <c r="AA34" s="973"/>
      <c r="AB34" s="973"/>
      <c r="AC34" s="973"/>
      <c r="AD34" s="975"/>
      <c r="AE34" s="973"/>
      <c r="AF34" s="973"/>
      <c r="AG34" s="973"/>
      <c r="AH34" s="975"/>
      <c r="AI34" s="348"/>
      <c r="AJ34" s="90"/>
      <c r="AK34" s="90"/>
      <c r="AL34" s="90"/>
    </row>
    <row r="35" spans="1:38" ht="12.75" x14ac:dyDescent="0.2">
      <c r="A35" s="949"/>
      <c r="B35" s="973"/>
      <c r="C35" s="973"/>
      <c r="D35" s="973"/>
      <c r="E35" s="973"/>
      <c r="F35" s="973"/>
      <c r="G35" s="973"/>
      <c r="H35" s="973"/>
      <c r="I35" s="973"/>
      <c r="J35" s="348"/>
      <c r="K35" s="973"/>
      <c r="L35" s="973"/>
      <c r="M35" s="973"/>
      <c r="N35" s="975"/>
      <c r="O35" s="973"/>
      <c r="P35" s="973"/>
      <c r="Q35" s="973"/>
      <c r="R35" s="975"/>
      <c r="S35" s="973"/>
      <c r="T35" s="973"/>
      <c r="U35" s="973"/>
      <c r="V35" s="975"/>
      <c r="W35" s="973"/>
      <c r="X35" s="973"/>
      <c r="Y35" s="973"/>
      <c r="Z35" s="975"/>
      <c r="AA35" s="973"/>
      <c r="AB35" s="973"/>
      <c r="AC35" s="973"/>
      <c r="AD35" s="975"/>
      <c r="AE35" s="973"/>
      <c r="AF35" s="973"/>
      <c r="AG35" s="973"/>
      <c r="AH35" s="975"/>
      <c r="AI35" s="348"/>
      <c r="AJ35" s="90"/>
      <c r="AK35" s="90"/>
      <c r="AL35" s="90"/>
    </row>
    <row r="36" spans="1:38" ht="12.75" x14ac:dyDescent="0.2">
      <c r="A36" s="949" t="s">
        <v>279</v>
      </c>
      <c r="B36" s="950">
        <v>2015</v>
      </c>
      <c r="C36" s="950">
        <v>2016</v>
      </c>
      <c r="D36" s="950">
        <v>2017</v>
      </c>
      <c r="E36" s="950">
        <v>2018</v>
      </c>
      <c r="F36" s="950">
        <v>2019</v>
      </c>
      <c r="G36" s="950">
        <v>2020</v>
      </c>
      <c r="H36" s="950">
        <v>2021</v>
      </c>
      <c r="I36" s="950">
        <f>SUM(AB36:AE36)</f>
        <v>2022</v>
      </c>
      <c r="J36" s="348"/>
      <c r="K36" s="950">
        <v>2017</v>
      </c>
      <c r="L36" s="950"/>
      <c r="M36" s="950"/>
      <c r="N36" s="951"/>
      <c r="O36" s="950">
        <v>2018</v>
      </c>
      <c r="P36" s="950"/>
      <c r="Q36" s="950"/>
      <c r="R36" s="951"/>
      <c r="S36" s="950">
        <v>2019</v>
      </c>
      <c r="T36" s="950"/>
      <c r="U36" s="950"/>
      <c r="V36" s="951"/>
      <c r="W36" s="950">
        <v>2020</v>
      </c>
      <c r="X36" s="950"/>
      <c r="Y36" s="950"/>
      <c r="Z36" s="951"/>
      <c r="AA36" s="950">
        <v>2021</v>
      </c>
      <c r="AB36" s="950"/>
      <c r="AC36" s="950"/>
      <c r="AD36" s="951" t="s">
        <v>306</v>
      </c>
      <c r="AE36" s="950">
        <v>2022</v>
      </c>
      <c r="AF36" s="950" t="s">
        <v>306</v>
      </c>
      <c r="AG36" s="950" t="s">
        <v>306</v>
      </c>
      <c r="AH36" s="951" t="s">
        <v>306</v>
      </c>
      <c r="AI36" s="348"/>
      <c r="AJ36" s="90"/>
      <c r="AK36" s="90"/>
      <c r="AL36" s="90"/>
    </row>
    <row r="37" spans="1:38" ht="12.75" x14ac:dyDescent="0.2">
      <c r="A37" s="966" t="s">
        <v>264</v>
      </c>
      <c r="B37" s="967" t="s">
        <v>501</v>
      </c>
      <c r="C37" s="967" t="s">
        <v>501</v>
      </c>
      <c r="D37" s="967" t="s">
        <v>501</v>
      </c>
      <c r="E37" s="967" t="s">
        <v>501</v>
      </c>
      <c r="F37" s="967" t="s">
        <v>501</v>
      </c>
      <c r="G37" s="967" t="s">
        <v>501</v>
      </c>
      <c r="H37" s="967" t="s">
        <v>502</v>
      </c>
      <c r="I37" s="967" t="s">
        <v>501</v>
      </c>
      <c r="J37" s="348"/>
      <c r="K37" s="967" t="s">
        <v>503</v>
      </c>
      <c r="L37" s="967" t="s">
        <v>504</v>
      </c>
      <c r="M37" s="967" t="s">
        <v>505</v>
      </c>
      <c r="N37" s="968" t="s">
        <v>506</v>
      </c>
      <c r="O37" s="967" t="s">
        <v>503</v>
      </c>
      <c r="P37" s="967" t="s">
        <v>504</v>
      </c>
      <c r="Q37" s="967" t="s">
        <v>505</v>
      </c>
      <c r="R37" s="968" t="s">
        <v>506</v>
      </c>
      <c r="S37" s="967" t="s">
        <v>503</v>
      </c>
      <c r="T37" s="967" t="s">
        <v>504</v>
      </c>
      <c r="U37" s="967" t="s">
        <v>505</v>
      </c>
      <c r="V37" s="968" t="s">
        <v>506</v>
      </c>
      <c r="W37" s="967" t="s">
        <v>503</v>
      </c>
      <c r="X37" s="967" t="s">
        <v>504</v>
      </c>
      <c r="Y37" s="967" t="s">
        <v>505</v>
      </c>
      <c r="Z37" s="968" t="s">
        <v>506</v>
      </c>
      <c r="AA37" s="967" t="s">
        <v>503</v>
      </c>
      <c r="AB37" s="967" t="s">
        <v>504</v>
      </c>
      <c r="AC37" s="967" t="str">
        <f>+AC$6</f>
        <v>Q3</v>
      </c>
      <c r="AD37" s="968" t="s">
        <v>506</v>
      </c>
      <c r="AE37" s="967" t="s">
        <v>503</v>
      </c>
      <c r="AF37" s="967" t="s">
        <v>504</v>
      </c>
      <c r="AG37" s="967" t="s">
        <v>505</v>
      </c>
      <c r="AH37" s="968" t="s">
        <v>506</v>
      </c>
      <c r="AI37" s="348"/>
      <c r="AJ37" s="90"/>
      <c r="AK37" s="90"/>
      <c r="AL37" s="90"/>
    </row>
    <row r="38" spans="1:38" ht="12.75" x14ac:dyDescent="0.2">
      <c r="A38" s="584" t="s">
        <v>553</v>
      </c>
      <c r="B38" s="976">
        <v>0.21509081065117883</v>
      </c>
      <c r="C38" s="976">
        <v>0.20118531061487988</v>
      </c>
      <c r="D38" s="976">
        <v>0.22816423178304965</v>
      </c>
      <c r="E38" s="977">
        <v>0.23524877365101612</v>
      </c>
      <c r="F38" s="976">
        <v>0.249</v>
      </c>
      <c r="G38" s="976">
        <v>0.247</v>
      </c>
      <c r="H38" s="976">
        <f>H28/H17</f>
        <v>0.26630286493860844</v>
      </c>
      <c r="I38" s="976">
        <v>0.246</v>
      </c>
      <c r="J38" s="348"/>
      <c r="K38" s="976">
        <v>0.223</v>
      </c>
      <c r="L38" s="976">
        <v>0.22600000000000001</v>
      </c>
      <c r="M38" s="976">
        <v>0.23300000000000001</v>
      </c>
      <c r="N38" s="978">
        <v>0.23</v>
      </c>
      <c r="O38" s="976">
        <v>0.22700000000000001</v>
      </c>
      <c r="P38" s="976">
        <v>0.23799999999999999</v>
      </c>
      <c r="Q38" s="976">
        <v>0.245</v>
      </c>
      <c r="R38" s="978">
        <v>0.23100000000000001</v>
      </c>
      <c r="S38" s="976">
        <v>0.24</v>
      </c>
      <c r="T38" s="976">
        <v>0.255</v>
      </c>
      <c r="U38" s="976">
        <v>0.26200000000000001</v>
      </c>
      <c r="V38" s="978">
        <v>0.23799999999999999</v>
      </c>
      <c r="W38" s="976">
        <v>0.24099999999999999</v>
      </c>
      <c r="X38" s="976">
        <v>0.22438492681407701</v>
      </c>
      <c r="Y38" s="976">
        <v>0.25436563127800998</v>
      </c>
      <c r="Z38" s="978">
        <v>0.26400000000000001</v>
      </c>
      <c r="AA38" s="976">
        <v>0.26536999999999999</v>
      </c>
      <c r="AB38" s="976">
        <v>0.26200000000000001</v>
      </c>
      <c r="AC38" s="976">
        <v>0.26400000000000001</v>
      </c>
      <c r="AD38" s="978">
        <v>0.27300000000000002</v>
      </c>
      <c r="AE38" s="976">
        <v>0.26100000000000001</v>
      </c>
      <c r="AF38" s="976">
        <v>0.217</v>
      </c>
      <c r="AG38" s="976">
        <v>0.24797373550836199</v>
      </c>
      <c r="AH38" s="978">
        <v>0.256580141586495</v>
      </c>
      <c r="AI38" s="348"/>
      <c r="AJ38" s="90"/>
      <c r="AK38" s="90"/>
      <c r="AL38" s="90"/>
    </row>
    <row r="39" spans="1:38" ht="12.75" x14ac:dyDescent="0.2">
      <c r="A39" s="584" t="s">
        <v>299</v>
      </c>
      <c r="B39" s="979">
        <v>0.11832344213649852</v>
      </c>
      <c r="C39" s="979">
        <v>0.11823343848580442</v>
      </c>
      <c r="D39" s="979">
        <v>0.13114847827369075</v>
      </c>
      <c r="E39" s="979">
        <v>0.13011790000000001</v>
      </c>
      <c r="F39" s="979">
        <v>0.11600000000000001</v>
      </c>
      <c r="G39" s="979">
        <v>0.122</v>
      </c>
      <c r="H39" s="979">
        <f>H29/H20</f>
        <v>0.17481626653601176</v>
      </c>
      <c r="I39" s="979">
        <v>0.17499999999999999</v>
      </c>
      <c r="J39" s="348"/>
      <c r="K39" s="979">
        <v>0.14799999999999999</v>
      </c>
      <c r="L39" s="979">
        <v>0.14299999999999999</v>
      </c>
      <c r="M39" s="979">
        <v>0.13</v>
      </c>
      <c r="N39" s="980">
        <v>0.10199999999999999</v>
      </c>
      <c r="O39" s="979">
        <v>0.128</v>
      </c>
      <c r="P39" s="979">
        <v>0.124</v>
      </c>
      <c r="Q39" s="979">
        <v>0.13598930000000001</v>
      </c>
      <c r="R39" s="980">
        <v>0.13259570000000001</v>
      </c>
      <c r="S39" s="979">
        <v>0.14237610000000001</v>
      </c>
      <c r="T39" s="979">
        <v>0.14649909999999999</v>
      </c>
      <c r="U39" s="979">
        <v>5.6908899999999998E-2</v>
      </c>
      <c r="V39" s="980">
        <v>0.11799999999999999</v>
      </c>
      <c r="W39" s="979">
        <v>0.13500000000000001</v>
      </c>
      <c r="X39" s="979">
        <v>7.0270270270270302E-2</v>
      </c>
      <c r="Y39" s="979">
        <v>0.115664845173042</v>
      </c>
      <c r="Z39" s="980">
        <v>0.159</v>
      </c>
      <c r="AA39" s="979">
        <v>0.16461000000000001</v>
      </c>
      <c r="AB39" s="979">
        <v>0.16500000000000001</v>
      </c>
      <c r="AC39" s="979">
        <v>0.186</v>
      </c>
      <c r="AD39" s="980">
        <v>0.182</v>
      </c>
      <c r="AE39" s="979">
        <v>0.18099999999999999</v>
      </c>
      <c r="AF39" s="979">
        <v>0.159</v>
      </c>
      <c r="AG39" s="979">
        <v>0.188200395517469</v>
      </c>
      <c r="AH39" s="980">
        <v>0.17526809651474501</v>
      </c>
      <c r="AI39" s="348"/>
      <c r="AJ39" s="90"/>
      <c r="AK39" s="90"/>
      <c r="AL39" s="90"/>
    </row>
    <row r="40" spans="1:38" ht="12.75" x14ac:dyDescent="0.2">
      <c r="A40" s="910" t="s">
        <v>301</v>
      </c>
      <c r="B40" s="981">
        <v>0.18054634895161009</v>
      </c>
      <c r="C40" s="981">
        <v>0.16781049369050255</v>
      </c>
      <c r="D40" s="981">
        <v>0.189</v>
      </c>
      <c r="E40" s="981">
        <v>0.19289538983936266</v>
      </c>
      <c r="F40" s="981">
        <v>0.19900000000000001</v>
      </c>
      <c r="G40" s="981">
        <v>0.20399999999999999</v>
      </c>
      <c r="H40" s="981">
        <f>H31/H22</f>
        <v>0.22688863665027115</v>
      </c>
      <c r="I40" s="981">
        <v>0.224</v>
      </c>
      <c r="J40" s="348"/>
      <c r="K40" s="981">
        <v>0.191</v>
      </c>
      <c r="L40" s="981">
        <v>0.186</v>
      </c>
      <c r="M40" s="981">
        <v>0.2</v>
      </c>
      <c r="N40" s="982">
        <v>0.18099999999999999</v>
      </c>
      <c r="O40" s="981">
        <v>0.18415860000000001</v>
      </c>
      <c r="P40" s="981">
        <v>0.184</v>
      </c>
      <c r="Q40" s="981">
        <v>0.19666355818049944</v>
      </c>
      <c r="R40" s="982">
        <v>0.20477363136957757</v>
      </c>
      <c r="S40" s="981">
        <v>0.19721749999999999</v>
      </c>
      <c r="T40" s="981">
        <v>0.2130041</v>
      </c>
      <c r="U40" s="981">
        <v>0.1896526</v>
      </c>
      <c r="V40" s="982">
        <v>0.19600000000000001</v>
      </c>
      <c r="W40" s="981">
        <v>0.21199999999999999</v>
      </c>
      <c r="X40" s="981">
        <v>0.167651927169544</v>
      </c>
      <c r="Y40" s="981">
        <v>0.20861989912883999</v>
      </c>
      <c r="Z40" s="982">
        <v>0.22600000000000001</v>
      </c>
      <c r="AA40" s="981">
        <v>0.21281</v>
      </c>
      <c r="AB40" s="981">
        <v>0.224</v>
      </c>
      <c r="AC40" s="981">
        <v>0.23599999999999999</v>
      </c>
      <c r="AD40" s="982">
        <v>0.23200000000000001</v>
      </c>
      <c r="AE40" s="981">
        <v>0.23699999999999999</v>
      </c>
      <c r="AF40" s="981">
        <v>0.20100000000000001</v>
      </c>
      <c r="AG40" s="981">
        <v>0.22652710513982199</v>
      </c>
      <c r="AH40" s="982">
        <v>0.23213260619977</v>
      </c>
      <c r="AI40" s="348"/>
      <c r="AJ40" s="90"/>
      <c r="AK40" s="90"/>
      <c r="AL40" s="90"/>
    </row>
    <row r="41" spans="1:38" ht="12.75" x14ac:dyDescent="0.2">
      <c r="A41" s="949"/>
      <c r="B41" s="983"/>
      <c r="C41" s="983"/>
      <c r="D41" s="983"/>
      <c r="E41" s="983"/>
      <c r="F41" s="983"/>
      <c r="G41" s="983"/>
      <c r="H41" s="983"/>
      <c r="I41" s="983"/>
      <c r="J41" s="348"/>
      <c r="K41" s="983"/>
      <c r="L41" s="983"/>
      <c r="M41" s="983"/>
      <c r="N41" s="984"/>
      <c r="O41" s="983"/>
      <c r="P41" s="983"/>
      <c r="Q41" s="983"/>
      <c r="R41" s="984"/>
      <c r="S41" s="983"/>
      <c r="T41" s="983"/>
      <c r="U41" s="983"/>
      <c r="V41" s="984"/>
      <c r="W41" s="983"/>
      <c r="X41" s="983"/>
      <c r="Y41" s="983"/>
      <c r="Z41" s="984"/>
      <c r="AA41" s="983"/>
      <c r="AB41" s="983"/>
      <c r="AC41" s="983"/>
      <c r="AD41" s="984"/>
      <c r="AE41" s="983"/>
      <c r="AF41" s="983"/>
      <c r="AG41" s="983"/>
      <c r="AH41" s="984"/>
      <c r="AI41" s="348"/>
      <c r="AJ41" s="90"/>
      <c r="AK41" s="90"/>
      <c r="AL41" s="90"/>
    </row>
    <row r="42" spans="1:38" ht="12.75" x14ac:dyDescent="0.2">
      <c r="A42" s="949"/>
      <c r="B42" s="983"/>
      <c r="C42" s="983"/>
      <c r="D42" s="983"/>
      <c r="E42" s="983"/>
      <c r="F42" s="983"/>
      <c r="G42" s="983"/>
      <c r="H42" s="983"/>
      <c r="I42" s="983"/>
      <c r="J42" s="348"/>
      <c r="K42" s="983"/>
      <c r="L42" s="983"/>
      <c r="M42" s="983"/>
      <c r="N42" s="984"/>
      <c r="O42" s="983"/>
      <c r="P42" s="983"/>
      <c r="Q42" s="983"/>
      <c r="R42" s="984"/>
      <c r="S42" s="983"/>
      <c r="T42" s="983"/>
      <c r="U42" s="983"/>
      <c r="V42" s="984"/>
      <c r="W42" s="983"/>
      <c r="X42" s="983"/>
      <c r="Y42" s="983"/>
      <c r="Z42" s="984"/>
      <c r="AA42" s="983"/>
      <c r="AB42" s="983"/>
      <c r="AC42" s="983"/>
      <c r="AD42" s="984"/>
      <c r="AE42" s="983"/>
      <c r="AF42" s="983"/>
      <c r="AG42" s="983"/>
      <c r="AH42" s="984"/>
      <c r="AI42" s="348"/>
      <c r="AJ42" s="90"/>
      <c r="AK42" s="90"/>
      <c r="AL42" s="90"/>
    </row>
    <row r="43" spans="1:38" ht="12.75" x14ac:dyDescent="0.2">
      <c r="A43" s="949" t="s">
        <v>1288</v>
      </c>
      <c r="B43" s="950">
        <v>2015</v>
      </c>
      <c r="C43" s="950">
        <v>2016</v>
      </c>
      <c r="D43" s="950">
        <v>2017</v>
      </c>
      <c r="E43" s="950">
        <v>2018</v>
      </c>
      <c r="F43" s="950">
        <v>2019</v>
      </c>
      <c r="G43" s="950">
        <v>2020</v>
      </c>
      <c r="H43" s="950">
        <v>2021</v>
      </c>
      <c r="I43" s="950">
        <f>SUM(AB43:AE43)</f>
        <v>2022</v>
      </c>
      <c r="J43" s="348"/>
      <c r="K43" s="950">
        <v>2017</v>
      </c>
      <c r="L43" s="950"/>
      <c r="M43" s="950"/>
      <c r="N43" s="951"/>
      <c r="O43" s="950">
        <v>2018</v>
      </c>
      <c r="P43" s="950"/>
      <c r="Q43" s="950"/>
      <c r="R43" s="951"/>
      <c r="S43" s="950">
        <v>2019</v>
      </c>
      <c r="T43" s="950"/>
      <c r="U43" s="950"/>
      <c r="V43" s="951"/>
      <c r="W43" s="950">
        <v>2020</v>
      </c>
      <c r="X43" s="950"/>
      <c r="Y43" s="950"/>
      <c r="Z43" s="951"/>
      <c r="AA43" s="950">
        <v>2021</v>
      </c>
      <c r="AB43" s="950"/>
      <c r="AC43" s="950"/>
      <c r="AD43" s="951" t="s">
        <v>306</v>
      </c>
      <c r="AE43" s="950">
        <v>2022</v>
      </c>
      <c r="AF43" s="950" t="s">
        <v>306</v>
      </c>
      <c r="AG43" s="950" t="s">
        <v>306</v>
      </c>
      <c r="AH43" s="951" t="s">
        <v>306</v>
      </c>
      <c r="AI43" s="348"/>
      <c r="AJ43" s="90"/>
      <c r="AK43" s="90"/>
      <c r="AL43" s="90"/>
    </row>
    <row r="44" spans="1:38" ht="12.75" x14ac:dyDescent="0.2">
      <c r="A44" s="966" t="s">
        <v>264</v>
      </c>
      <c r="B44" s="967" t="s">
        <v>501</v>
      </c>
      <c r="C44" s="967" t="s">
        <v>501</v>
      </c>
      <c r="D44" s="967" t="s">
        <v>501</v>
      </c>
      <c r="E44" s="967" t="s">
        <v>501</v>
      </c>
      <c r="F44" s="967" t="s">
        <v>501</v>
      </c>
      <c r="G44" s="967" t="s">
        <v>501</v>
      </c>
      <c r="H44" s="967" t="s">
        <v>502</v>
      </c>
      <c r="I44" s="967" t="s">
        <v>501</v>
      </c>
      <c r="J44" s="348"/>
      <c r="K44" s="967" t="s">
        <v>503</v>
      </c>
      <c r="L44" s="967" t="s">
        <v>504</v>
      </c>
      <c r="M44" s="967" t="s">
        <v>505</v>
      </c>
      <c r="N44" s="968" t="s">
        <v>506</v>
      </c>
      <c r="O44" s="967" t="s">
        <v>503</v>
      </c>
      <c r="P44" s="967" t="s">
        <v>504</v>
      </c>
      <c r="Q44" s="967" t="s">
        <v>505</v>
      </c>
      <c r="R44" s="968" t="s">
        <v>506</v>
      </c>
      <c r="S44" s="967" t="s">
        <v>503</v>
      </c>
      <c r="T44" s="967" t="s">
        <v>504</v>
      </c>
      <c r="U44" s="967" t="s">
        <v>505</v>
      </c>
      <c r="V44" s="968" t="s">
        <v>506</v>
      </c>
      <c r="W44" s="967" t="s">
        <v>503</v>
      </c>
      <c r="X44" s="967" t="s">
        <v>504</v>
      </c>
      <c r="Y44" s="967" t="s">
        <v>505</v>
      </c>
      <c r="Z44" s="968" t="s">
        <v>506</v>
      </c>
      <c r="AA44" s="967" t="s">
        <v>503</v>
      </c>
      <c r="AB44" s="967" t="s">
        <v>504</v>
      </c>
      <c r="AC44" s="967" t="str">
        <f>+AC$6</f>
        <v>Q3</v>
      </c>
      <c r="AD44" s="968" t="s">
        <v>506</v>
      </c>
      <c r="AE44" s="967" t="s">
        <v>503</v>
      </c>
      <c r="AF44" s="967" t="s">
        <v>504</v>
      </c>
      <c r="AG44" s="967" t="s">
        <v>505</v>
      </c>
      <c r="AH44" s="968" t="s">
        <v>506</v>
      </c>
      <c r="AI44" s="348"/>
      <c r="AJ44" s="90"/>
      <c r="AK44" s="90"/>
      <c r="AL44" s="90"/>
    </row>
    <row r="45" spans="1:38" ht="12.75" x14ac:dyDescent="0.2">
      <c r="A45" s="584" t="s">
        <v>319</v>
      </c>
      <c r="B45" s="604" t="s">
        <v>195</v>
      </c>
      <c r="C45" s="604" t="s">
        <v>195</v>
      </c>
      <c r="D45" s="604">
        <v>-163</v>
      </c>
      <c r="E45" s="604">
        <v>-66</v>
      </c>
      <c r="F45" s="604">
        <v>-194</v>
      </c>
      <c r="G45" s="604">
        <v>-99</v>
      </c>
      <c r="H45" s="604">
        <v>-270</v>
      </c>
      <c r="I45" s="604">
        <v>37</v>
      </c>
      <c r="J45" s="348"/>
      <c r="K45" s="604">
        <v>-45</v>
      </c>
      <c r="L45" s="604">
        <v>-53</v>
      </c>
      <c r="M45" s="604">
        <v>-15</v>
      </c>
      <c r="N45" s="985">
        <v>-50</v>
      </c>
      <c r="O45" s="604">
        <v>0</v>
      </c>
      <c r="P45" s="604">
        <v>-77</v>
      </c>
      <c r="Q45" s="604">
        <v>-56</v>
      </c>
      <c r="R45" s="985">
        <v>67</v>
      </c>
      <c r="S45" s="604">
        <v>-59</v>
      </c>
      <c r="T45" s="604">
        <v>-39</v>
      </c>
      <c r="U45" s="604">
        <v>-54</v>
      </c>
      <c r="V45" s="985">
        <v>-42</v>
      </c>
      <c r="W45" s="604">
        <v>65</v>
      </c>
      <c r="X45" s="604">
        <v>-91</v>
      </c>
      <c r="Y45" s="604">
        <v>-21</v>
      </c>
      <c r="Z45" s="985">
        <v>-52</v>
      </c>
      <c r="AA45" s="604">
        <v>-149</v>
      </c>
      <c r="AB45" s="604">
        <v>-15</v>
      </c>
      <c r="AC45" s="604">
        <v>21</v>
      </c>
      <c r="AD45" s="985">
        <v>-127</v>
      </c>
      <c r="AE45" s="604">
        <v>43</v>
      </c>
      <c r="AF45" s="604">
        <v>75</v>
      </c>
      <c r="AG45" s="604">
        <v>-14</v>
      </c>
      <c r="AH45" s="985">
        <v>-67</v>
      </c>
      <c r="AI45" s="348"/>
      <c r="AJ45" s="90"/>
      <c r="AK45" s="90"/>
      <c r="AL45" s="90"/>
    </row>
    <row r="46" spans="1:38" ht="12.75" x14ac:dyDescent="0.2">
      <c r="A46" s="584" t="s">
        <v>320</v>
      </c>
      <c r="B46" s="604" t="s">
        <v>195</v>
      </c>
      <c r="C46" s="604" t="s">
        <v>195</v>
      </c>
      <c r="D46" s="604" t="s">
        <v>195</v>
      </c>
      <c r="E46" s="604" t="s">
        <v>195</v>
      </c>
      <c r="F46" s="604">
        <v>-28</v>
      </c>
      <c r="G46" s="986" t="s">
        <v>195</v>
      </c>
      <c r="H46" s="986" t="s">
        <v>195</v>
      </c>
      <c r="I46" s="986" t="s">
        <v>195</v>
      </c>
      <c r="J46" s="348"/>
      <c r="K46" s="604" t="s">
        <v>195</v>
      </c>
      <c r="L46" s="604" t="s">
        <v>195</v>
      </c>
      <c r="M46" s="604" t="s">
        <v>195</v>
      </c>
      <c r="N46" s="985" t="s">
        <v>195</v>
      </c>
      <c r="O46" s="604" t="s">
        <v>195</v>
      </c>
      <c r="P46" s="604" t="s">
        <v>195</v>
      </c>
      <c r="Q46" s="604" t="s">
        <v>195</v>
      </c>
      <c r="R46" s="985" t="s">
        <v>195</v>
      </c>
      <c r="S46" s="604" t="s">
        <v>195</v>
      </c>
      <c r="T46" s="604" t="s">
        <v>195</v>
      </c>
      <c r="U46" s="604" t="s">
        <v>195</v>
      </c>
      <c r="V46" s="985" t="s">
        <v>195</v>
      </c>
      <c r="W46" s="604" t="s">
        <v>195</v>
      </c>
      <c r="X46" s="604" t="s">
        <v>195</v>
      </c>
      <c r="Y46" s="604" t="s">
        <v>195</v>
      </c>
      <c r="Z46" s="985" t="s">
        <v>195</v>
      </c>
      <c r="AA46" s="604" t="s">
        <v>195</v>
      </c>
      <c r="AB46" s="604" t="s">
        <v>195</v>
      </c>
      <c r="AC46" s="604" t="s">
        <v>195</v>
      </c>
      <c r="AD46" s="985" t="s">
        <v>195</v>
      </c>
      <c r="AE46" s="604" t="s">
        <v>195</v>
      </c>
      <c r="AF46" s="604" t="s">
        <v>195</v>
      </c>
      <c r="AG46" s="604" t="s">
        <v>195</v>
      </c>
      <c r="AH46" s="985" t="s">
        <v>195</v>
      </c>
      <c r="AI46" s="348"/>
      <c r="AJ46" s="90"/>
      <c r="AK46" s="90"/>
      <c r="AL46" s="90"/>
    </row>
    <row r="47" spans="1:38" ht="12.75" x14ac:dyDescent="0.2">
      <c r="A47" s="987" t="s">
        <v>321</v>
      </c>
      <c r="B47" s="604" t="s">
        <v>195</v>
      </c>
      <c r="C47" s="604" t="s">
        <v>195</v>
      </c>
      <c r="D47" s="604" t="s">
        <v>195</v>
      </c>
      <c r="E47" s="604">
        <v>-328</v>
      </c>
      <c r="F47" s="604" t="s">
        <v>195</v>
      </c>
      <c r="G47" s="986" t="s">
        <v>195</v>
      </c>
      <c r="H47" s="986" t="s">
        <v>195</v>
      </c>
      <c r="I47" s="986" t="s">
        <v>195</v>
      </c>
      <c r="J47" s="348"/>
      <c r="K47" s="604" t="s">
        <v>195</v>
      </c>
      <c r="L47" s="604" t="s">
        <v>195</v>
      </c>
      <c r="M47" s="604" t="s">
        <v>195</v>
      </c>
      <c r="N47" s="985" t="s">
        <v>195</v>
      </c>
      <c r="O47" s="604">
        <v>-95</v>
      </c>
      <c r="P47" s="604">
        <v>-104</v>
      </c>
      <c r="Q47" s="604">
        <v>-70</v>
      </c>
      <c r="R47" s="985">
        <v>-59</v>
      </c>
      <c r="S47" s="604" t="s">
        <v>195</v>
      </c>
      <c r="T47" s="604" t="s">
        <v>195</v>
      </c>
      <c r="U47" s="604" t="s">
        <v>195</v>
      </c>
      <c r="V47" s="985" t="s">
        <v>195</v>
      </c>
      <c r="W47" s="604" t="s">
        <v>195</v>
      </c>
      <c r="X47" s="604" t="s">
        <v>195</v>
      </c>
      <c r="Y47" s="604" t="s">
        <v>195</v>
      </c>
      <c r="Z47" s="985" t="s">
        <v>195</v>
      </c>
      <c r="AA47" s="604" t="s">
        <v>195</v>
      </c>
      <c r="AB47" s="604" t="s">
        <v>195</v>
      </c>
      <c r="AC47" s="604" t="s">
        <v>195</v>
      </c>
      <c r="AD47" s="985" t="s">
        <v>195</v>
      </c>
      <c r="AE47" s="604" t="s">
        <v>195</v>
      </c>
      <c r="AF47" s="604" t="s">
        <v>195</v>
      </c>
      <c r="AG47" s="604" t="s">
        <v>195</v>
      </c>
      <c r="AH47" s="985" t="s">
        <v>195</v>
      </c>
      <c r="AI47" s="348"/>
      <c r="AJ47" s="90"/>
      <c r="AK47" s="90"/>
      <c r="AL47" s="90"/>
    </row>
    <row r="48" spans="1:38" ht="12.75" x14ac:dyDescent="0.2">
      <c r="A48" s="987" t="s">
        <v>322</v>
      </c>
      <c r="B48" s="604" t="s">
        <v>195</v>
      </c>
      <c r="C48" s="604" t="s">
        <v>195</v>
      </c>
      <c r="D48" s="604" t="s">
        <v>195</v>
      </c>
      <c r="E48" s="604" t="s">
        <v>195</v>
      </c>
      <c r="F48" s="604">
        <v>-28</v>
      </c>
      <c r="G48" s="604">
        <v>-84</v>
      </c>
      <c r="H48" s="604">
        <v>167</v>
      </c>
      <c r="I48" s="604">
        <v>-560</v>
      </c>
      <c r="J48" s="376"/>
      <c r="K48" s="604" t="s">
        <v>195</v>
      </c>
      <c r="L48" s="604" t="s">
        <v>195</v>
      </c>
      <c r="M48" s="604" t="s">
        <v>195</v>
      </c>
      <c r="N48" s="985" t="s">
        <v>195</v>
      </c>
      <c r="O48" s="604" t="s">
        <v>195</v>
      </c>
      <c r="P48" s="604" t="s">
        <v>195</v>
      </c>
      <c r="Q48" s="604" t="s">
        <v>195</v>
      </c>
      <c r="R48" s="985" t="s">
        <v>195</v>
      </c>
      <c r="S48" s="604" t="s">
        <v>195</v>
      </c>
      <c r="T48" s="604" t="s">
        <v>195</v>
      </c>
      <c r="U48" s="604" t="s">
        <v>195</v>
      </c>
      <c r="V48" s="985">
        <v>-28</v>
      </c>
      <c r="W48" s="604">
        <v>-34</v>
      </c>
      <c r="X48" s="604">
        <v>-17</v>
      </c>
      <c r="Y48" s="604">
        <v>-33</v>
      </c>
      <c r="Z48" s="985" t="s">
        <v>195</v>
      </c>
      <c r="AA48" s="604" t="s">
        <v>195</v>
      </c>
      <c r="AB48" s="604" t="s">
        <v>195</v>
      </c>
      <c r="AC48" s="604" t="s">
        <v>195</v>
      </c>
      <c r="AD48" s="985">
        <v>167</v>
      </c>
      <c r="AE48" s="604" t="s">
        <v>195</v>
      </c>
      <c r="AF48" s="604">
        <v>-422</v>
      </c>
      <c r="AG48" s="604">
        <v>-138</v>
      </c>
      <c r="AH48" s="985" t="s">
        <v>195</v>
      </c>
      <c r="AI48" s="376"/>
      <c r="AJ48" s="228"/>
      <c r="AK48" s="228"/>
      <c r="AL48" s="228"/>
    </row>
    <row r="49" spans="1:38" ht="12.75" x14ac:dyDescent="0.2">
      <c r="A49" s="584" t="s">
        <v>323</v>
      </c>
      <c r="B49" s="604" t="s">
        <v>195</v>
      </c>
      <c r="C49" s="604" t="s">
        <v>195</v>
      </c>
      <c r="D49" s="604" t="s">
        <v>195</v>
      </c>
      <c r="E49" s="604" t="s">
        <v>195</v>
      </c>
      <c r="F49" s="604">
        <v>-196</v>
      </c>
      <c r="G49" s="604">
        <v>-104</v>
      </c>
      <c r="H49" s="986" t="s">
        <v>195</v>
      </c>
      <c r="I49" s="986">
        <v>-85</v>
      </c>
      <c r="J49" s="348"/>
      <c r="K49" s="604" t="s">
        <v>195</v>
      </c>
      <c r="L49" s="604" t="s">
        <v>195</v>
      </c>
      <c r="M49" s="604" t="s">
        <v>195</v>
      </c>
      <c r="N49" s="985" t="s">
        <v>195</v>
      </c>
      <c r="O49" s="604" t="s">
        <v>195</v>
      </c>
      <c r="P49" s="604" t="s">
        <v>195</v>
      </c>
      <c r="Q49" s="604" t="s">
        <v>195</v>
      </c>
      <c r="R49" s="985" t="s">
        <v>195</v>
      </c>
      <c r="S49" s="604" t="s">
        <v>195</v>
      </c>
      <c r="T49" s="604" t="s">
        <v>195</v>
      </c>
      <c r="U49" s="604">
        <v>-179</v>
      </c>
      <c r="V49" s="985">
        <v>-17</v>
      </c>
      <c r="W49" s="604">
        <v>-10</v>
      </c>
      <c r="X49" s="604">
        <v>-57</v>
      </c>
      <c r="Y49" s="604">
        <v>-22</v>
      </c>
      <c r="Z49" s="985">
        <v>-15</v>
      </c>
      <c r="AA49" s="604" t="s">
        <v>195</v>
      </c>
      <c r="AB49" s="604" t="s">
        <v>195</v>
      </c>
      <c r="AC49" s="604" t="s">
        <v>195</v>
      </c>
      <c r="AD49" s="985" t="s">
        <v>195</v>
      </c>
      <c r="AE49" s="604" t="s">
        <v>195</v>
      </c>
      <c r="AF49" s="604">
        <v>-73</v>
      </c>
      <c r="AG49" s="604">
        <v>-12</v>
      </c>
      <c r="AH49" s="985" t="s">
        <v>195</v>
      </c>
      <c r="AI49" s="348"/>
      <c r="AJ49" s="90"/>
      <c r="AK49" s="90"/>
      <c r="AL49" s="90"/>
    </row>
    <row r="50" spans="1:38" ht="12.75" x14ac:dyDescent="0.2">
      <c r="A50" s="910" t="s">
        <v>301</v>
      </c>
      <c r="B50" s="988"/>
      <c r="C50" s="988"/>
      <c r="D50" s="961">
        <v>-163</v>
      </c>
      <c r="E50" s="961">
        <v>-394</v>
      </c>
      <c r="F50" s="961">
        <v>-446</v>
      </c>
      <c r="G50" s="961">
        <v>-287</v>
      </c>
      <c r="H50" s="961">
        <v>-103</v>
      </c>
      <c r="I50" s="961">
        <v>-608</v>
      </c>
      <c r="J50" s="348"/>
      <c r="K50" s="961">
        <v>-45</v>
      </c>
      <c r="L50" s="961">
        <v>-53</v>
      </c>
      <c r="M50" s="961">
        <v>-15</v>
      </c>
      <c r="N50" s="962">
        <v>-50</v>
      </c>
      <c r="O50" s="961">
        <v>-95</v>
      </c>
      <c r="P50" s="961">
        <v>-181</v>
      </c>
      <c r="Q50" s="961">
        <v>-126</v>
      </c>
      <c r="R50" s="962">
        <v>8</v>
      </c>
      <c r="S50" s="961">
        <v>-59</v>
      </c>
      <c r="T50" s="961">
        <v>-39</v>
      </c>
      <c r="U50" s="961">
        <v>-233</v>
      </c>
      <c r="V50" s="962">
        <v>-115</v>
      </c>
      <c r="W50" s="961">
        <v>21</v>
      </c>
      <c r="X50" s="961">
        <v>-164.6</v>
      </c>
      <c r="Y50" s="961">
        <v>-75.8</v>
      </c>
      <c r="Z50" s="962">
        <v>-67</v>
      </c>
      <c r="AA50" s="961">
        <v>-149</v>
      </c>
      <c r="AB50" s="961">
        <v>-15</v>
      </c>
      <c r="AC50" s="961">
        <v>21</v>
      </c>
      <c r="AD50" s="962">
        <v>40</v>
      </c>
      <c r="AE50" s="961">
        <v>43</v>
      </c>
      <c r="AF50" s="961">
        <v>-420</v>
      </c>
      <c r="AG50" s="961">
        <v>-164</v>
      </c>
      <c r="AH50" s="962">
        <v>-67</v>
      </c>
      <c r="AI50" s="348"/>
      <c r="AJ50" s="90"/>
      <c r="AK50" s="90"/>
      <c r="AL50" s="90"/>
    </row>
    <row r="51" spans="1:38" ht="12.75" x14ac:dyDescent="0.2">
      <c r="A51" s="949"/>
      <c r="B51" s="983"/>
      <c r="C51" s="983"/>
      <c r="D51" s="983"/>
      <c r="E51" s="983"/>
      <c r="F51" s="983"/>
      <c r="G51" s="983"/>
      <c r="H51" s="983"/>
      <c r="I51" s="983"/>
      <c r="J51" s="348"/>
      <c r="K51" s="983"/>
      <c r="L51" s="983"/>
      <c r="M51" s="983"/>
      <c r="N51" s="984"/>
      <c r="O51" s="983"/>
      <c r="P51" s="983"/>
      <c r="Q51" s="983"/>
      <c r="R51" s="984"/>
      <c r="S51" s="983"/>
      <c r="T51" s="983"/>
      <c r="U51" s="983"/>
      <c r="V51" s="984"/>
      <c r="W51" s="983"/>
      <c r="X51" s="983"/>
      <c r="Y51" s="983"/>
      <c r="Z51" s="984"/>
      <c r="AA51" s="983"/>
      <c r="AB51" s="983"/>
      <c r="AC51" s="983"/>
      <c r="AD51" s="984"/>
      <c r="AE51" s="983"/>
      <c r="AF51" s="983"/>
      <c r="AG51" s="983"/>
      <c r="AH51" s="984"/>
      <c r="AI51" s="348"/>
      <c r="AJ51" s="90"/>
      <c r="AK51" s="90"/>
      <c r="AL51" s="90"/>
    </row>
    <row r="52" spans="1:38" ht="12.75" x14ac:dyDescent="0.2">
      <c r="A52" s="949"/>
      <c r="B52" s="989"/>
      <c r="C52" s="989"/>
      <c r="D52" s="989"/>
      <c r="E52" s="989"/>
      <c r="F52" s="989"/>
      <c r="G52" s="989"/>
      <c r="H52" s="989"/>
      <c r="I52" s="989"/>
      <c r="J52" s="348"/>
      <c r="K52" s="989"/>
      <c r="L52" s="989"/>
      <c r="M52" s="989"/>
      <c r="N52" s="990"/>
      <c r="O52" s="989"/>
      <c r="P52" s="989"/>
      <c r="Q52" s="989"/>
      <c r="R52" s="990"/>
      <c r="S52" s="989"/>
      <c r="T52" s="989"/>
      <c r="U52" s="989"/>
      <c r="V52" s="990"/>
      <c r="W52" s="989"/>
      <c r="X52" s="989"/>
      <c r="Y52" s="989"/>
      <c r="Z52" s="990"/>
      <c r="AA52" s="989"/>
      <c r="AB52" s="989"/>
      <c r="AC52" s="989"/>
      <c r="AD52" s="990"/>
      <c r="AE52" s="989"/>
      <c r="AF52" s="989"/>
      <c r="AG52" s="989"/>
      <c r="AH52" s="990"/>
      <c r="AI52" s="348"/>
      <c r="AJ52" s="90"/>
      <c r="AK52" s="90"/>
      <c r="AL52" s="90"/>
    </row>
    <row r="53" spans="1:38" ht="12.75" x14ac:dyDescent="0.2">
      <c r="A53" s="949" t="s">
        <v>42</v>
      </c>
      <c r="B53" s="950">
        <v>2015</v>
      </c>
      <c r="C53" s="950">
        <v>2016</v>
      </c>
      <c r="D53" s="950">
        <v>2017</v>
      </c>
      <c r="E53" s="950">
        <v>2018</v>
      </c>
      <c r="F53" s="950">
        <v>2019</v>
      </c>
      <c r="G53" s="950">
        <v>2020</v>
      </c>
      <c r="H53" s="950">
        <v>2021</v>
      </c>
      <c r="I53" s="950">
        <f>SUM(AB53:AE53)</f>
        <v>2022</v>
      </c>
      <c r="J53" s="348"/>
      <c r="K53" s="950">
        <v>2017</v>
      </c>
      <c r="L53" s="950"/>
      <c r="M53" s="950"/>
      <c r="N53" s="951"/>
      <c r="O53" s="950">
        <v>2018</v>
      </c>
      <c r="P53" s="950"/>
      <c r="Q53" s="950"/>
      <c r="R53" s="951"/>
      <c r="S53" s="950">
        <v>2019</v>
      </c>
      <c r="T53" s="950"/>
      <c r="U53" s="950"/>
      <c r="V53" s="951"/>
      <c r="W53" s="950">
        <v>2020</v>
      </c>
      <c r="X53" s="950"/>
      <c r="Y53" s="950"/>
      <c r="Z53" s="951"/>
      <c r="AA53" s="950">
        <v>2021</v>
      </c>
      <c r="AB53" s="950"/>
      <c r="AC53" s="950"/>
      <c r="AD53" s="951" t="s">
        <v>306</v>
      </c>
      <c r="AE53" s="950">
        <v>2022</v>
      </c>
      <c r="AF53" s="950" t="s">
        <v>306</v>
      </c>
      <c r="AG53" s="950" t="s">
        <v>306</v>
      </c>
      <c r="AH53" s="951" t="s">
        <v>306</v>
      </c>
      <c r="AI53" s="348"/>
      <c r="AJ53" s="90"/>
      <c r="AK53" s="90"/>
      <c r="AL53" s="90"/>
    </row>
    <row r="54" spans="1:38" ht="12.75" x14ac:dyDescent="0.2">
      <c r="A54" s="966" t="s">
        <v>264</v>
      </c>
      <c r="B54" s="967" t="s">
        <v>501</v>
      </c>
      <c r="C54" s="967" t="s">
        <v>501</v>
      </c>
      <c r="D54" s="967" t="s">
        <v>501</v>
      </c>
      <c r="E54" s="967" t="s">
        <v>501</v>
      </c>
      <c r="F54" s="967" t="s">
        <v>501</v>
      </c>
      <c r="G54" s="967" t="s">
        <v>501</v>
      </c>
      <c r="H54" s="967" t="s">
        <v>501</v>
      </c>
      <c r="I54" s="967" t="s">
        <v>501</v>
      </c>
      <c r="J54" s="348"/>
      <c r="K54" s="967" t="s">
        <v>503</v>
      </c>
      <c r="L54" s="967" t="s">
        <v>504</v>
      </c>
      <c r="M54" s="967" t="s">
        <v>505</v>
      </c>
      <c r="N54" s="968" t="s">
        <v>506</v>
      </c>
      <c r="O54" s="967" t="s">
        <v>503</v>
      </c>
      <c r="P54" s="967" t="s">
        <v>504</v>
      </c>
      <c r="Q54" s="967" t="s">
        <v>505</v>
      </c>
      <c r="R54" s="968" t="s">
        <v>506</v>
      </c>
      <c r="S54" s="967" t="s">
        <v>503</v>
      </c>
      <c r="T54" s="967" t="s">
        <v>504</v>
      </c>
      <c r="U54" s="967" t="s">
        <v>505</v>
      </c>
      <c r="V54" s="968" t="s">
        <v>506</v>
      </c>
      <c r="W54" s="967" t="s">
        <v>503</v>
      </c>
      <c r="X54" s="967" t="s">
        <v>504</v>
      </c>
      <c r="Y54" s="967" t="s">
        <v>505</v>
      </c>
      <c r="Z54" s="968" t="s">
        <v>506</v>
      </c>
      <c r="AA54" s="967" t="s">
        <v>503</v>
      </c>
      <c r="AB54" s="967" t="s">
        <v>504</v>
      </c>
      <c r="AC54" s="967" t="str">
        <f>+AC$6</f>
        <v>Q3</v>
      </c>
      <c r="AD54" s="968" t="s">
        <v>506</v>
      </c>
      <c r="AE54" s="967" t="s">
        <v>503</v>
      </c>
      <c r="AF54" s="967" t="s">
        <v>504</v>
      </c>
      <c r="AG54" s="967" t="s">
        <v>505</v>
      </c>
      <c r="AH54" s="968" t="s">
        <v>506</v>
      </c>
      <c r="AI54" s="348"/>
      <c r="AJ54" s="90"/>
      <c r="AK54" s="90"/>
      <c r="AL54" s="90"/>
    </row>
    <row r="55" spans="1:38" ht="12.75" x14ac:dyDescent="0.2">
      <c r="A55" s="584" t="s">
        <v>553</v>
      </c>
      <c r="B55" s="901">
        <v>4370</v>
      </c>
      <c r="C55" s="901">
        <v>3802</v>
      </c>
      <c r="D55" s="901">
        <v>5107</v>
      </c>
      <c r="E55" s="901">
        <v>6713</v>
      </c>
      <c r="F55" s="901">
        <v>7464</v>
      </c>
      <c r="G55" s="901">
        <v>6723</v>
      </c>
      <c r="H55" s="901">
        <v>7641</v>
      </c>
      <c r="I55" s="901">
        <v>9837</v>
      </c>
      <c r="J55" s="609"/>
      <c r="K55" s="901">
        <v>1166</v>
      </c>
      <c r="L55" s="901">
        <v>1242</v>
      </c>
      <c r="M55" s="901">
        <v>1261</v>
      </c>
      <c r="N55" s="903">
        <v>1438</v>
      </c>
      <c r="O55" s="901">
        <v>1351</v>
      </c>
      <c r="P55" s="901">
        <v>1741</v>
      </c>
      <c r="Q55" s="901">
        <v>1755</v>
      </c>
      <c r="R55" s="903">
        <v>1866</v>
      </c>
      <c r="S55" s="901">
        <v>1707</v>
      </c>
      <c r="T55" s="901">
        <v>1961</v>
      </c>
      <c r="U55" s="901">
        <v>1923</v>
      </c>
      <c r="V55" s="903">
        <v>1873</v>
      </c>
      <c r="W55" s="901">
        <v>1620</v>
      </c>
      <c r="X55" s="901">
        <v>1458</v>
      </c>
      <c r="Y55" s="901">
        <v>1679</v>
      </c>
      <c r="Z55" s="903">
        <v>1966</v>
      </c>
      <c r="AA55" s="901">
        <v>1696</v>
      </c>
      <c r="AB55" s="901">
        <v>1880</v>
      </c>
      <c r="AC55" s="901">
        <v>1909</v>
      </c>
      <c r="AD55" s="903">
        <v>2156</v>
      </c>
      <c r="AE55" s="901">
        <v>2142</v>
      </c>
      <c r="AF55" s="901">
        <v>2313</v>
      </c>
      <c r="AG55" s="901">
        <v>2555</v>
      </c>
      <c r="AH55" s="903">
        <v>2827</v>
      </c>
      <c r="AI55" s="348"/>
      <c r="AJ55" s="90"/>
      <c r="AK55" s="90"/>
      <c r="AL55" s="90"/>
    </row>
    <row r="56" spans="1:38" ht="12.75" x14ac:dyDescent="0.2">
      <c r="A56" s="584" t="s">
        <v>299</v>
      </c>
      <c r="B56" s="901">
        <v>957</v>
      </c>
      <c r="C56" s="901">
        <v>937</v>
      </c>
      <c r="D56" s="901">
        <v>1146.0051558893001</v>
      </c>
      <c r="E56" s="901">
        <v>1239</v>
      </c>
      <c r="F56" s="901">
        <v>1448</v>
      </c>
      <c r="G56" s="901">
        <v>1201</v>
      </c>
      <c r="H56" s="901">
        <v>1784</v>
      </c>
      <c r="I56" s="901">
        <v>2199</v>
      </c>
      <c r="J56" s="609"/>
      <c r="K56" s="901">
        <v>321</v>
      </c>
      <c r="L56" s="901">
        <v>328</v>
      </c>
      <c r="M56" s="901">
        <v>279</v>
      </c>
      <c r="N56" s="903">
        <v>218.0051558893</v>
      </c>
      <c r="O56" s="901">
        <v>287</v>
      </c>
      <c r="P56" s="901">
        <v>304</v>
      </c>
      <c r="Q56" s="901">
        <v>324</v>
      </c>
      <c r="R56" s="903">
        <v>324</v>
      </c>
      <c r="S56" s="901">
        <v>371</v>
      </c>
      <c r="T56" s="901">
        <v>429</v>
      </c>
      <c r="U56" s="901">
        <v>336</v>
      </c>
      <c r="V56" s="903">
        <v>312</v>
      </c>
      <c r="W56" s="901">
        <v>347</v>
      </c>
      <c r="X56" s="901">
        <v>200</v>
      </c>
      <c r="Y56" s="901">
        <v>276</v>
      </c>
      <c r="Z56" s="903">
        <v>378</v>
      </c>
      <c r="AA56" s="901">
        <v>386</v>
      </c>
      <c r="AB56" s="901">
        <v>416</v>
      </c>
      <c r="AC56" s="901">
        <v>502</v>
      </c>
      <c r="AD56" s="903">
        <v>480</v>
      </c>
      <c r="AE56" s="901">
        <v>520</v>
      </c>
      <c r="AF56" s="901">
        <v>573</v>
      </c>
      <c r="AG56" s="901">
        <v>583</v>
      </c>
      <c r="AH56" s="903">
        <v>523</v>
      </c>
      <c r="AI56" s="348"/>
      <c r="AJ56" s="90"/>
      <c r="AK56" s="90"/>
      <c r="AL56" s="90"/>
    </row>
    <row r="57" spans="1:38" ht="12.75" x14ac:dyDescent="0.2">
      <c r="A57" s="910" t="s">
        <v>301</v>
      </c>
      <c r="B57" s="961">
        <v>5175</v>
      </c>
      <c r="C57" s="961">
        <v>4548</v>
      </c>
      <c r="D57" s="961">
        <v>6093.0051558893001</v>
      </c>
      <c r="E57" s="961">
        <v>7779</v>
      </c>
      <c r="F57" s="961">
        <v>8582</v>
      </c>
      <c r="G57" s="961">
        <v>7669</v>
      </c>
      <c r="H57" s="961">
        <v>9098</v>
      </c>
      <c r="I57" s="961">
        <v>11755</v>
      </c>
      <c r="J57" s="609"/>
      <c r="K57" s="961">
        <v>1459</v>
      </c>
      <c r="L57" s="961">
        <v>1521</v>
      </c>
      <c r="M57" s="961">
        <v>1535</v>
      </c>
      <c r="N57" s="962">
        <v>1578.0051558893001</v>
      </c>
      <c r="O57" s="961">
        <v>1610</v>
      </c>
      <c r="P57" s="961">
        <v>1991</v>
      </c>
      <c r="Q57" s="961">
        <v>2024</v>
      </c>
      <c r="R57" s="962">
        <v>2154</v>
      </c>
      <c r="S57" s="961">
        <v>1989</v>
      </c>
      <c r="T57" s="961">
        <v>2302</v>
      </c>
      <c r="U57" s="961">
        <v>2160</v>
      </c>
      <c r="V57" s="962">
        <v>2131</v>
      </c>
      <c r="W57" s="961">
        <v>1911</v>
      </c>
      <c r="X57" s="961">
        <v>1582.6</v>
      </c>
      <c r="Y57" s="961">
        <v>1895.8</v>
      </c>
      <c r="Z57" s="962">
        <v>2279</v>
      </c>
      <c r="AA57" s="961">
        <v>2016</v>
      </c>
      <c r="AB57" s="961">
        <v>2197</v>
      </c>
      <c r="AC57" s="961">
        <v>2331</v>
      </c>
      <c r="AD57" s="962">
        <v>2554</v>
      </c>
      <c r="AE57" s="961">
        <v>2588</v>
      </c>
      <c r="AF57" s="961">
        <v>2801</v>
      </c>
      <c r="AG57" s="961">
        <v>3064</v>
      </c>
      <c r="AH57" s="962">
        <v>3302</v>
      </c>
      <c r="AI57" s="348"/>
      <c r="AJ57" s="90"/>
      <c r="AK57" s="90"/>
      <c r="AL57" s="90"/>
    </row>
    <row r="58" spans="1:38" ht="12.75" x14ac:dyDescent="0.2">
      <c r="A58" s="949"/>
      <c r="B58" s="983"/>
      <c r="C58" s="983"/>
      <c r="D58" s="983"/>
      <c r="E58" s="983"/>
      <c r="F58" s="983"/>
      <c r="G58" s="983"/>
      <c r="H58" s="983"/>
      <c r="I58" s="983"/>
      <c r="J58" s="348"/>
      <c r="K58" s="983"/>
      <c r="L58" s="983"/>
      <c r="M58" s="983"/>
      <c r="N58" s="984"/>
      <c r="O58" s="983"/>
      <c r="P58" s="983"/>
      <c r="Q58" s="983"/>
      <c r="R58" s="984"/>
      <c r="S58" s="983"/>
      <c r="T58" s="983"/>
      <c r="U58" s="983"/>
      <c r="V58" s="984"/>
      <c r="W58" s="983"/>
      <c r="X58" s="983"/>
      <c r="Y58" s="983"/>
      <c r="Z58" s="984"/>
      <c r="AA58" s="991"/>
      <c r="AB58" s="991"/>
      <c r="AC58" s="991"/>
      <c r="AD58" s="984"/>
      <c r="AE58" s="991"/>
      <c r="AF58" s="983"/>
      <c r="AG58" s="983"/>
      <c r="AH58" s="984"/>
      <c r="AI58" s="348"/>
      <c r="AJ58" s="90"/>
      <c r="AK58" s="90"/>
      <c r="AL58" s="90"/>
    </row>
    <row r="59" spans="1:38" ht="12.75" x14ac:dyDescent="0.2">
      <c r="A59" s="949"/>
      <c r="B59" s="983"/>
      <c r="C59" s="983"/>
      <c r="D59" s="983"/>
      <c r="E59" s="983"/>
      <c r="F59" s="983"/>
      <c r="G59" s="983"/>
      <c r="H59" s="983"/>
      <c r="I59" s="983"/>
      <c r="J59" s="348"/>
      <c r="K59" s="983"/>
      <c r="L59" s="983"/>
      <c r="M59" s="983"/>
      <c r="N59" s="984"/>
      <c r="O59" s="983"/>
      <c r="P59" s="983"/>
      <c r="Q59" s="983"/>
      <c r="R59" s="984"/>
      <c r="S59" s="983"/>
      <c r="T59" s="983"/>
      <c r="U59" s="983"/>
      <c r="V59" s="984"/>
      <c r="W59" s="983"/>
      <c r="X59" s="983"/>
      <c r="Y59" s="983"/>
      <c r="Z59" s="984"/>
      <c r="AA59" s="983"/>
      <c r="AB59" s="983"/>
      <c r="AC59" s="983"/>
      <c r="AD59" s="984"/>
      <c r="AE59" s="983"/>
      <c r="AF59" s="983"/>
      <c r="AG59" s="983"/>
      <c r="AH59" s="984"/>
      <c r="AI59" s="348"/>
      <c r="AJ59" s="90"/>
      <c r="AK59" s="90"/>
      <c r="AL59" s="90"/>
    </row>
    <row r="60" spans="1:38" ht="12.75" x14ac:dyDescent="0.2">
      <c r="A60" s="949" t="s">
        <v>1289</v>
      </c>
      <c r="B60" s="950">
        <v>2015</v>
      </c>
      <c r="C60" s="950">
        <v>2016</v>
      </c>
      <c r="D60" s="950">
        <v>2017</v>
      </c>
      <c r="E60" s="950">
        <v>2018</v>
      </c>
      <c r="F60" s="950">
        <v>2019</v>
      </c>
      <c r="G60" s="950">
        <v>2020</v>
      </c>
      <c r="H60" s="950">
        <v>2021</v>
      </c>
      <c r="I60" s="950">
        <f>SUM(AB60:AE60)</f>
        <v>2022</v>
      </c>
      <c r="J60" s="348"/>
      <c r="K60" s="950">
        <v>2017</v>
      </c>
      <c r="L60" s="950"/>
      <c r="M60" s="950"/>
      <c r="N60" s="951"/>
      <c r="O60" s="950">
        <v>2018</v>
      </c>
      <c r="P60" s="950"/>
      <c r="Q60" s="950"/>
      <c r="R60" s="951"/>
      <c r="S60" s="950">
        <v>2019</v>
      </c>
      <c r="T60" s="950"/>
      <c r="U60" s="950"/>
      <c r="V60" s="951"/>
      <c r="W60" s="950">
        <v>2020</v>
      </c>
      <c r="X60" s="950"/>
      <c r="Y60" s="950"/>
      <c r="Z60" s="951"/>
      <c r="AA60" s="950">
        <v>2021</v>
      </c>
      <c r="AB60" s="950"/>
      <c r="AC60" s="950"/>
      <c r="AD60" s="951" t="s">
        <v>306</v>
      </c>
      <c r="AE60" s="950">
        <v>2022</v>
      </c>
      <c r="AF60" s="950" t="s">
        <v>306</v>
      </c>
      <c r="AG60" s="950"/>
      <c r="AH60" s="951" t="s">
        <v>306</v>
      </c>
      <c r="AI60" s="348"/>
      <c r="AJ60" s="90"/>
      <c r="AK60" s="90"/>
      <c r="AL60" s="90"/>
    </row>
    <row r="61" spans="1:38" ht="12.75" x14ac:dyDescent="0.2">
      <c r="A61" s="966" t="s">
        <v>264</v>
      </c>
      <c r="B61" s="967" t="s">
        <v>501</v>
      </c>
      <c r="C61" s="967" t="s">
        <v>501</v>
      </c>
      <c r="D61" s="967" t="s">
        <v>501</v>
      </c>
      <c r="E61" s="967" t="s">
        <v>501</v>
      </c>
      <c r="F61" s="967" t="s">
        <v>501</v>
      </c>
      <c r="G61" s="967" t="s">
        <v>501</v>
      </c>
      <c r="H61" s="967" t="s">
        <v>502</v>
      </c>
      <c r="I61" s="967" t="s">
        <v>501</v>
      </c>
      <c r="J61" s="348"/>
      <c r="K61" s="967" t="s">
        <v>503</v>
      </c>
      <c r="L61" s="967" t="s">
        <v>504</v>
      </c>
      <c r="M61" s="967" t="s">
        <v>505</v>
      </c>
      <c r="N61" s="968" t="s">
        <v>506</v>
      </c>
      <c r="O61" s="967" t="s">
        <v>503</v>
      </c>
      <c r="P61" s="967" t="s">
        <v>504</v>
      </c>
      <c r="Q61" s="967" t="s">
        <v>505</v>
      </c>
      <c r="R61" s="968" t="s">
        <v>506</v>
      </c>
      <c r="S61" s="967" t="s">
        <v>503</v>
      </c>
      <c r="T61" s="967" t="s">
        <v>504</v>
      </c>
      <c r="U61" s="967" t="s">
        <v>505</v>
      </c>
      <c r="V61" s="968" t="s">
        <v>506</v>
      </c>
      <c r="W61" s="967" t="s">
        <v>503</v>
      </c>
      <c r="X61" s="967" t="s">
        <v>504</v>
      </c>
      <c r="Y61" s="967" t="s">
        <v>505</v>
      </c>
      <c r="Z61" s="968" t="s">
        <v>506</v>
      </c>
      <c r="AA61" s="967" t="s">
        <v>503</v>
      </c>
      <c r="AB61" s="967" t="s">
        <v>504</v>
      </c>
      <c r="AC61" s="967" t="str">
        <f>+AC$6</f>
        <v>Q3</v>
      </c>
      <c r="AD61" s="968" t="s">
        <v>506</v>
      </c>
      <c r="AE61" s="967" t="s">
        <v>503</v>
      </c>
      <c r="AF61" s="967" t="s">
        <v>504</v>
      </c>
      <c r="AG61" s="967" t="s">
        <v>505</v>
      </c>
      <c r="AH61" s="968" t="s">
        <v>506</v>
      </c>
      <c r="AI61" s="348"/>
      <c r="AJ61" s="90"/>
      <c r="AK61" s="90"/>
      <c r="AL61" s="90"/>
    </row>
    <row r="62" spans="1:38" ht="12.75" x14ac:dyDescent="0.2">
      <c r="A62" s="987" t="s">
        <v>1290</v>
      </c>
      <c r="B62" s="977">
        <v>0.21509081065117883</v>
      </c>
      <c r="C62" s="977">
        <v>0.20118531061487988</v>
      </c>
      <c r="D62" s="976">
        <v>0.22816423178304965</v>
      </c>
      <c r="E62" s="977">
        <v>0.23524877365101612</v>
      </c>
      <c r="F62" s="976">
        <v>0.25</v>
      </c>
      <c r="G62" s="976">
        <v>0.25</v>
      </c>
      <c r="H62" s="976">
        <f>H55/H17</f>
        <v>0.26060709413369715</v>
      </c>
      <c r="I62" s="976">
        <v>0.26100000000000001</v>
      </c>
      <c r="J62" s="348"/>
      <c r="K62" s="976">
        <v>0.223</v>
      </c>
      <c r="L62" s="976">
        <v>0.22600000000000001</v>
      </c>
      <c r="M62" s="976">
        <v>0.23300000000000001</v>
      </c>
      <c r="N62" s="978">
        <v>0.23</v>
      </c>
      <c r="O62" s="976">
        <v>0.22700000000000001</v>
      </c>
      <c r="P62" s="976">
        <v>0.23799999999999999</v>
      </c>
      <c r="Q62" s="976">
        <v>0.245</v>
      </c>
      <c r="R62" s="978">
        <v>0.23100000000000001</v>
      </c>
      <c r="S62" s="976">
        <v>0.24</v>
      </c>
      <c r="T62" s="976">
        <v>0.255</v>
      </c>
      <c r="U62" s="976">
        <v>0.26200000000000001</v>
      </c>
      <c r="V62" s="978">
        <v>0.24199999999999999</v>
      </c>
      <c r="W62" s="976">
        <v>0.246</v>
      </c>
      <c r="X62" s="976">
        <v>0.22709436312675199</v>
      </c>
      <c r="Y62" s="976">
        <v>0.259465306753207</v>
      </c>
      <c r="Z62" s="978">
        <v>0.26400000000000001</v>
      </c>
      <c r="AA62" s="976">
        <v>0.26500000000000001</v>
      </c>
      <c r="AB62" s="976">
        <v>0.26200000000000001</v>
      </c>
      <c r="AC62" s="976">
        <v>0.26400000000000001</v>
      </c>
      <c r="AD62" s="978">
        <v>0.254</v>
      </c>
      <c r="AE62" s="976">
        <v>0.26100000000000001</v>
      </c>
      <c r="AF62" s="976">
        <v>0.26600000000000001</v>
      </c>
      <c r="AG62" s="976">
        <v>0.26200000000000001</v>
      </c>
      <c r="AH62" s="978">
        <v>0.25700000000000001</v>
      </c>
      <c r="AI62" s="348"/>
      <c r="AJ62" s="90"/>
      <c r="AK62" s="90"/>
      <c r="AL62" s="90"/>
    </row>
    <row r="63" spans="1:38" ht="12.75" x14ac:dyDescent="0.2">
      <c r="A63" s="348" t="s">
        <v>327</v>
      </c>
      <c r="B63" s="976">
        <v>0.11832344213649852</v>
      </c>
      <c r="C63" s="976">
        <v>0.11823343848580442</v>
      </c>
      <c r="D63" s="976">
        <v>0.13114847827369075</v>
      </c>
      <c r="E63" s="976">
        <v>0.13011790000000001</v>
      </c>
      <c r="F63" s="976">
        <v>0.13400000000000001</v>
      </c>
      <c r="G63" s="976">
        <v>0.13284879315943299</v>
      </c>
      <c r="H63" s="976">
        <f>H56/H20</f>
        <v>0.17481626653601176</v>
      </c>
      <c r="I63" s="976">
        <v>0.183</v>
      </c>
      <c r="J63" s="348"/>
      <c r="K63" s="976">
        <v>0.14799999999999999</v>
      </c>
      <c r="L63" s="976">
        <v>0.14299999999999999</v>
      </c>
      <c r="M63" s="976">
        <v>0.13</v>
      </c>
      <c r="N63" s="978">
        <v>0.10199999999999999</v>
      </c>
      <c r="O63" s="976">
        <v>0.12767809999999999</v>
      </c>
      <c r="P63" s="976">
        <v>0.124</v>
      </c>
      <c r="Q63" s="976">
        <v>0.13600000000000001</v>
      </c>
      <c r="R63" s="978">
        <v>0.13300000000000001</v>
      </c>
      <c r="S63" s="976">
        <v>0.14237610000000001</v>
      </c>
      <c r="T63" s="976">
        <v>0.14599999999999999</v>
      </c>
      <c r="U63" s="976">
        <v>0.122</v>
      </c>
      <c r="V63" s="978">
        <v>0.125</v>
      </c>
      <c r="W63" s="976">
        <v>0.13900000000000001</v>
      </c>
      <c r="X63" s="976">
        <v>9.7985257985258006E-2</v>
      </c>
      <c r="Y63" s="976">
        <v>0.12568306010929001</v>
      </c>
      <c r="Z63" s="978">
        <v>0.16500000000000001</v>
      </c>
      <c r="AA63" s="976">
        <v>0.16500000000000001</v>
      </c>
      <c r="AB63" s="976">
        <v>0.16500000000000001</v>
      </c>
      <c r="AC63" s="976">
        <v>0.186</v>
      </c>
      <c r="AD63" s="978">
        <v>0.182</v>
      </c>
      <c r="AE63" s="976">
        <v>0.18099999999999999</v>
      </c>
      <c r="AF63" s="976">
        <v>0.182</v>
      </c>
      <c r="AG63" s="976">
        <v>0.192</v>
      </c>
      <c r="AH63" s="978">
        <v>0.17499999999999999</v>
      </c>
      <c r="AI63" s="348"/>
      <c r="AJ63" s="90"/>
      <c r="AK63" s="90"/>
      <c r="AL63" s="90"/>
    </row>
    <row r="64" spans="1:38" ht="12.75" x14ac:dyDescent="0.2">
      <c r="A64" s="952" t="s">
        <v>1291</v>
      </c>
      <c r="B64" s="992">
        <v>0.18054634895161009</v>
      </c>
      <c r="C64" s="992">
        <v>0.16781049369050255</v>
      </c>
      <c r="D64" s="992">
        <v>0.19426594412314713</v>
      </c>
      <c r="E64" s="992">
        <v>0.20318662661616821</v>
      </c>
      <c r="F64" s="992">
        <v>0.21009082229675144</v>
      </c>
      <c r="G64" s="992">
        <v>0.21230828857759815</v>
      </c>
      <c r="H64" s="992">
        <v>0.22900000000000001</v>
      </c>
      <c r="I64" s="992">
        <v>0.23699999999999999</v>
      </c>
      <c r="J64" s="348"/>
      <c r="K64" s="992">
        <v>0.19686294329831355</v>
      </c>
      <c r="L64" s="992">
        <v>0.19304480263992893</v>
      </c>
      <c r="M64" s="992">
        <v>0.20170827858081472</v>
      </c>
      <c r="N64" s="993">
        <v>0.18643728212302696</v>
      </c>
      <c r="O64" s="992">
        <v>0.19600000000000001</v>
      </c>
      <c r="P64" s="992">
        <v>0.20200000000000001</v>
      </c>
      <c r="Q64" s="992">
        <v>0.21</v>
      </c>
      <c r="R64" s="993">
        <v>0.20399999999999999</v>
      </c>
      <c r="S64" s="992">
        <v>0.20327031170158405</v>
      </c>
      <c r="T64" s="992">
        <v>0.21663843402973837</v>
      </c>
      <c r="U64" s="992">
        <v>0.21264028352037803</v>
      </c>
      <c r="V64" s="993">
        <v>0.20729571984435799</v>
      </c>
      <c r="W64" s="992">
        <v>0.20899999999999999</v>
      </c>
      <c r="X64" s="992">
        <v>0.18711279262236899</v>
      </c>
      <c r="Y64" s="992">
        <v>0.21730857404860199</v>
      </c>
      <c r="Z64" s="993">
        <v>0.23200000000000001</v>
      </c>
      <c r="AA64" s="992">
        <v>0.23</v>
      </c>
      <c r="AB64" s="992">
        <v>0.22600000000000001</v>
      </c>
      <c r="AC64" s="992">
        <v>0.23400000000000001</v>
      </c>
      <c r="AD64" s="993">
        <v>0.22900000000000001</v>
      </c>
      <c r="AE64" s="992">
        <v>0.23300000000000001</v>
      </c>
      <c r="AF64" s="992">
        <v>0.23599999999999999</v>
      </c>
      <c r="AG64" s="992">
        <v>0.23899999999999999</v>
      </c>
      <c r="AH64" s="993">
        <v>0.23699999999999999</v>
      </c>
      <c r="AI64" s="348"/>
      <c r="AJ64" s="90"/>
      <c r="AK64" s="90"/>
      <c r="AL64" s="90"/>
    </row>
    <row r="65" spans="1:38" ht="12.75" x14ac:dyDescent="0.2">
      <c r="A65" s="584"/>
      <c r="B65" s="604"/>
      <c r="C65" s="604"/>
      <c r="D65" s="604"/>
      <c r="E65" s="604"/>
      <c r="F65" s="604"/>
      <c r="G65" s="604"/>
      <c r="H65" s="604"/>
      <c r="I65" s="604"/>
      <c r="J65" s="348"/>
      <c r="K65" s="604"/>
      <c r="L65" s="604"/>
      <c r="M65" s="604"/>
      <c r="N65" s="985"/>
      <c r="O65" s="604"/>
      <c r="P65" s="604"/>
      <c r="Q65" s="604"/>
      <c r="R65" s="985"/>
      <c r="S65" s="604"/>
      <c r="T65" s="604"/>
      <c r="U65" s="604"/>
      <c r="V65" s="985"/>
      <c r="W65" s="604"/>
      <c r="X65" s="604"/>
      <c r="Y65" s="604"/>
      <c r="Z65" s="985"/>
      <c r="AA65" s="604"/>
      <c r="AB65" s="604"/>
      <c r="AC65" s="604"/>
      <c r="AD65" s="985"/>
      <c r="AE65" s="604"/>
      <c r="AF65" s="604"/>
      <c r="AG65" s="604"/>
      <c r="AH65" s="985"/>
      <c r="AI65" s="348"/>
      <c r="AJ65" s="90"/>
      <c r="AK65" s="90"/>
      <c r="AL65" s="90"/>
    </row>
    <row r="66" spans="1:38" ht="12.75" x14ac:dyDescent="0.2">
      <c r="A66" s="949"/>
      <c r="B66" s="989"/>
      <c r="C66" s="989"/>
      <c r="D66" s="989"/>
      <c r="E66" s="989"/>
      <c r="F66" s="989"/>
      <c r="G66" s="989"/>
      <c r="H66" s="989"/>
      <c r="I66" s="989"/>
      <c r="J66" s="348"/>
      <c r="K66" s="989"/>
      <c r="L66" s="989"/>
      <c r="M66" s="989"/>
      <c r="N66" s="990"/>
      <c r="O66" s="989"/>
      <c r="P66" s="989"/>
      <c r="Q66" s="989"/>
      <c r="R66" s="990"/>
      <c r="S66" s="989"/>
      <c r="T66" s="989"/>
      <c r="U66" s="989"/>
      <c r="V66" s="990"/>
      <c r="W66" s="989"/>
      <c r="X66" s="989"/>
      <c r="Y66" s="989"/>
      <c r="Z66" s="990"/>
      <c r="AA66" s="989"/>
      <c r="AB66" s="989"/>
      <c r="AC66" s="989"/>
      <c r="AD66" s="990"/>
      <c r="AE66" s="989"/>
      <c r="AF66" s="989"/>
      <c r="AG66" s="989"/>
      <c r="AH66" s="990"/>
      <c r="AI66" s="348"/>
      <c r="AJ66" s="90"/>
      <c r="AK66" s="90"/>
      <c r="AL66" s="90"/>
    </row>
    <row r="67" spans="1:38" ht="12.75" x14ac:dyDescent="0.2">
      <c r="A67" s="949" t="s">
        <v>1292</v>
      </c>
      <c r="B67" s="950">
        <v>2015</v>
      </c>
      <c r="C67" s="950">
        <v>2016</v>
      </c>
      <c r="D67" s="950">
        <v>2017</v>
      </c>
      <c r="E67" s="950">
        <v>2018</v>
      </c>
      <c r="F67" s="950">
        <v>2019</v>
      </c>
      <c r="G67" s="950">
        <v>2020</v>
      </c>
      <c r="H67" s="950">
        <v>2021</v>
      </c>
      <c r="I67" s="950">
        <f>SUM(AB67:AE67)</f>
        <v>2022</v>
      </c>
      <c r="J67" s="348"/>
      <c r="K67" s="950">
        <v>2017</v>
      </c>
      <c r="L67" s="950"/>
      <c r="M67" s="950"/>
      <c r="N67" s="951"/>
      <c r="O67" s="950">
        <v>2018</v>
      </c>
      <c r="P67" s="950"/>
      <c r="Q67" s="950"/>
      <c r="R67" s="951"/>
      <c r="S67" s="950">
        <v>2019</v>
      </c>
      <c r="T67" s="950"/>
      <c r="U67" s="950"/>
      <c r="V67" s="951"/>
      <c r="W67" s="950">
        <v>2020</v>
      </c>
      <c r="X67" s="950"/>
      <c r="Y67" s="950"/>
      <c r="Z67" s="951"/>
      <c r="AA67" s="950">
        <v>2021</v>
      </c>
      <c r="AB67" s="950"/>
      <c r="AC67" s="950"/>
      <c r="AD67" s="951" t="s">
        <v>306</v>
      </c>
      <c r="AE67" s="950">
        <v>2022</v>
      </c>
      <c r="AF67" s="950" t="s">
        <v>306</v>
      </c>
      <c r="AG67" s="950" t="s">
        <v>306</v>
      </c>
      <c r="AH67" s="951" t="s">
        <v>306</v>
      </c>
      <c r="AI67" s="348"/>
      <c r="AJ67" s="90"/>
      <c r="AK67" s="90"/>
      <c r="AL67" s="90"/>
    </row>
    <row r="68" spans="1:38" ht="12.75" x14ac:dyDescent="0.2">
      <c r="A68" s="966" t="s">
        <v>264</v>
      </c>
      <c r="B68" s="967" t="s">
        <v>501</v>
      </c>
      <c r="C68" s="967" t="s">
        <v>501</v>
      </c>
      <c r="D68" s="967" t="s">
        <v>501</v>
      </c>
      <c r="E68" s="967" t="s">
        <v>501</v>
      </c>
      <c r="F68" s="967" t="s">
        <v>501</v>
      </c>
      <c r="G68" s="967" t="s">
        <v>501</v>
      </c>
      <c r="H68" s="967" t="s">
        <v>502</v>
      </c>
      <c r="I68" s="967" t="s">
        <v>501</v>
      </c>
      <c r="J68" s="348"/>
      <c r="K68" s="967" t="s">
        <v>503</v>
      </c>
      <c r="L68" s="967" t="s">
        <v>504</v>
      </c>
      <c r="M68" s="967" t="s">
        <v>505</v>
      </c>
      <c r="N68" s="968" t="s">
        <v>506</v>
      </c>
      <c r="O68" s="967" t="s">
        <v>503</v>
      </c>
      <c r="P68" s="967" t="s">
        <v>504</v>
      </c>
      <c r="Q68" s="967" t="s">
        <v>505</v>
      </c>
      <c r="R68" s="968" t="s">
        <v>506</v>
      </c>
      <c r="S68" s="967" t="s">
        <v>503</v>
      </c>
      <c r="T68" s="967" t="s">
        <v>504</v>
      </c>
      <c r="U68" s="967" t="s">
        <v>505</v>
      </c>
      <c r="V68" s="968" t="s">
        <v>506</v>
      </c>
      <c r="W68" s="967" t="s">
        <v>503</v>
      </c>
      <c r="X68" s="967" t="s">
        <v>504</v>
      </c>
      <c r="Y68" s="967" t="s">
        <v>505</v>
      </c>
      <c r="Z68" s="968" t="s">
        <v>506</v>
      </c>
      <c r="AA68" s="967" t="s">
        <v>503</v>
      </c>
      <c r="AB68" s="967" t="s">
        <v>504</v>
      </c>
      <c r="AC68" s="967" t="str">
        <f>+AC$6</f>
        <v>Q3</v>
      </c>
      <c r="AD68" s="968" t="s">
        <v>506</v>
      </c>
      <c r="AE68" s="967" t="s">
        <v>503</v>
      </c>
      <c r="AF68" s="967" t="s">
        <v>504</v>
      </c>
      <c r="AG68" s="967" t="s">
        <v>505</v>
      </c>
      <c r="AH68" s="968" t="s">
        <v>506</v>
      </c>
      <c r="AI68" s="348"/>
      <c r="AJ68" s="90"/>
      <c r="AK68" s="90"/>
      <c r="AL68" s="90"/>
    </row>
    <row r="69" spans="1:38" ht="22.5" x14ac:dyDescent="0.2">
      <c r="A69" s="987" t="s">
        <v>330</v>
      </c>
      <c r="B69" s="994" t="s">
        <v>195</v>
      </c>
      <c r="C69" s="994" t="s">
        <v>195</v>
      </c>
      <c r="D69" s="995">
        <v>-163</v>
      </c>
      <c r="E69" s="995">
        <v>-66</v>
      </c>
      <c r="F69" s="995">
        <v>-194</v>
      </c>
      <c r="G69" s="995">
        <v>-99</v>
      </c>
      <c r="H69" s="995">
        <v>-270</v>
      </c>
      <c r="I69" s="995">
        <v>37</v>
      </c>
      <c r="J69" s="376"/>
      <c r="K69" s="995">
        <v>-45</v>
      </c>
      <c r="L69" s="995">
        <v>-53</v>
      </c>
      <c r="M69" s="995">
        <v>-15</v>
      </c>
      <c r="N69" s="996">
        <v>-50</v>
      </c>
      <c r="O69" s="995">
        <v>0</v>
      </c>
      <c r="P69" s="995">
        <v>-77</v>
      </c>
      <c r="Q69" s="995">
        <v>-56</v>
      </c>
      <c r="R69" s="996">
        <v>67</v>
      </c>
      <c r="S69" s="995">
        <v>-59</v>
      </c>
      <c r="T69" s="995">
        <v>-39</v>
      </c>
      <c r="U69" s="995">
        <v>-54</v>
      </c>
      <c r="V69" s="996">
        <v>-42</v>
      </c>
      <c r="W69" s="995">
        <f>W45</f>
        <v>65</v>
      </c>
      <c r="X69" s="995">
        <v>-91</v>
      </c>
      <c r="Y69" s="997">
        <v>-21</v>
      </c>
      <c r="Z69" s="996">
        <v>-52</v>
      </c>
      <c r="AA69" s="995">
        <v>-149</v>
      </c>
      <c r="AB69" s="995">
        <v>-15</v>
      </c>
      <c r="AC69" s="995">
        <v>21</v>
      </c>
      <c r="AD69" s="996">
        <v>-127</v>
      </c>
      <c r="AE69" s="995">
        <v>43</v>
      </c>
      <c r="AF69" s="995">
        <v>75</v>
      </c>
      <c r="AG69" s="995">
        <v>-14</v>
      </c>
      <c r="AH69" s="996">
        <v>-67</v>
      </c>
      <c r="AI69" s="376"/>
      <c r="AJ69" s="228"/>
      <c r="AK69" s="228"/>
      <c r="AL69" s="228"/>
    </row>
    <row r="70" spans="1:38" ht="12.75" x14ac:dyDescent="0.2">
      <c r="A70" s="584" t="s">
        <v>321</v>
      </c>
      <c r="B70" s="604" t="s">
        <v>195</v>
      </c>
      <c r="C70" s="604" t="s">
        <v>195</v>
      </c>
      <c r="D70" s="604" t="s">
        <v>195</v>
      </c>
      <c r="E70" s="604">
        <v>-328</v>
      </c>
      <c r="F70" s="705">
        <v>-62</v>
      </c>
      <c r="G70" s="705">
        <v>-18</v>
      </c>
      <c r="H70" s="604" t="s">
        <v>195</v>
      </c>
      <c r="I70" s="604" t="s">
        <v>195</v>
      </c>
      <c r="J70" s="348"/>
      <c r="K70" s="604" t="s">
        <v>195</v>
      </c>
      <c r="L70" s="604" t="s">
        <v>195</v>
      </c>
      <c r="M70" s="604" t="s">
        <v>195</v>
      </c>
      <c r="N70" s="985" t="s">
        <v>195</v>
      </c>
      <c r="O70" s="604">
        <v>-95</v>
      </c>
      <c r="P70" s="604">
        <v>-104</v>
      </c>
      <c r="Q70" s="604">
        <v>-70</v>
      </c>
      <c r="R70" s="985">
        <v>-59</v>
      </c>
      <c r="S70" s="604">
        <v>-17</v>
      </c>
      <c r="T70" s="604">
        <v>-23</v>
      </c>
      <c r="U70" s="604">
        <v>-11</v>
      </c>
      <c r="V70" s="985">
        <v>-11</v>
      </c>
      <c r="W70" s="604">
        <v>-6</v>
      </c>
      <c r="X70" s="604">
        <v>-11</v>
      </c>
      <c r="Y70" s="604">
        <v>-1</v>
      </c>
      <c r="Z70" s="985" t="s">
        <v>195</v>
      </c>
      <c r="AA70" s="604" t="s">
        <v>195</v>
      </c>
      <c r="AB70" s="604" t="s">
        <v>195</v>
      </c>
      <c r="AC70" s="604" t="s">
        <v>195</v>
      </c>
      <c r="AD70" s="985" t="s">
        <v>195</v>
      </c>
      <c r="AE70" s="604" t="s">
        <v>195</v>
      </c>
      <c r="AF70" s="604" t="s">
        <v>195</v>
      </c>
      <c r="AG70" s="604" t="s">
        <v>195</v>
      </c>
      <c r="AH70" s="985" t="s">
        <v>195</v>
      </c>
      <c r="AI70" s="348"/>
      <c r="AJ70" s="90"/>
      <c r="AK70" s="90"/>
      <c r="AL70" s="90"/>
    </row>
    <row r="71" spans="1:38" ht="12.75" x14ac:dyDescent="0.2">
      <c r="A71" s="910" t="s">
        <v>301</v>
      </c>
      <c r="B71" s="988" t="s">
        <v>195</v>
      </c>
      <c r="C71" s="988" t="s">
        <v>195</v>
      </c>
      <c r="D71" s="961">
        <v>-163</v>
      </c>
      <c r="E71" s="961">
        <v>-394</v>
      </c>
      <c r="F71" s="961">
        <f>SUM(S71:V71)</f>
        <v>-256.16971000000001</v>
      </c>
      <c r="G71" s="961">
        <f>SUM(W71:Z71)</f>
        <v>-117</v>
      </c>
      <c r="H71" s="961">
        <v>-270</v>
      </c>
      <c r="I71" s="961">
        <v>37</v>
      </c>
      <c r="J71" s="348"/>
      <c r="K71" s="961">
        <v>-45</v>
      </c>
      <c r="L71" s="961">
        <v>-53</v>
      </c>
      <c r="M71" s="961">
        <v>-15</v>
      </c>
      <c r="N71" s="962">
        <v>-50</v>
      </c>
      <c r="O71" s="961">
        <v>-95</v>
      </c>
      <c r="P71" s="961">
        <v>-181</v>
      </c>
      <c r="Q71" s="961">
        <v>-126</v>
      </c>
      <c r="R71" s="962">
        <v>8</v>
      </c>
      <c r="S71" s="961">
        <v>-76</v>
      </c>
      <c r="T71" s="961">
        <v>-62</v>
      </c>
      <c r="U71" s="961">
        <v>-65.169709999999995</v>
      </c>
      <c r="V71" s="962">
        <v>-53</v>
      </c>
      <c r="W71" s="961">
        <f t="shared" ref="W71:AB71" si="4">SUM(W69:W70)</f>
        <v>59</v>
      </c>
      <c r="X71" s="961">
        <f t="shared" si="4"/>
        <v>-102</v>
      </c>
      <c r="Y71" s="961">
        <f t="shared" si="4"/>
        <v>-22</v>
      </c>
      <c r="Z71" s="962">
        <f t="shared" si="4"/>
        <v>-52</v>
      </c>
      <c r="AA71" s="961">
        <f t="shared" si="4"/>
        <v>-149</v>
      </c>
      <c r="AB71" s="961">
        <f t="shared" si="4"/>
        <v>-15</v>
      </c>
      <c r="AC71" s="961">
        <v>21</v>
      </c>
      <c r="AD71" s="962">
        <v>-127</v>
      </c>
      <c r="AE71" s="961">
        <v>43</v>
      </c>
      <c r="AF71" s="961">
        <v>75</v>
      </c>
      <c r="AG71" s="961">
        <v>-14</v>
      </c>
      <c r="AH71" s="962">
        <v>-67</v>
      </c>
      <c r="AI71" s="348"/>
      <c r="AJ71" s="90"/>
      <c r="AK71" s="90"/>
      <c r="AL71" s="90"/>
    </row>
    <row r="72" spans="1:38" ht="12.75" x14ac:dyDescent="0.2">
      <c r="A72" s="949"/>
      <c r="B72" s="963"/>
      <c r="C72" s="963"/>
      <c r="D72" s="963"/>
      <c r="E72" s="963"/>
      <c r="F72" s="963"/>
      <c r="G72" s="950"/>
      <c r="H72" s="950"/>
      <c r="I72" s="950"/>
      <c r="J72" s="348"/>
      <c r="K72" s="963"/>
      <c r="L72" s="963"/>
      <c r="M72" s="963"/>
      <c r="N72" s="964"/>
      <c r="O72" s="963"/>
      <c r="P72" s="963"/>
      <c r="Q72" s="963"/>
      <c r="R72" s="964"/>
      <c r="S72" s="963"/>
      <c r="T72" s="963"/>
      <c r="U72" s="963"/>
      <c r="V72" s="964"/>
      <c r="W72" s="963"/>
      <c r="X72" s="963"/>
      <c r="Y72" s="963"/>
      <c r="Z72" s="964"/>
      <c r="AA72" s="963"/>
      <c r="AB72" s="963"/>
      <c r="AC72" s="963"/>
      <c r="AD72" s="964"/>
      <c r="AE72" s="963"/>
      <c r="AF72" s="963"/>
      <c r="AG72" s="963"/>
      <c r="AH72" s="964"/>
      <c r="AI72" s="348"/>
      <c r="AJ72" s="90"/>
      <c r="AK72" s="90"/>
      <c r="AL72" s="90"/>
    </row>
    <row r="73" spans="1:38" ht="12.75" x14ac:dyDescent="0.2">
      <c r="A73" s="949"/>
      <c r="B73" s="963"/>
      <c r="C73" s="963"/>
      <c r="D73" s="963"/>
      <c r="E73" s="963"/>
      <c r="F73" s="963"/>
      <c r="G73" s="963"/>
      <c r="H73" s="963"/>
      <c r="I73" s="963"/>
      <c r="J73" s="348"/>
      <c r="K73" s="963"/>
      <c r="L73" s="963"/>
      <c r="M73" s="963"/>
      <c r="N73" s="964"/>
      <c r="O73" s="963"/>
      <c r="P73" s="963"/>
      <c r="Q73" s="963"/>
      <c r="R73" s="964"/>
      <c r="S73" s="963"/>
      <c r="T73" s="963"/>
      <c r="U73" s="963"/>
      <c r="V73" s="964"/>
      <c r="W73" s="963"/>
      <c r="X73" s="963"/>
      <c r="Y73" s="963"/>
      <c r="Z73" s="964"/>
      <c r="AA73" s="963"/>
      <c r="AB73" s="963"/>
      <c r="AC73" s="963"/>
      <c r="AD73" s="964"/>
      <c r="AE73" s="963"/>
      <c r="AF73" s="963"/>
      <c r="AG73" s="963"/>
      <c r="AH73" s="964"/>
      <c r="AI73" s="348"/>
      <c r="AJ73" s="90"/>
      <c r="AK73" s="90"/>
      <c r="AL73" s="90"/>
    </row>
    <row r="74" spans="1:38" ht="12.75" x14ac:dyDescent="0.2">
      <c r="A74" s="965" t="s">
        <v>1293</v>
      </c>
      <c r="B74" s="950">
        <v>2015</v>
      </c>
      <c r="C74" s="950">
        <v>2016</v>
      </c>
      <c r="D74" s="950">
        <v>2017</v>
      </c>
      <c r="E74" s="950">
        <v>2018</v>
      </c>
      <c r="F74" s="950">
        <v>2019</v>
      </c>
      <c r="G74" s="950">
        <v>2020</v>
      </c>
      <c r="H74" s="950">
        <v>2021</v>
      </c>
      <c r="I74" s="950">
        <f>SUM(AB74:AE74)</f>
        <v>2022</v>
      </c>
      <c r="J74" s="348"/>
      <c r="K74" s="950">
        <v>2017</v>
      </c>
      <c r="L74" s="950"/>
      <c r="M74" s="950"/>
      <c r="N74" s="951"/>
      <c r="O74" s="950">
        <v>2018</v>
      </c>
      <c r="P74" s="950"/>
      <c r="Q74" s="950"/>
      <c r="R74" s="951"/>
      <c r="S74" s="950">
        <v>2019</v>
      </c>
      <c r="T74" s="950"/>
      <c r="U74" s="950"/>
      <c r="V74" s="951"/>
      <c r="W74" s="950">
        <v>2020</v>
      </c>
      <c r="X74" s="950"/>
      <c r="Y74" s="950"/>
      <c r="Z74" s="951"/>
      <c r="AA74" s="950">
        <v>2021</v>
      </c>
      <c r="AB74" s="950"/>
      <c r="AC74" s="950"/>
      <c r="AD74" s="951" t="s">
        <v>306</v>
      </c>
      <c r="AE74" s="950">
        <v>2022</v>
      </c>
      <c r="AF74" s="950" t="s">
        <v>306</v>
      </c>
      <c r="AG74" s="950"/>
      <c r="AH74" s="951" t="s">
        <v>306</v>
      </c>
      <c r="AI74" s="348"/>
      <c r="AJ74" s="90"/>
      <c r="AK74" s="90"/>
      <c r="AL74" s="90"/>
    </row>
    <row r="75" spans="1:38" ht="12.75" x14ac:dyDescent="0.2">
      <c r="A75" s="966" t="s">
        <v>1294</v>
      </c>
      <c r="B75" s="967" t="s">
        <v>501</v>
      </c>
      <c r="C75" s="967" t="s">
        <v>501</v>
      </c>
      <c r="D75" s="967" t="s">
        <v>501</v>
      </c>
      <c r="E75" s="967" t="s">
        <v>501</v>
      </c>
      <c r="F75" s="967" t="s">
        <v>501</v>
      </c>
      <c r="G75" s="967" t="s">
        <v>501</v>
      </c>
      <c r="H75" s="967" t="s">
        <v>501</v>
      </c>
      <c r="I75" s="967" t="s">
        <v>501</v>
      </c>
      <c r="J75" s="348"/>
      <c r="K75" s="967" t="s">
        <v>503</v>
      </c>
      <c r="L75" s="967" t="s">
        <v>504</v>
      </c>
      <c r="M75" s="967" t="s">
        <v>505</v>
      </c>
      <c r="N75" s="968" t="s">
        <v>506</v>
      </c>
      <c r="O75" s="967" t="s">
        <v>503</v>
      </c>
      <c r="P75" s="967" t="s">
        <v>504</v>
      </c>
      <c r="Q75" s="967" t="s">
        <v>505</v>
      </c>
      <c r="R75" s="968" t="s">
        <v>506</v>
      </c>
      <c r="S75" s="967" t="s">
        <v>503</v>
      </c>
      <c r="T75" s="967" t="s">
        <v>504</v>
      </c>
      <c r="U75" s="967" t="s">
        <v>505</v>
      </c>
      <c r="V75" s="968" t="s">
        <v>506</v>
      </c>
      <c r="W75" s="967" t="s">
        <v>503</v>
      </c>
      <c r="X75" s="967" t="s">
        <v>504</v>
      </c>
      <c r="Y75" s="967" t="s">
        <v>505</v>
      </c>
      <c r="Z75" s="968" t="s">
        <v>506</v>
      </c>
      <c r="AA75" s="967" t="s">
        <v>503</v>
      </c>
      <c r="AB75" s="967" t="s">
        <v>504</v>
      </c>
      <c r="AC75" s="967" t="str">
        <f>+AC$6</f>
        <v>Q3</v>
      </c>
      <c r="AD75" s="968" t="s">
        <v>506</v>
      </c>
      <c r="AE75" s="967" t="s">
        <v>503</v>
      </c>
      <c r="AF75" s="967" t="s">
        <v>504</v>
      </c>
      <c r="AG75" s="967" t="s">
        <v>505</v>
      </c>
      <c r="AH75" s="968" t="s">
        <v>506</v>
      </c>
      <c r="AI75" s="348"/>
      <c r="AJ75" s="90"/>
      <c r="AK75" s="90"/>
      <c r="AL75" s="90"/>
    </row>
    <row r="76" spans="1:38" ht="12.75" x14ac:dyDescent="0.2">
      <c r="A76" s="584" t="s">
        <v>296</v>
      </c>
      <c r="B76" s="998">
        <v>0.71526139764126029</v>
      </c>
      <c r="C76" s="998">
        <v>0.70454460724005519</v>
      </c>
      <c r="D76" s="999">
        <v>0.71922496063751162</v>
      </c>
      <c r="E76" s="999">
        <v>0.74988833127512544</v>
      </c>
      <c r="F76" s="999">
        <v>0.73460309658392731</v>
      </c>
      <c r="G76" s="999">
        <v>0.75</v>
      </c>
      <c r="H76" s="999">
        <f>H17/SUM(H17+H20)</f>
        <v>0.74180898165717901</v>
      </c>
      <c r="I76" s="999">
        <f>I17/SUM(I17+I20)</f>
        <v>0.75761416214041444</v>
      </c>
      <c r="J76" s="348"/>
      <c r="K76" s="999">
        <v>0.70722124373391138</v>
      </c>
      <c r="L76" s="999">
        <v>0.70521047227926081</v>
      </c>
      <c r="M76" s="999">
        <v>0.7163111170001325</v>
      </c>
      <c r="N76" s="1000">
        <v>0.74538745387453875</v>
      </c>
      <c r="O76" s="999">
        <v>0.72581827063996096</v>
      </c>
      <c r="P76" s="999">
        <v>0.74920732330980877</v>
      </c>
      <c r="Q76" s="999">
        <v>0.75083682008368202</v>
      </c>
      <c r="R76" s="1000">
        <v>0.76836909056388836</v>
      </c>
      <c r="S76" s="999">
        <v>0.73199588477366251</v>
      </c>
      <c r="T76" s="999">
        <v>0.72468949943545347</v>
      </c>
      <c r="U76" s="999">
        <v>0.72621051589266261</v>
      </c>
      <c r="V76" s="1000">
        <v>0.75563799668066001</v>
      </c>
      <c r="W76" s="999">
        <v>0.72424042272126821</v>
      </c>
      <c r="X76" s="999">
        <v>0.75937093531985334</v>
      </c>
      <c r="Y76" s="999">
        <v>0.75</v>
      </c>
      <c r="Z76" s="1000">
        <v>0.77</v>
      </c>
      <c r="AA76" s="999">
        <v>0.75</v>
      </c>
      <c r="AB76" s="999">
        <v>0.74</v>
      </c>
      <c r="AC76" s="999">
        <v>0.73</v>
      </c>
      <c r="AD76" s="1000">
        <v>0.76076255258211756</v>
      </c>
      <c r="AE76" s="999">
        <v>0.73917748917748916</v>
      </c>
      <c r="AF76" s="999">
        <v>0.73306370070778559</v>
      </c>
      <c r="AG76" s="999">
        <v>0.76136541165442895</v>
      </c>
      <c r="AH76" s="1000">
        <v>0.79061423650975893</v>
      </c>
      <c r="AI76" s="348"/>
      <c r="AJ76" s="90"/>
      <c r="AK76" s="90"/>
      <c r="AL76" s="90"/>
    </row>
    <row r="77" spans="1:38" ht="12.75" x14ac:dyDescent="0.2">
      <c r="A77" s="584" t="s">
        <v>299</v>
      </c>
      <c r="B77" s="998">
        <v>0.28473860235873966</v>
      </c>
      <c r="C77" s="998">
        <v>0.29545539275994481</v>
      </c>
      <c r="D77" s="999">
        <v>0.28077503936248838</v>
      </c>
      <c r="E77" s="999">
        <v>0.25011166872487456</v>
      </c>
      <c r="F77" s="999">
        <v>0.26539690341607275</v>
      </c>
      <c r="G77" s="999">
        <v>0.25</v>
      </c>
      <c r="H77" s="999">
        <f>100%-H76</f>
        <v>0.25819101834282099</v>
      </c>
      <c r="I77" s="999">
        <f>100%-I76</f>
        <v>0.24238583785958556</v>
      </c>
      <c r="J77" s="348"/>
      <c r="K77" s="999">
        <v>0.29277875626608862</v>
      </c>
      <c r="L77" s="999">
        <v>0.29478952772073924</v>
      </c>
      <c r="M77" s="999">
        <v>0.2836888829998675</v>
      </c>
      <c r="N77" s="1000">
        <v>0.25461254612546125</v>
      </c>
      <c r="O77" s="999">
        <v>0.27418172936003909</v>
      </c>
      <c r="P77" s="999">
        <v>0.25079267669019129</v>
      </c>
      <c r="Q77" s="999">
        <v>0.24916317991631798</v>
      </c>
      <c r="R77" s="1000">
        <v>0.23163090943611164</v>
      </c>
      <c r="S77" s="999">
        <v>0.26800411522633744</v>
      </c>
      <c r="T77" s="999">
        <v>0.27531050056454648</v>
      </c>
      <c r="U77" s="999">
        <v>0.27378948410733733</v>
      </c>
      <c r="V77" s="1000">
        <v>0.24436200331934005</v>
      </c>
      <c r="W77" s="999">
        <v>0.27575957727873185</v>
      </c>
      <c r="X77" s="999">
        <v>0.24062906468014664</v>
      </c>
      <c r="Y77" s="999">
        <v>0.25</v>
      </c>
      <c r="Z77" s="1000">
        <v>0.23</v>
      </c>
      <c r="AA77" s="999">
        <v>0.25</v>
      </c>
      <c r="AB77" s="999">
        <v>0.26</v>
      </c>
      <c r="AC77" s="999">
        <v>0.27</v>
      </c>
      <c r="AD77" s="1000">
        <v>0.23664190459142576</v>
      </c>
      <c r="AE77" s="999">
        <v>0.25946969696969696</v>
      </c>
      <c r="AF77" s="999">
        <v>0.26575665655544323</v>
      </c>
      <c r="AG77" s="999">
        <v>0.23699421965317918</v>
      </c>
      <c r="AH77" s="1000">
        <v>0.21412169919632607</v>
      </c>
      <c r="AI77" s="348"/>
      <c r="AJ77" s="90"/>
      <c r="AK77" s="90"/>
      <c r="AL77" s="90"/>
    </row>
    <row r="78" spans="1:38" ht="12.75" x14ac:dyDescent="0.2">
      <c r="A78" s="348"/>
      <c r="B78" s="348"/>
      <c r="C78" s="348"/>
      <c r="D78" s="348"/>
      <c r="E78" s="348"/>
      <c r="F78" s="348"/>
      <c r="G78" s="348"/>
      <c r="H78" s="348"/>
      <c r="I78" s="348"/>
      <c r="J78" s="348"/>
      <c r="K78" s="348"/>
      <c r="L78" s="348"/>
      <c r="M78" s="348"/>
      <c r="N78" s="353"/>
      <c r="O78" s="348"/>
      <c r="P78" s="348"/>
      <c r="Q78" s="348"/>
      <c r="R78" s="353"/>
      <c r="S78" s="348"/>
      <c r="T78" s="348"/>
      <c r="U78" s="348"/>
      <c r="V78" s="353"/>
      <c r="W78" s="348"/>
      <c r="X78" s="348"/>
      <c r="Y78" s="348"/>
      <c r="Z78" s="353"/>
      <c r="AA78" s="348"/>
      <c r="AB78" s="348"/>
      <c r="AC78" s="348"/>
      <c r="AD78" s="353"/>
      <c r="AE78" s="348"/>
      <c r="AF78" s="348"/>
      <c r="AG78" s="348"/>
      <c r="AH78" s="353"/>
      <c r="AI78" s="348"/>
      <c r="AJ78" s="90"/>
      <c r="AK78" s="90"/>
      <c r="AL78" s="90"/>
    </row>
    <row r="79" spans="1:38" ht="12.75" x14ac:dyDescent="0.2">
      <c r="A79" s="348"/>
      <c r="B79" s="348"/>
      <c r="C79" s="348"/>
      <c r="D79" s="348"/>
      <c r="E79" s="348"/>
      <c r="F79" s="348"/>
      <c r="G79" s="348"/>
      <c r="H79" s="348"/>
      <c r="I79" s="348"/>
      <c r="J79" s="348"/>
      <c r="K79" s="348"/>
      <c r="L79" s="348"/>
      <c r="M79" s="348"/>
      <c r="N79" s="353"/>
      <c r="O79" s="348"/>
      <c r="P79" s="348"/>
      <c r="Q79" s="348"/>
      <c r="R79" s="353"/>
      <c r="S79" s="348"/>
      <c r="T79" s="348"/>
      <c r="U79" s="348"/>
      <c r="V79" s="353"/>
      <c r="W79" s="348"/>
      <c r="X79" s="348"/>
      <c r="Y79" s="348"/>
      <c r="Z79" s="353"/>
      <c r="AA79" s="348"/>
      <c r="AB79" s="348"/>
      <c r="AC79" s="348"/>
      <c r="AD79" s="353"/>
      <c r="AE79" s="348"/>
      <c r="AF79" s="348"/>
      <c r="AG79" s="348"/>
      <c r="AH79" s="353"/>
      <c r="AI79" s="348"/>
      <c r="AJ79" s="90"/>
      <c r="AK79" s="90"/>
      <c r="AL79" s="90"/>
    </row>
    <row r="80" spans="1:38" ht="12.75" x14ac:dyDescent="0.2">
      <c r="A80" s="965" t="s">
        <v>1295</v>
      </c>
      <c r="B80" s="950">
        <v>2015</v>
      </c>
      <c r="C80" s="950">
        <v>2016</v>
      </c>
      <c r="D80" s="950">
        <v>2017</v>
      </c>
      <c r="E80" s="950">
        <v>2018</v>
      </c>
      <c r="F80" s="950">
        <v>2019</v>
      </c>
      <c r="G80" s="950">
        <v>2020</v>
      </c>
      <c r="H80" s="950">
        <v>2021</v>
      </c>
      <c r="I80" s="950">
        <f>SUM(AB80:AE80)</f>
        <v>2022</v>
      </c>
      <c r="J80" s="348"/>
      <c r="K80" s="950">
        <v>2017</v>
      </c>
      <c r="L80" s="950"/>
      <c r="M80" s="950"/>
      <c r="N80" s="951"/>
      <c r="O80" s="950">
        <v>2018</v>
      </c>
      <c r="P80" s="950"/>
      <c r="Q80" s="950"/>
      <c r="R80" s="951"/>
      <c r="S80" s="950">
        <v>2019</v>
      </c>
      <c r="T80" s="950"/>
      <c r="U80" s="950"/>
      <c r="V80" s="951"/>
      <c r="W80" s="950">
        <v>2020</v>
      </c>
      <c r="X80" s="950"/>
      <c r="Y80" s="950"/>
      <c r="Z80" s="951"/>
      <c r="AA80" s="950">
        <v>2021</v>
      </c>
      <c r="AB80" s="950"/>
      <c r="AC80" s="950"/>
      <c r="AD80" s="951" t="s">
        <v>306</v>
      </c>
      <c r="AE80" s="950">
        <v>2022</v>
      </c>
      <c r="AF80" s="950" t="s">
        <v>306</v>
      </c>
      <c r="AG80" s="950"/>
      <c r="AH80" s="951" t="s">
        <v>306</v>
      </c>
      <c r="AI80" s="348"/>
      <c r="AJ80" s="90"/>
      <c r="AK80" s="90"/>
      <c r="AL80" s="90"/>
    </row>
    <row r="81" spans="1:38" ht="12.75" x14ac:dyDescent="0.2">
      <c r="A81" s="966" t="s">
        <v>1296</v>
      </c>
      <c r="B81" s="967" t="s">
        <v>501</v>
      </c>
      <c r="C81" s="967" t="s">
        <v>501</v>
      </c>
      <c r="D81" s="967" t="s">
        <v>501</v>
      </c>
      <c r="E81" s="967" t="s">
        <v>501</v>
      </c>
      <c r="F81" s="967" t="s">
        <v>501</v>
      </c>
      <c r="G81" s="967" t="s">
        <v>501</v>
      </c>
      <c r="H81" s="967" t="s">
        <v>501</v>
      </c>
      <c r="I81" s="967" t="s">
        <v>501</v>
      </c>
      <c r="J81" s="348"/>
      <c r="K81" s="967" t="s">
        <v>503</v>
      </c>
      <c r="L81" s="967" t="s">
        <v>504</v>
      </c>
      <c r="M81" s="967" t="s">
        <v>505</v>
      </c>
      <c r="N81" s="968" t="s">
        <v>506</v>
      </c>
      <c r="O81" s="967" t="s">
        <v>503</v>
      </c>
      <c r="P81" s="967" t="s">
        <v>504</v>
      </c>
      <c r="Q81" s="967" t="s">
        <v>505</v>
      </c>
      <c r="R81" s="968" t="s">
        <v>506</v>
      </c>
      <c r="S81" s="967" t="s">
        <v>503</v>
      </c>
      <c r="T81" s="967" t="s">
        <v>504</v>
      </c>
      <c r="U81" s="967" t="s">
        <v>505</v>
      </c>
      <c r="V81" s="968" t="s">
        <v>506</v>
      </c>
      <c r="W81" s="967" t="s">
        <v>503</v>
      </c>
      <c r="X81" s="967" t="s">
        <v>504</v>
      </c>
      <c r="Y81" s="967" t="s">
        <v>505</v>
      </c>
      <c r="Z81" s="968" t="s">
        <v>506</v>
      </c>
      <c r="AA81" s="967" t="s">
        <v>503</v>
      </c>
      <c r="AB81" s="967" t="s">
        <v>504</v>
      </c>
      <c r="AC81" s="967" t="str">
        <f>+AC$6</f>
        <v>Q3</v>
      </c>
      <c r="AD81" s="968" t="s">
        <v>506</v>
      </c>
      <c r="AE81" s="967" t="s">
        <v>503</v>
      </c>
      <c r="AF81" s="967" t="s">
        <v>504</v>
      </c>
      <c r="AG81" s="967" t="s">
        <v>505</v>
      </c>
      <c r="AH81" s="968" t="s">
        <v>506</v>
      </c>
      <c r="AI81" s="348"/>
      <c r="AJ81" s="90"/>
      <c r="AK81" s="90"/>
      <c r="AL81" s="90"/>
    </row>
    <row r="82" spans="1:38" ht="12.75" x14ac:dyDescent="0.2">
      <c r="A82" s="584" t="s">
        <v>333</v>
      </c>
      <c r="B82" s="998">
        <v>0.3</v>
      </c>
      <c r="C82" s="998">
        <v>0.28999999999999998</v>
      </c>
      <c r="D82" s="998">
        <v>0.33</v>
      </c>
      <c r="E82" s="999">
        <v>0.37</v>
      </c>
      <c r="F82" s="999">
        <v>0.34</v>
      </c>
      <c r="G82" s="999">
        <v>0.32064963924172174</v>
      </c>
      <c r="H82" s="999">
        <f>H84/(H84+H85)</f>
        <v>0.30858950031625554</v>
      </c>
      <c r="I82" s="999">
        <f>I84/(I84+I85)</f>
        <v>0.30573325286662645</v>
      </c>
      <c r="J82" s="348"/>
      <c r="K82" s="999">
        <v>0.3</v>
      </c>
      <c r="L82" s="999">
        <v>0.32</v>
      </c>
      <c r="M82" s="999">
        <v>0.32</v>
      </c>
      <c r="N82" s="1000">
        <v>0.38</v>
      </c>
      <c r="O82" s="999">
        <v>0.33</v>
      </c>
      <c r="P82" s="999">
        <v>0.37</v>
      </c>
      <c r="Q82" s="999">
        <v>0.37</v>
      </c>
      <c r="R82" s="1000">
        <v>0.41</v>
      </c>
      <c r="S82" s="999">
        <v>0.34392486011191048</v>
      </c>
      <c r="T82" s="999">
        <v>0.34085499381129203</v>
      </c>
      <c r="U82" s="999">
        <v>0.32</v>
      </c>
      <c r="V82" s="1000">
        <v>0.36</v>
      </c>
      <c r="W82" s="999">
        <v>0.28000000000000003</v>
      </c>
      <c r="X82" s="999">
        <v>0.33</v>
      </c>
      <c r="Y82" s="999">
        <v>0.31</v>
      </c>
      <c r="Z82" s="1000">
        <v>0.35</v>
      </c>
      <c r="AA82" s="999">
        <v>0.28999999999999998</v>
      </c>
      <c r="AB82" s="999">
        <v>0.31</v>
      </c>
      <c r="AC82" s="999">
        <v>0.28000000000000003</v>
      </c>
      <c r="AD82" s="1000">
        <v>0.33930009845162445</v>
      </c>
      <c r="AE82" s="999">
        <v>0.30753968253968256</v>
      </c>
      <c r="AF82" s="999">
        <v>0.26879002359285475</v>
      </c>
      <c r="AG82" s="999">
        <v>0.2994063427589439</v>
      </c>
      <c r="AH82" s="1000">
        <v>0.35</v>
      </c>
      <c r="AI82" s="348"/>
      <c r="AJ82" s="90"/>
      <c r="AK82" s="90"/>
      <c r="AL82" s="90"/>
    </row>
    <row r="83" spans="1:38" ht="12.75" x14ac:dyDescent="0.2">
      <c r="A83" s="584" t="s">
        <v>334</v>
      </c>
      <c r="B83" s="998">
        <v>0.7</v>
      </c>
      <c r="C83" s="998">
        <v>0.71</v>
      </c>
      <c r="D83" s="998">
        <v>0.67</v>
      </c>
      <c r="E83" s="999">
        <v>0.63</v>
      </c>
      <c r="F83" s="999">
        <v>0.66</v>
      </c>
      <c r="G83" s="999">
        <v>0.67935036075827826</v>
      </c>
      <c r="H83" s="999">
        <f>H85/(H84+H85)</f>
        <v>0.69141049968374446</v>
      </c>
      <c r="I83" s="999">
        <f>I85/(I84+I85)</f>
        <v>0.69426674713337355</v>
      </c>
      <c r="J83" s="348"/>
      <c r="K83" s="999">
        <v>0.7</v>
      </c>
      <c r="L83" s="999">
        <v>0.68</v>
      </c>
      <c r="M83" s="999">
        <v>0.68</v>
      </c>
      <c r="N83" s="1000">
        <v>0.62</v>
      </c>
      <c r="O83" s="999">
        <v>0.67</v>
      </c>
      <c r="P83" s="999">
        <v>0.63</v>
      </c>
      <c r="Q83" s="999">
        <v>0.63</v>
      </c>
      <c r="R83" s="1000">
        <v>0.59</v>
      </c>
      <c r="S83" s="999">
        <v>0.65607513988808952</v>
      </c>
      <c r="T83" s="999">
        <v>0.65914500618870797</v>
      </c>
      <c r="U83" s="999">
        <v>0.68</v>
      </c>
      <c r="V83" s="1000">
        <v>0.64</v>
      </c>
      <c r="W83" s="999">
        <v>0.72</v>
      </c>
      <c r="X83" s="999">
        <v>0.67269717393874895</v>
      </c>
      <c r="Y83" s="999">
        <v>0.69</v>
      </c>
      <c r="Z83" s="1000">
        <v>0.65</v>
      </c>
      <c r="AA83" s="999">
        <v>0.71</v>
      </c>
      <c r="AB83" s="999">
        <v>0.69</v>
      </c>
      <c r="AC83" s="999">
        <v>0.72</v>
      </c>
      <c r="AD83" s="1000">
        <v>0.65810435872191886</v>
      </c>
      <c r="AE83" s="999">
        <v>0.69110750360750361</v>
      </c>
      <c r="AF83" s="999">
        <v>0.73003033367037407</v>
      </c>
      <c r="AG83" s="999">
        <v>0.69903140134354003</v>
      </c>
      <c r="AH83" s="1000">
        <v>0.65</v>
      </c>
      <c r="AI83" s="348"/>
      <c r="AJ83" s="90"/>
      <c r="AK83" s="90"/>
      <c r="AL83" s="90"/>
    </row>
    <row r="84" spans="1:38" ht="12.75" x14ac:dyDescent="0.2">
      <c r="A84" s="584" t="s">
        <v>335</v>
      </c>
      <c r="B84" s="901">
        <v>8510</v>
      </c>
      <c r="C84" s="901">
        <v>7710</v>
      </c>
      <c r="D84" s="619">
        <v>10276</v>
      </c>
      <c r="E84" s="619">
        <v>14238</v>
      </c>
      <c r="F84" s="619">
        <v>13862</v>
      </c>
      <c r="G84" s="619">
        <v>11382</v>
      </c>
      <c r="H84" s="619">
        <f>H18</f>
        <v>12197</v>
      </c>
      <c r="I84" s="619">
        <f>I18</f>
        <v>15198</v>
      </c>
      <c r="J84" s="348"/>
      <c r="K84" s="619">
        <v>2219</v>
      </c>
      <c r="L84" s="619">
        <v>2469</v>
      </c>
      <c r="M84" s="619">
        <v>2414</v>
      </c>
      <c r="N84" s="955">
        <v>3174</v>
      </c>
      <c r="O84" s="619">
        <v>2678</v>
      </c>
      <c r="P84" s="619">
        <v>3640</v>
      </c>
      <c r="Q84" s="619">
        <v>3570</v>
      </c>
      <c r="R84" s="955">
        <v>4350</v>
      </c>
      <c r="S84" s="619">
        <v>3313</v>
      </c>
      <c r="T84" s="619">
        <v>3638</v>
      </c>
      <c r="U84" s="619">
        <v>3198</v>
      </c>
      <c r="V84" s="955">
        <v>3713</v>
      </c>
      <c r="W84" s="619">
        <v>2519</v>
      </c>
      <c r="X84" s="619">
        <v>2768</v>
      </c>
      <c r="Y84" s="619">
        <v>2688</v>
      </c>
      <c r="Z84" s="955">
        <v>3407</v>
      </c>
      <c r="AA84" s="619">
        <v>2562</v>
      </c>
      <c r="AB84" s="901">
        <v>3052</v>
      </c>
      <c r="AC84" s="901">
        <v>2792</v>
      </c>
      <c r="AD84" s="955">
        <v>3791</v>
      </c>
      <c r="AE84" s="619">
        <v>3410</v>
      </c>
      <c r="AF84" s="619">
        <v>3190</v>
      </c>
      <c r="AG84" s="619">
        <v>3832</v>
      </c>
      <c r="AH84" s="955">
        <v>4766</v>
      </c>
      <c r="AI84" s="348"/>
      <c r="AJ84" s="90"/>
      <c r="AK84" s="90"/>
      <c r="AL84" s="90"/>
    </row>
    <row r="85" spans="1:38" ht="12.75" x14ac:dyDescent="0.2">
      <c r="A85" s="348" t="s">
        <v>336</v>
      </c>
      <c r="B85" s="596">
        <v>19895</v>
      </c>
      <c r="C85" s="596">
        <v>19113</v>
      </c>
      <c r="D85" s="356">
        <v>20844.760383407502</v>
      </c>
      <c r="E85" s="356">
        <v>23821</v>
      </c>
      <c r="F85" s="356">
        <v>26829</v>
      </c>
      <c r="G85" s="356">
        <v>24569</v>
      </c>
      <c r="H85" s="356">
        <f>H19+H20</f>
        <v>27328</v>
      </c>
      <c r="I85" s="356">
        <f>I19+I20</f>
        <v>34512</v>
      </c>
      <c r="J85" s="348"/>
      <c r="K85" s="356">
        <v>5161.7719271698006</v>
      </c>
      <c r="L85" s="356">
        <v>5323</v>
      </c>
      <c r="M85" s="356">
        <v>5133</v>
      </c>
      <c r="N85" s="357">
        <v>5227.1511000085002</v>
      </c>
      <c r="O85" s="356">
        <v>5510</v>
      </c>
      <c r="P85" s="356">
        <v>6137</v>
      </c>
      <c r="Q85" s="356">
        <v>5990</v>
      </c>
      <c r="R85" s="357">
        <v>6184.3818536147</v>
      </c>
      <c r="S85" s="356">
        <v>6407</v>
      </c>
      <c r="T85" s="356">
        <v>6990</v>
      </c>
      <c r="U85" s="356">
        <v>6901</v>
      </c>
      <c r="V85" s="357">
        <v>6531</v>
      </c>
      <c r="W85" s="356">
        <v>6565</v>
      </c>
      <c r="X85" s="356">
        <v>5689</v>
      </c>
      <c r="Y85" s="356">
        <v>5979</v>
      </c>
      <c r="Z85" s="357">
        <v>6336</v>
      </c>
      <c r="AA85" s="356">
        <v>6174</v>
      </c>
      <c r="AB85" s="356">
        <v>6652</v>
      </c>
      <c r="AC85" s="356">
        <v>7149</v>
      </c>
      <c r="AD85" s="357">
        <v>7353</v>
      </c>
      <c r="AE85" s="356">
        <v>7663</v>
      </c>
      <c r="AF85" s="356">
        <v>8664</v>
      </c>
      <c r="AG85" s="356">
        <v>8949</v>
      </c>
      <c r="AH85" s="357">
        <v>9236</v>
      </c>
      <c r="AI85" s="348"/>
      <c r="AJ85" s="90"/>
      <c r="AK85" s="90"/>
      <c r="AL85" s="90"/>
    </row>
    <row r="86" spans="1:38" ht="12.75" x14ac:dyDescent="0.2">
      <c r="A86" s="348"/>
      <c r="B86" s="348"/>
      <c r="C86" s="348"/>
      <c r="D86" s="348"/>
      <c r="E86" s="348"/>
      <c r="F86" s="348"/>
      <c r="G86" s="348"/>
      <c r="H86" s="1001"/>
      <c r="I86" s="1001"/>
      <c r="J86" s="348"/>
      <c r="K86" s="348"/>
      <c r="L86" s="348"/>
      <c r="M86" s="348"/>
      <c r="N86" s="353"/>
      <c r="O86" s="348"/>
      <c r="P86" s="348"/>
      <c r="Q86" s="348"/>
      <c r="R86" s="353"/>
      <c r="S86" s="348"/>
      <c r="T86" s="348"/>
      <c r="U86" s="348"/>
      <c r="V86" s="353"/>
      <c r="W86" s="348"/>
      <c r="X86" s="348"/>
      <c r="Y86" s="348"/>
      <c r="Z86" s="353"/>
      <c r="AA86" s="348"/>
      <c r="AB86" s="348"/>
      <c r="AC86" s="348"/>
      <c r="AD86" s="353"/>
      <c r="AE86" s="348"/>
      <c r="AF86" s="348"/>
      <c r="AG86" s="348"/>
      <c r="AH86" s="353"/>
      <c r="AI86" s="348"/>
      <c r="AJ86" s="90"/>
      <c r="AK86" s="90"/>
      <c r="AL86" s="90"/>
    </row>
    <row r="87" spans="1:38" ht="12.75" x14ac:dyDescent="0.2">
      <c r="A87" s="965" t="s">
        <v>45</v>
      </c>
      <c r="B87" s="950">
        <v>2015</v>
      </c>
      <c r="C87" s="950">
        <v>2016</v>
      </c>
      <c r="D87" s="950">
        <v>2017</v>
      </c>
      <c r="E87" s="950">
        <v>2018</v>
      </c>
      <c r="F87" s="950">
        <v>2019</v>
      </c>
      <c r="G87" s="950">
        <v>2020</v>
      </c>
      <c r="H87" s="950">
        <v>2021</v>
      </c>
      <c r="I87" s="950">
        <f>SUM(AB87:AE87)</f>
        <v>2022</v>
      </c>
      <c r="J87" s="348"/>
      <c r="K87" s="950">
        <v>2017</v>
      </c>
      <c r="L87" s="950"/>
      <c r="M87" s="950"/>
      <c r="N87" s="951"/>
      <c r="O87" s="950">
        <v>2018</v>
      </c>
      <c r="P87" s="950"/>
      <c r="Q87" s="950"/>
      <c r="R87" s="951"/>
      <c r="S87" s="950">
        <v>2019</v>
      </c>
      <c r="T87" s="950"/>
      <c r="U87" s="950"/>
      <c r="V87" s="951"/>
      <c r="W87" s="950">
        <v>2020</v>
      </c>
      <c r="X87" s="950"/>
      <c r="Y87" s="950"/>
      <c r="Z87" s="951"/>
      <c r="AA87" s="950">
        <v>2021</v>
      </c>
      <c r="AB87" s="950"/>
      <c r="AC87" s="950"/>
      <c r="AD87" s="951"/>
      <c r="AE87" s="950">
        <v>2022</v>
      </c>
      <c r="AF87" s="950" t="s">
        <v>306</v>
      </c>
      <c r="AG87" s="950" t="s">
        <v>306</v>
      </c>
      <c r="AH87" s="951" t="s">
        <v>306</v>
      </c>
      <c r="AI87" s="348"/>
      <c r="AJ87" s="90"/>
      <c r="AK87" s="90"/>
      <c r="AL87" s="90"/>
    </row>
    <row r="88" spans="1:38" ht="12.75" x14ac:dyDescent="0.2">
      <c r="A88" s="966" t="s">
        <v>1294</v>
      </c>
      <c r="B88" s="967" t="s">
        <v>501</v>
      </c>
      <c r="C88" s="967" t="s">
        <v>501</v>
      </c>
      <c r="D88" s="967" t="s">
        <v>501</v>
      </c>
      <c r="E88" s="967" t="s">
        <v>501</v>
      </c>
      <c r="F88" s="967" t="s">
        <v>501</v>
      </c>
      <c r="G88" s="967" t="s">
        <v>501</v>
      </c>
      <c r="H88" s="967" t="s">
        <v>502</v>
      </c>
      <c r="I88" s="967" t="s">
        <v>501</v>
      </c>
      <c r="J88" s="348"/>
      <c r="K88" s="967" t="s">
        <v>503</v>
      </c>
      <c r="L88" s="967" t="s">
        <v>504</v>
      </c>
      <c r="M88" s="967" t="s">
        <v>505</v>
      </c>
      <c r="N88" s="968" t="s">
        <v>506</v>
      </c>
      <c r="O88" s="967" t="s">
        <v>503</v>
      </c>
      <c r="P88" s="967" t="s">
        <v>504</v>
      </c>
      <c r="Q88" s="967" t="s">
        <v>505</v>
      </c>
      <c r="R88" s="968" t="s">
        <v>506</v>
      </c>
      <c r="S88" s="967" t="s">
        <v>503</v>
      </c>
      <c r="T88" s="967" t="s">
        <v>504</v>
      </c>
      <c r="U88" s="967" t="s">
        <v>505</v>
      </c>
      <c r="V88" s="968" t="s">
        <v>506</v>
      </c>
      <c r="W88" s="967" t="s">
        <v>503</v>
      </c>
      <c r="X88" s="967" t="s">
        <v>504</v>
      </c>
      <c r="Y88" s="967" t="s">
        <v>505</v>
      </c>
      <c r="Z88" s="968" t="s">
        <v>506</v>
      </c>
      <c r="AA88" s="967" t="s">
        <v>503</v>
      </c>
      <c r="AB88" s="967" t="s">
        <v>504</v>
      </c>
      <c r="AC88" s="967" t="str">
        <f>+AC$6</f>
        <v>Q3</v>
      </c>
      <c r="AD88" s="968" t="str">
        <f>+AD$6</f>
        <v>Q4</v>
      </c>
      <c r="AE88" s="967" t="s">
        <v>503</v>
      </c>
      <c r="AF88" s="967" t="s">
        <v>504</v>
      </c>
      <c r="AG88" s="967" t="s">
        <v>505</v>
      </c>
      <c r="AH88" s="968" t="s">
        <v>506</v>
      </c>
      <c r="AI88" s="348"/>
      <c r="AJ88" s="90"/>
      <c r="AK88" s="90"/>
      <c r="AL88" s="90"/>
    </row>
    <row r="89" spans="1:38" ht="12.75" x14ac:dyDescent="0.2">
      <c r="A89" s="348" t="s">
        <v>342</v>
      </c>
      <c r="B89" s="619">
        <v>94.566126888812335</v>
      </c>
      <c r="C89" s="619">
        <v>102.72515610117472</v>
      </c>
      <c r="D89" s="619">
        <v>109.78986775176296</v>
      </c>
      <c r="E89" s="619">
        <v>104.04695164681151</v>
      </c>
      <c r="F89" s="619">
        <v>95.376534742899196</v>
      </c>
      <c r="G89" s="619">
        <f>G7/G17*100</f>
        <v>101.20696698481078</v>
      </c>
      <c r="H89" s="619">
        <f>H7/H17*100</f>
        <v>117.71145975443382</v>
      </c>
      <c r="I89" s="619">
        <f>I7/I17*100</f>
        <v>110.3688165476222</v>
      </c>
      <c r="J89" s="348"/>
      <c r="K89" s="619">
        <v>118.77832019793486</v>
      </c>
      <c r="L89" s="619">
        <v>115.06893147488444</v>
      </c>
      <c r="M89" s="619">
        <v>115.85275619681835</v>
      </c>
      <c r="N89" s="955">
        <v>92.43053337591823</v>
      </c>
      <c r="O89" s="619">
        <v>125.22295137136126</v>
      </c>
      <c r="P89" s="619">
        <v>108.49146757679181</v>
      </c>
      <c r="Q89" s="619">
        <v>100.16717748676511</v>
      </c>
      <c r="R89" s="955">
        <v>87.916975537435135</v>
      </c>
      <c r="S89" s="619">
        <v>101.86929023190443</v>
      </c>
      <c r="T89" s="619">
        <v>99.675408984679308</v>
      </c>
      <c r="U89" s="619">
        <v>93.727842923370602</v>
      </c>
      <c r="V89" s="955">
        <v>86.692506459948319</v>
      </c>
      <c r="W89" s="619">
        <v>107.9343365253078</v>
      </c>
      <c r="X89" s="619">
        <v>95.437558393023977</v>
      </c>
      <c r="Y89" s="619">
        <v>109</v>
      </c>
      <c r="Z89" s="955">
        <v>93</v>
      </c>
      <c r="AA89" s="619">
        <v>125</v>
      </c>
      <c r="AB89" s="619">
        <v>117</v>
      </c>
      <c r="AC89" s="619">
        <v>129</v>
      </c>
      <c r="AD89" s="955">
        <v>104</v>
      </c>
      <c r="AE89" s="619">
        <v>129</v>
      </c>
      <c r="AF89" s="619">
        <v>121.45977011494253</v>
      </c>
      <c r="AG89" s="619">
        <v>98</v>
      </c>
      <c r="AH89" s="955">
        <v>99.165002722817206</v>
      </c>
      <c r="AI89" s="348"/>
      <c r="AJ89" s="90"/>
      <c r="AK89" s="90"/>
      <c r="AL89" s="90"/>
    </row>
    <row r="90" spans="1:38" ht="12.75" x14ac:dyDescent="0.2">
      <c r="A90" s="348" t="s">
        <v>340</v>
      </c>
      <c r="B90" s="619">
        <v>100.25964391691396</v>
      </c>
      <c r="C90" s="619">
        <v>100.27760252365931</v>
      </c>
      <c r="D90" s="619">
        <v>103.53659387401122</v>
      </c>
      <c r="E90" s="619">
        <v>100.96648807647861</v>
      </c>
      <c r="F90" s="619">
        <v>99.712936382998436</v>
      </c>
      <c r="G90" s="619">
        <f>G10/G20*100</f>
        <v>101.78413120567376</v>
      </c>
      <c r="H90" s="619">
        <f>H10/H20*100</f>
        <v>108.03527682508573</v>
      </c>
      <c r="I90" s="619">
        <f>I10/I20*100</f>
        <v>97.891941239936926</v>
      </c>
      <c r="J90" s="348"/>
      <c r="K90" s="619">
        <v>108.3412565233827</v>
      </c>
      <c r="L90" s="619">
        <v>98.807825565245977</v>
      </c>
      <c r="M90" s="619">
        <v>104.5846457733349</v>
      </c>
      <c r="N90" s="955">
        <v>102.71154745208042</v>
      </c>
      <c r="O90" s="619">
        <v>113.58574610244989</v>
      </c>
      <c r="P90" s="619">
        <v>100.73409461663947</v>
      </c>
      <c r="Q90" s="619">
        <v>95.927791771620491</v>
      </c>
      <c r="R90" s="955">
        <v>94.508196721311478</v>
      </c>
      <c r="S90" s="619">
        <v>105.95009596928983</v>
      </c>
      <c r="T90" s="619">
        <v>96.582365003417635</v>
      </c>
      <c r="U90" s="619">
        <v>96.383363471971066</v>
      </c>
      <c r="V90" s="955">
        <v>100.55932880543348</v>
      </c>
      <c r="W90" s="619">
        <v>104.55089820359282</v>
      </c>
      <c r="X90" s="619">
        <v>97.297297297297305</v>
      </c>
      <c r="Y90" s="619">
        <v>102</v>
      </c>
      <c r="Z90" s="955">
        <v>102</v>
      </c>
      <c r="AA90" s="619">
        <v>114</v>
      </c>
      <c r="AB90" s="619">
        <v>106</v>
      </c>
      <c r="AC90" s="619">
        <v>106</v>
      </c>
      <c r="AD90" s="955">
        <v>106</v>
      </c>
      <c r="AE90" s="619">
        <v>113</v>
      </c>
      <c r="AF90" s="619">
        <v>89.568801521876978</v>
      </c>
      <c r="AG90" s="619">
        <v>91</v>
      </c>
      <c r="AH90" s="955">
        <v>98.525469168900798</v>
      </c>
      <c r="AI90" s="348"/>
      <c r="AJ90" s="90"/>
      <c r="AK90" s="90"/>
      <c r="AL90" s="90"/>
    </row>
    <row r="91" spans="1:38" ht="12.75" x14ac:dyDescent="0.2">
      <c r="A91" s="910" t="s">
        <v>303</v>
      </c>
      <c r="B91" s="912">
        <v>96.120434009001158</v>
      </c>
      <c r="C91" s="912">
        <v>101.9629547634861</v>
      </c>
      <c r="D91" s="912">
        <v>107.86485465678139</v>
      </c>
      <c r="E91" s="912">
        <v>102.91236776805536</v>
      </c>
      <c r="F91" s="912">
        <v>96.678009253592506</v>
      </c>
      <c r="G91" s="912">
        <f>G12/G22*100</f>
        <v>101.26515696805272</v>
      </c>
      <c r="H91" s="912">
        <f>H12/H22*100</f>
        <v>115.14188422247446</v>
      </c>
      <c r="I91" s="912">
        <f>I12/I22*100</f>
        <v>107.09944862558859</v>
      </c>
      <c r="J91" s="348"/>
      <c r="K91" s="912">
        <v>114.96040280340173</v>
      </c>
      <c r="L91" s="912">
        <v>109.93166026423151</v>
      </c>
      <c r="M91" s="912">
        <v>112.89299955331273</v>
      </c>
      <c r="N91" s="914">
        <v>95.203213610586019</v>
      </c>
      <c r="O91" s="912">
        <v>121.89967205150005</v>
      </c>
      <c r="P91" s="912">
        <v>106.50208269836432</v>
      </c>
      <c r="Q91" s="912">
        <v>97.533934307325666</v>
      </c>
      <c r="R91" s="914">
        <v>89.676075014207228</v>
      </c>
      <c r="S91" s="912">
        <v>102.84108329075114</v>
      </c>
      <c r="T91" s="912">
        <v>99.313005834744956</v>
      </c>
      <c r="U91" s="912">
        <v>94.506792675723574</v>
      </c>
      <c r="V91" s="914">
        <v>90.233463035019454</v>
      </c>
      <c r="W91" s="912">
        <v>106.98489161375082</v>
      </c>
      <c r="X91" s="912">
        <v>95.826436509813192</v>
      </c>
      <c r="Y91" s="912">
        <v>107</v>
      </c>
      <c r="Z91" s="914">
        <v>95</v>
      </c>
      <c r="AA91" s="912">
        <v>122</v>
      </c>
      <c r="AB91" s="912">
        <v>114</v>
      </c>
      <c r="AC91" s="912">
        <v>123</v>
      </c>
      <c r="AD91" s="914">
        <v>104</v>
      </c>
      <c r="AE91" s="912">
        <v>125</v>
      </c>
      <c r="AF91" s="912">
        <v>112.71486349848333</v>
      </c>
      <c r="AG91" s="912">
        <v>96</v>
      </c>
      <c r="AH91" s="914">
        <v>98</v>
      </c>
      <c r="AI91" s="348"/>
      <c r="AJ91" s="90"/>
      <c r="AK91" s="90"/>
      <c r="AL91" s="90"/>
    </row>
    <row r="92" spans="1:38" ht="12.75" x14ac:dyDescent="0.2">
      <c r="A92" s="348"/>
      <c r="B92" s="634"/>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c r="AB92" s="634"/>
      <c r="AC92" s="634"/>
      <c r="AD92" s="634"/>
      <c r="AE92" s="634"/>
      <c r="AF92" s="634"/>
      <c r="AG92" s="634"/>
      <c r="AH92" s="634"/>
      <c r="AI92" s="348"/>
      <c r="AJ92" s="90"/>
      <c r="AK92" s="90"/>
      <c r="AL92" s="90"/>
    </row>
    <row r="93" spans="1:38" ht="12.75" x14ac:dyDescent="0.2">
      <c r="A93" s="1002" t="s">
        <v>554</v>
      </c>
      <c r="B93" s="348"/>
      <c r="C93" s="348"/>
      <c r="D93" s="348"/>
      <c r="E93" s="348"/>
      <c r="F93" s="348"/>
      <c r="G93" s="348"/>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8"/>
      <c r="AF93" s="348"/>
      <c r="AG93" s="348"/>
      <c r="AH93" s="348"/>
      <c r="AI93" s="348"/>
      <c r="AJ93" s="90"/>
      <c r="AK93" s="90"/>
      <c r="AL93" s="90"/>
    </row>
    <row r="94" spans="1:38" ht="12.75" x14ac:dyDescent="0.2">
      <c r="A94" s="90" t="s">
        <v>1297</v>
      </c>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defaultColWidth="10" defaultRowHeight="13.35" customHeight="1" x14ac:dyDescent="0.2"/>
  <cols>
    <col min="1" max="1" width="52.85546875" customWidth="1"/>
    <col min="2" max="16" width="8.42578125" customWidth="1"/>
    <col min="17" max="17" width="8.42578125" customWidth="1" collapsed="1"/>
    <col min="18" max="19" width="8.42578125" customWidth="1"/>
    <col min="20" max="22" width="9.42578125" customWidth="1"/>
    <col min="23" max="25" width="8.85546875" customWidth="1"/>
    <col min="27" max="27" width="20.85546875" bestFit="1" customWidth="1"/>
    <col min="28" max="28" width="12.140625" bestFit="1" customWidth="1"/>
    <col min="29" max="29" width="9.85546875" customWidth="1"/>
    <col min="30" max="30" width="12.85546875" bestFit="1" customWidth="1"/>
  </cols>
  <sheetData>
    <row r="1" spans="1:30" ht="12.75" x14ac:dyDescent="0.2">
      <c r="A1" s="945" t="s">
        <v>29</v>
      </c>
      <c r="B1" s="18"/>
      <c r="C1" s="18"/>
      <c r="D1" s="18"/>
      <c r="E1" s="18"/>
      <c r="F1" s="18"/>
      <c r="G1" s="18"/>
      <c r="H1" s="18"/>
      <c r="I1" s="18"/>
      <c r="J1" s="18"/>
      <c r="K1" s="18"/>
      <c r="L1" s="18"/>
      <c r="M1" s="17"/>
      <c r="N1" s="18"/>
      <c r="O1" s="18"/>
      <c r="P1" s="18"/>
      <c r="Q1" s="18"/>
      <c r="R1" s="18"/>
      <c r="S1" s="18"/>
      <c r="T1" s="18"/>
      <c r="U1" s="18"/>
      <c r="V1" s="18"/>
      <c r="W1" s="18"/>
      <c r="X1" s="18"/>
      <c r="Y1" s="18"/>
      <c r="Z1" s="18"/>
      <c r="AA1" s="18"/>
      <c r="AB1" s="18"/>
      <c r="AC1" s="18"/>
      <c r="AD1" s="348"/>
    </row>
    <row r="2" spans="1:30" ht="12.75" x14ac:dyDescent="0.2">
      <c r="A2" s="945" t="s">
        <v>1298</v>
      </c>
      <c r="B2" s="18"/>
      <c r="C2" s="18"/>
      <c r="D2" s="18"/>
      <c r="E2" s="18"/>
      <c r="F2" s="18"/>
      <c r="G2" s="18"/>
      <c r="H2" s="18"/>
      <c r="I2" s="18"/>
      <c r="J2" s="18"/>
      <c r="K2" s="18"/>
      <c r="L2" s="18"/>
      <c r="M2" s="17"/>
      <c r="N2" s="18"/>
      <c r="O2" s="18"/>
      <c r="P2" s="18"/>
      <c r="Q2" s="18"/>
      <c r="R2" s="18"/>
      <c r="S2" s="18"/>
      <c r="T2" s="18"/>
      <c r="U2" s="18"/>
      <c r="V2" s="18"/>
      <c r="W2" s="18"/>
      <c r="X2" s="18"/>
      <c r="Y2" s="18"/>
      <c r="Z2" s="18"/>
      <c r="AA2" s="17">
        <f>AA16</f>
        <v>2015</v>
      </c>
      <c r="AB2" s="17">
        <f>AB16</f>
        <v>2016</v>
      </c>
      <c r="AC2" s="17">
        <f>AC16</f>
        <v>2017</v>
      </c>
      <c r="AD2" s="928"/>
    </row>
    <row r="3" spans="1:30" ht="12.75" x14ac:dyDescent="0.2">
      <c r="A3" s="1003" t="s">
        <v>480</v>
      </c>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5">
        <v>27551</v>
      </c>
      <c r="AB3" s="1005">
        <v>27634</v>
      </c>
      <c r="AC3" s="1005">
        <v>33831</v>
      </c>
      <c r="AD3" s="928"/>
    </row>
    <row r="4" spans="1:30" ht="12.75" x14ac:dyDescent="0.2">
      <c r="A4" s="1003" t="s">
        <v>200</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5">
        <v>28663</v>
      </c>
      <c r="AB4" s="1005">
        <v>27102</v>
      </c>
      <c r="AC4" s="1005">
        <v>31364.2475184785</v>
      </c>
      <c r="AD4" s="928"/>
    </row>
    <row r="5" spans="1:30" ht="12.75" x14ac:dyDescent="0.2">
      <c r="A5" s="1003" t="s">
        <v>192</v>
      </c>
      <c r="B5" s="1004"/>
      <c r="C5" s="1004"/>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5">
        <v>5175</v>
      </c>
      <c r="AB5" s="1005">
        <v>4548</v>
      </c>
      <c r="AC5" s="1005">
        <v>5930.0051558893001</v>
      </c>
      <c r="AD5" s="928"/>
    </row>
    <row r="6" spans="1:30" ht="12.75" x14ac:dyDescent="0.2">
      <c r="A6" s="1003" t="s">
        <v>279</v>
      </c>
      <c r="B6" s="1004"/>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6">
        <f>AA5/AA4</f>
        <v>0.18054634895161009</v>
      </c>
      <c r="AB6" s="1006">
        <f>AB5/AB4</f>
        <v>0.16781049369050255</v>
      </c>
      <c r="AC6" s="1006">
        <f>AC5/AC4</f>
        <v>0.18906894394311835</v>
      </c>
      <c r="AD6" s="928"/>
    </row>
    <row r="7" spans="1:30" ht="12.75" x14ac:dyDescent="0.2">
      <c r="A7" s="1003" t="s">
        <v>1299</v>
      </c>
      <c r="B7" s="1004"/>
      <c r="C7" s="1004"/>
      <c r="D7" s="1004"/>
      <c r="E7" s="1004"/>
      <c r="F7" s="1004"/>
      <c r="G7" s="1004"/>
      <c r="H7" s="1004"/>
      <c r="I7" s="1004"/>
      <c r="J7" s="1004"/>
      <c r="K7" s="1004"/>
      <c r="L7" s="1004"/>
      <c r="M7" s="1004"/>
      <c r="N7" s="1004"/>
      <c r="O7" s="1004"/>
      <c r="P7" s="1004"/>
      <c r="Q7" s="1004"/>
      <c r="R7" s="1004"/>
      <c r="S7" s="1004"/>
      <c r="T7" s="1004"/>
      <c r="U7" s="1004"/>
      <c r="V7" s="1004"/>
      <c r="W7" s="1004"/>
      <c r="X7" s="1004"/>
      <c r="Y7" s="1004"/>
      <c r="Z7" s="1004"/>
      <c r="AA7" s="1004"/>
      <c r="AB7" s="1004"/>
      <c r="AC7" s="1007">
        <v>-163</v>
      </c>
      <c r="AD7" s="928"/>
    </row>
    <row r="8" spans="1:30" ht="12.75" x14ac:dyDescent="0.2">
      <c r="A8" s="1003" t="s">
        <v>1300</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6">
        <f>(AA5+AA7)/AA4</f>
        <v>0.18054634895161009</v>
      </c>
      <c r="AB8" s="1006">
        <f>(AB5+AB7)/AB4</f>
        <v>0.16781049369050255</v>
      </c>
      <c r="AC8" s="1006">
        <f>(AC5+AC7)/AC4</f>
        <v>0.18387194376308957</v>
      </c>
      <c r="AD8" s="928"/>
    </row>
    <row r="9" spans="1:30" ht="12.75" x14ac:dyDescent="0.2">
      <c r="A9" s="945" t="s">
        <v>1301</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684" t="s">
        <v>1302</v>
      </c>
    </row>
    <row r="10" spans="1:30" ht="12.75" x14ac:dyDescent="0.2">
      <c r="A10" s="1003" t="s">
        <v>480</v>
      </c>
      <c r="B10" s="1004"/>
      <c r="C10" s="1004"/>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5">
        <f>AA3-AA18</f>
        <v>1964</v>
      </c>
      <c r="AB10" s="1005">
        <f>AB3-AB18</f>
        <v>2069</v>
      </c>
      <c r="AC10" s="1005">
        <f>AC3-AC18</f>
        <v>2358</v>
      </c>
      <c r="AD10" s="1008">
        <f>AC10/Segments!D7</f>
        <v>0.26063809146691747</v>
      </c>
    </row>
    <row r="11" spans="1:30" ht="12.75" x14ac:dyDescent="0.2">
      <c r="A11" s="1003" t="s">
        <v>200</v>
      </c>
      <c r="B11" s="1004"/>
      <c r="C11" s="1004"/>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1004"/>
      <c r="Z11" s="1004"/>
      <c r="AA11" s="1005">
        <f>AA4-AA20</f>
        <v>1998</v>
      </c>
      <c r="AB11" s="1005">
        <f>AB4-AB20</f>
        <v>2059</v>
      </c>
      <c r="AC11" s="1005">
        <f>AC4-AC20</f>
        <v>2198.2475184784998</v>
      </c>
      <c r="AD11" s="1008">
        <f>AC11/Segments!D21</f>
        <v>0.25157330264116501</v>
      </c>
    </row>
    <row r="12" spans="1:30" ht="12.75" x14ac:dyDescent="0.2">
      <c r="A12" s="1003" t="s">
        <v>192</v>
      </c>
      <c r="B12" s="1004"/>
      <c r="C12" s="1004"/>
      <c r="D12" s="1004"/>
      <c r="E12" s="1004"/>
      <c r="F12" s="1004"/>
      <c r="G12" s="1004"/>
      <c r="H12" s="1004"/>
      <c r="I12" s="1004"/>
      <c r="J12" s="1004"/>
      <c r="K12" s="1004"/>
      <c r="L12" s="1004"/>
      <c r="M12" s="1004"/>
      <c r="N12" s="1004"/>
      <c r="O12" s="1004"/>
      <c r="P12" s="1004"/>
      <c r="Q12" s="1004"/>
      <c r="R12" s="1004"/>
      <c r="S12" s="1004"/>
      <c r="T12" s="1004"/>
      <c r="U12" s="1004"/>
      <c r="V12" s="1004"/>
      <c r="W12" s="1004"/>
      <c r="X12" s="1004"/>
      <c r="Y12" s="1004"/>
      <c r="Z12" s="1004"/>
      <c r="AA12" s="1005">
        <f>AA5-AA22</f>
        <v>182</v>
      </c>
      <c r="AB12" s="1005">
        <f>AB5-AB22</f>
        <v>83</v>
      </c>
      <c r="AC12" s="1005">
        <f>AC5-AC22</f>
        <v>86.005155889300113</v>
      </c>
      <c r="AD12" s="928"/>
    </row>
    <row r="13" spans="1:30" ht="12.75" x14ac:dyDescent="0.2">
      <c r="A13" s="1003" t="s">
        <v>279</v>
      </c>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6">
        <f>AA12/AA11</f>
        <v>9.1091091091091092E-2</v>
      </c>
      <c r="AB13" s="1006">
        <f>AB12/AB11</f>
        <v>4.0310830500242839E-2</v>
      </c>
      <c r="AC13" s="1006">
        <f>AC12/AC11</f>
        <v>3.9124418504440268E-2</v>
      </c>
      <c r="AD13" s="928"/>
    </row>
    <row r="14" spans="1:30" ht="12.75" x14ac:dyDescent="0.2">
      <c r="A14" s="1003" t="s">
        <v>1299</v>
      </c>
      <c r="B14" s="1004"/>
      <c r="C14" s="1004"/>
      <c r="D14" s="1004"/>
      <c r="E14" s="1004"/>
      <c r="F14" s="1004"/>
      <c r="G14" s="1004"/>
      <c r="H14" s="1004"/>
      <c r="I14" s="1004"/>
      <c r="J14" s="1004"/>
      <c r="K14" s="1004"/>
      <c r="L14" s="1004"/>
      <c r="M14" s="1004"/>
      <c r="N14" s="1004"/>
      <c r="O14" s="1004"/>
      <c r="P14" s="1004"/>
      <c r="Q14" s="1004"/>
      <c r="R14" s="1004"/>
      <c r="S14" s="1004"/>
      <c r="T14" s="1004"/>
      <c r="U14" s="1004"/>
      <c r="V14" s="1004"/>
      <c r="W14" s="1004"/>
      <c r="X14" s="1004"/>
      <c r="Y14" s="1004"/>
      <c r="Z14" s="1004"/>
      <c r="AA14" s="1007">
        <v>0</v>
      </c>
      <c r="AB14" s="1007">
        <v>0</v>
      </c>
      <c r="AC14" s="1007">
        <v>0</v>
      </c>
      <c r="AD14" s="928"/>
    </row>
    <row r="15" spans="1:30" ht="12.75" x14ac:dyDescent="0.2">
      <c r="A15" s="1003" t="s">
        <v>1300</v>
      </c>
      <c r="B15" s="1004"/>
      <c r="C15" s="1004"/>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6">
        <f>AA13</f>
        <v>9.1091091091091092E-2</v>
      </c>
      <c r="AB15" s="1006">
        <f>AB13</f>
        <v>4.0310830500242839E-2</v>
      </c>
      <c r="AC15" s="1006">
        <f>AC13</f>
        <v>3.9124418504440268E-2</v>
      </c>
      <c r="AD15" s="928"/>
    </row>
    <row r="16" spans="1:30" ht="12.75" x14ac:dyDescent="0.2">
      <c r="A16" s="1009" t="s">
        <v>1303</v>
      </c>
      <c r="B16" s="1010">
        <v>1990</v>
      </c>
      <c r="C16" s="1010">
        <v>1991</v>
      </c>
      <c r="D16" s="1010">
        <v>1992</v>
      </c>
      <c r="E16" s="1010">
        <v>1993</v>
      </c>
      <c r="F16" s="1010">
        <v>1994</v>
      </c>
      <c r="G16" s="1010">
        <v>1995</v>
      </c>
      <c r="H16" s="1010">
        <v>1996</v>
      </c>
      <c r="I16" s="1010">
        <v>1997</v>
      </c>
      <c r="J16" s="1010">
        <v>1998</v>
      </c>
      <c r="K16" s="1010">
        <v>1999</v>
      </c>
      <c r="L16" s="1010">
        <v>2000</v>
      </c>
      <c r="M16" s="1010">
        <v>2001</v>
      </c>
      <c r="N16" s="1010">
        <v>2002</v>
      </c>
      <c r="O16" s="1010">
        <v>2003</v>
      </c>
      <c r="P16" s="1010">
        <v>2004</v>
      </c>
      <c r="Q16" s="1010">
        <v>2005</v>
      </c>
      <c r="R16" s="1010">
        <v>2006</v>
      </c>
      <c r="S16" s="1010">
        <v>2007</v>
      </c>
      <c r="T16" s="1010">
        <v>2008</v>
      </c>
      <c r="U16" s="1010">
        <v>2009</v>
      </c>
      <c r="V16" s="1010">
        <v>2010</v>
      </c>
      <c r="W16" s="1010">
        <v>2011</v>
      </c>
      <c r="X16" s="1010">
        <v>2012</v>
      </c>
      <c r="Y16" s="1010">
        <v>2013</v>
      </c>
      <c r="Z16" s="1010">
        <v>2014</v>
      </c>
      <c r="AA16" s="1010">
        <v>2015</v>
      </c>
      <c r="AB16" s="1010">
        <v>2016</v>
      </c>
      <c r="AC16" s="1010">
        <v>2017</v>
      </c>
      <c r="AD16" s="927"/>
    </row>
    <row r="17" spans="1:30" ht="12.75" x14ac:dyDescent="0.2">
      <c r="A17" s="1011" t="s">
        <v>480</v>
      </c>
      <c r="B17" s="665"/>
      <c r="C17" s="665"/>
      <c r="D17" s="665"/>
      <c r="E17" s="665"/>
      <c r="F17" s="665"/>
      <c r="G17" s="665"/>
      <c r="H17" s="665"/>
      <c r="I17" s="665"/>
      <c r="J17" s="665"/>
      <c r="K17" s="665"/>
      <c r="L17" s="665"/>
      <c r="M17" s="665"/>
      <c r="N17" s="665"/>
      <c r="O17" s="665"/>
      <c r="P17" s="665"/>
      <c r="Q17" s="665"/>
      <c r="R17" s="665"/>
      <c r="S17" s="665"/>
      <c r="T17" s="1012"/>
      <c r="U17" s="1012"/>
      <c r="V17" s="1012"/>
      <c r="W17" s="1012"/>
      <c r="X17" s="1012"/>
      <c r="Y17" s="1012"/>
      <c r="Z17" s="1012"/>
      <c r="AA17" s="1013"/>
      <c r="AB17" s="1014"/>
      <c r="AC17" s="1014"/>
      <c r="AD17" s="665"/>
    </row>
    <row r="18" spans="1:30" ht="12.75" x14ac:dyDescent="0.2">
      <c r="A18" s="665" t="s">
        <v>1304</v>
      </c>
      <c r="B18" s="665"/>
      <c r="C18" s="665"/>
      <c r="D18" s="665"/>
      <c r="E18" s="665"/>
      <c r="F18" s="665"/>
      <c r="G18" s="665"/>
      <c r="H18" s="665"/>
      <c r="I18" s="665"/>
      <c r="J18" s="665"/>
      <c r="K18" s="665"/>
      <c r="L18" s="665"/>
      <c r="M18" s="665"/>
      <c r="N18" s="665"/>
      <c r="O18" s="665"/>
      <c r="P18" s="665"/>
      <c r="Q18" s="665"/>
      <c r="R18" s="665"/>
      <c r="S18" s="665"/>
      <c r="T18" s="685"/>
      <c r="U18" s="685"/>
      <c r="V18" s="685"/>
      <c r="W18" s="685"/>
      <c r="X18" s="685"/>
      <c r="Y18" s="685"/>
      <c r="Z18" s="685">
        <v>25752</v>
      </c>
      <c r="AA18" s="685">
        <v>25587</v>
      </c>
      <c r="AB18" s="685">
        <v>25565</v>
      </c>
      <c r="AC18" s="685">
        <v>31473</v>
      </c>
      <c r="AD18" s="665"/>
    </row>
    <row r="19" spans="1:30" ht="12.75" x14ac:dyDescent="0.2">
      <c r="A19" s="1011" t="s">
        <v>200</v>
      </c>
      <c r="B19" s="665"/>
      <c r="C19" s="665"/>
      <c r="D19" s="665"/>
      <c r="E19" s="665"/>
      <c r="F19" s="665"/>
      <c r="G19" s="578" t="s">
        <v>1305</v>
      </c>
      <c r="H19" s="665"/>
      <c r="I19" s="665"/>
      <c r="J19" s="665"/>
      <c r="K19" s="665"/>
      <c r="L19" s="578" t="s">
        <v>1305</v>
      </c>
      <c r="M19" s="665"/>
      <c r="N19" s="665"/>
      <c r="O19" s="665"/>
      <c r="P19" s="665"/>
      <c r="Q19" s="578" t="s">
        <v>1305</v>
      </c>
      <c r="R19" s="665"/>
      <c r="S19" s="665"/>
      <c r="T19" s="1015"/>
      <c r="U19" s="673"/>
      <c r="V19" s="578" t="s">
        <v>1305</v>
      </c>
      <c r="W19" s="1015"/>
      <c r="X19" s="1015"/>
      <c r="Y19" s="1015"/>
      <c r="Z19" s="1015"/>
      <c r="AA19" s="1015"/>
      <c r="AB19" s="1015"/>
      <c r="AC19" s="1015"/>
      <c r="AD19" s="673"/>
    </row>
    <row r="20" spans="1:30" ht="12.75" x14ac:dyDescent="0.2">
      <c r="A20" s="665" t="s">
        <v>1304</v>
      </c>
      <c r="B20" s="665"/>
      <c r="C20" s="665"/>
      <c r="D20" s="665"/>
      <c r="E20" s="665"/>
      <c r="F20" s="1016"/>
      <c r="G20" s="1017"/>
      <c r="H20" s="665"/>
      <c r="I20" s="665"/>
      <c r="J20" s="665"/>
      <c r="K20" s="665"/>
      <c r="L20" s="665"/>
      <c r="M20" s="665"/>
      <c r="N20" s="665"/>
      <c r="O20" s="665"/>
      <c r="P20" s="665"/>
      <c r="Q20" s="665"/>
      <c r="R20" s="665"/>
      <c r="S20" s="665"/>
      <c r="T20" s="685"/>
      <c r="U20" s="685"/>
      <c r="V20" s="685"/>
      <c r="W20" s="685"/>
      <c r="X20" s="685"/>
      <c r="Y20" s="685"/>
      <c r="Z20" s="615">
        <v>25718</v>
      </c>
      <c r="AA20" s="615">
        <v>26665</v>
      </c>
      <c r="AB20" s="615">
        <v>25043</v>
      </c>
      <c r="AC20" s="685">
        <v>29166</v>
      </c>
      <c r="AD20" s="673"/>
    </row>
    <row r="21" spans="1:30" ht="12.75" x14ac:dyDescent="0.2">
      <c r="A21" s="1011" t="s">
        <v>192</v>
      </c>
      <c r="B21" s="665"/>
      <c r="C21" s="665"/>
      <c r="D21" s="665"/>
      <c r="E21" s="665"/>
      <c r="F21" s="665"/>
      <c r="G21" s="665"/>
      <c r="H21" s="665"/>
      <c r="I21" s="665"/>
      <c r="J21" s="665"/>
      <c r="K21" s="665"/>
      <c r="L21" s="665"/>
      <c r="M21" s="665"/>
      <c r="N21" s="665"/>
      <c r="O21" s="665"/>
      <c r="P21" s="665"/>
      <c r="Q21" s="665"/>
      <c r="R21" s="665"/>
      <c r="S21" s="665"/>
      <c r="T21" s="1018"/>
      <c r="U21" s="1018"/>
      <c r="V21" s="1018"/>
      <c r="W21" s="1018"/>
      <c r="X21" s="1018"/>
      <c r="Y21" s="1019"/>
      <c r="Z21" s="1019"/>
      <c r="AA21" s="1019"/>
      <c r="AB21" s="1019"/>
      <c r="AC21" s="1019"/>
      <c r="AD21" s="673"/>
    </row>
    <row r="22" spans="1:30" ht="12.75" x14ac:dyDescent="0.2">
      <c r="A22" s="665" t="s">
        <v>1304</v>
      </c>
      <c r="B22" s="665"/>
      <c r="C22" s="665"/>
      <c r="D22" s="665"/>
      <c r="E22" s="665"/>
      <c r="F22" s="665"/>
      <c r="G22" s="665"/>
      <c r="H22" s="665"/>
      <c r="I22" s="665"/>
      <c r="J22" s="665"/>
      <c r="K22" s="665"/>
      <c r="L22" s="665"/>
      <c r="M22" s="665"/>
      <c r="N22" s="665"/>
      <c r="O22" s="665"/>
      <c r="P22" s="665"/>
      <c r="Q22" s="665"/>
      <c r="R22" s="665"/>
      <c r="S22" s="665"/>
      <c r="T22" s="685"/>
      <c r="U22" s="685"/>
      <c r="V22" s="685"/>
      <c r="W22" s="685"/>
      <c r="X22" s="685"/>
      <c r="Y22" s="685"/>
      <c r="Z22" s="599">
        <v>4307</v>
      </c>
      <c r="AA22" s="599">
        <v>4993</v>
      </c>
      <c r="AB22" s="599">
        <v>4465</v>
      </c>
      <c r="AC22" s="599">
        <v>5844</v>
      </c>
      <c r="AD22" s="673"/>
    </row>
    <row r="23" spans="1:30" ht="12.75" x14ac:dyDescent="0.2">
      <c r="A23" s="1011" t="s">
        <v>279</v>
      </c>
      <c r="B23" s="665"/>
      <c r="C23" s="665"/>
      <c r="D23" s="665"/>
      <c r="E23" s="665"/>
      <c r="F23" s="665"/>
      <c r="G23" s="665"/>
      <c r="H23" s="665"/>
      <c r="I23" s="665"/>
      <c r="J23" s="665"/>
      <c r="K23" s="665"/>
      <c r="L23" s="665"/>
      <c r="M23" s="665"/>
      <c r="N23" s="665"/>
      <c r="O23" s="665"/>
      <c r="P23" s="665"/>
      <c r="Q23" s="665"/>
      <c r="R23" s="665"/>
      <c r="S23" s="665"/>
      <c r="T23" s="685"/>
      <c r="U23" s="685"/>
      <c r="V23" s="685"/>
      <c r="W23" s="685"/>
      <c r="X23" s="685"/>
      <c r="Y23" s="685"/>
      <c r="Z23" s="685"/>
      <c r="AA23" s="685"/>
      <c r="AB23" s="685"/>
      <c r="AC23" s="685"/>
      <c r="AD23" s="673"/>
    </row>
    <row r="24" spans="1:30" ht="12.75" x14ac:dyDescent="0.2">
      <c r="A24" s="665" t="s">
        <v>1304</v>
      </c>
      <c r="B24" s="665"/>
      <c r="C24" s="665"/>
      <c r="D24" s="665"/>
      <c r="E24" s="665"/>
      <c r="F24" s="665"/>
      <c r="G24" s="665"/>
      <c r="H24" s="665"/>
      <c r="I24" s="665"/>
      <c r="J24" s="665"/>
      <c r="K24" s="665"/>
      <c r="L24" s="665"/>
      <c r="M24" s="665"/>
      <c r="N24" s="665"/>
      <c r="O24" s="665"/>
      <c r="P24" s="665"/>
      <c r="Q24" s="665"/>
      <c r="R24" s="665"/>
      <c r="S24" s="665"/>
      <c r="T24" s="1020"/>
      <c r="U24" s="1020"/>
      <c r="V24" s="1020"/>
      <c r="W24" s="1020"/>
      <c r="X24" s="1020"/>
      <c r="Y24" s="1020"/>
      <c r="Z24" s="616">
        <v>0.16747025429660159</v>
      </c>
      <c r="AA24" s="616">
        <v>0.18724920307519219</v>
      </c>
      <c r="AB24" s="616">
        <v>0.17829333546300363</v>
      </c>
      <c r="AC24" s="616">
        <v>0.20037029417815264</v>
      </c>
      <c r="AD24" s="673"/>
    </row>
    <row r="25" spans="1:30" ht="12.75" x14ac:dyDescent="0.2">
      <c r="A25" s="1021" t="s">
        <v>1299</v>
      </c>
      <c r="B25" s="578"/>
      <c r="C25" s="578"/>
      <c r="D25" s="578"/>
      <c r="E25" s="578"/>
      <c r="F25" s="578"/>
      <c r="G25" s="578"/>
      <c r="H25" s="578"/>
      <c r="I25" s="578"/>
      <c r="J25" s="578"/>
      <c r="K25" s="578"/>
      <c r="L25" s="578"/>
      <c r="M25" s="578"/>
      <c r="N25" s="578"/>
      <c r="O25" s="578"/>
      <c r="P25" s="578"/>
      <c r="Q25" s="578"/>
      <c r="R25" s="578"/>
      <c r="S25" s="578"/>
      <c r="T25" s="578"/>
      <c r="U25" s="578"/>
      <c r="V25" s="578"/>
      <c r="W25" s="578"/>
      <c r="X25" s="578"/>
      <c r="Y25" s="578"/>
      <c r="Z25" s="578">
        <v>-729</v>
      </c>
      <c r="AA25" s="578">
        <v>-359</v>
      </c>
      <c r="AB25" s="578">
        <v>-264</v>
      </c>
      <c r="AC25" s="578">
        <v>-749</v>
      </c>
      <c r="AD25" s="673"/>
    </row>
    <row r="26" spans="1:30" ht="12.75" x14ac:dyDescent="0.2">
      <c r="A26" s="665" t="s">
        <v>1304</v>
      </c>
      <c r="B26" s="665"/>
      <c r="C26" s="665"/>
      <c r="D26" s="665"/>
      <c r="E26" s="665"/>
      <c r="F26" s="665"/>
      <c r="G26" s="665"/>
      <c r="H26" s="665"/>
      <c r="I26" s="665"/>
      <c r="J26" s="665"/>
      <c r="K26" s="665"/>
      <c r="L26" s="665"/>
      <c r="M26" s="665"/>
      <c r="N26" s="665"/>
      <c r="O26" s="665"/>
      <c r="P26" s="665"/>
      <c r="Q26" s="665"/>
      <c r="R26" s="665"/>
      <c r="S26" s="665"/>
      <c r="T26" s="685"/>
      <c r="U26" s="685"/>
      <c r="V26" s="685"/>
      <c r="W26" s="685"/>
      <c r="X26" s="685"/>
      <c r="Y26" s="685"/>
      <c r="Z26" s="578">
        <v>-415</v>
      </c>
      <c r="AA26" s="578">
        <v>-65</v>
      </c>
      <c r="AB26" s="578">
        <v>0</v>
      </c>
      <c r="AC26" s="578">
        <v>0</v>
      </c>
      <c r="AD26" s="665"/>
    </row>
    <row r="27" spans="1:30" ht="12.75" x14ac:dyDescent="0.2">
      <c r="A27" s="1011" t="s">
        <v>1300</v>
      </c>
      <c r="B27" s="665"/>
      <c r="C27" s="665"/>
      <c r="D27" s="665"/>
      <c r="E27" s="665"/>
      <c r="F27" s="665"/>
      <c r="G27" s="665"/>
      <c r="H27" s="665"/>
      <c r="I27" s="665"/>
      <c r="J27" s="665"/>
      <c r="K27" s="665"/>
      <c r="L27" s="665"/>
      <c r="M27" s="665"/>
      <c r="N27" s="665"/>
      <c r="O27" s="665"/>
      <c r="P27" s="665"/>
      <c r="Q27" s="665"/>
      <c r="R27" s="665"/>
      <c r="S27" s="665"/>
      <c r="T27" s="1015"/>
      <c r="U27" s="1015"/>
      <c r="V27" s="1015"/>
      <c r="W27" s="1015"/>
      <c r="X27" s="1015"/>
      <c r="Y27" s="1015"/>
      <c r="Z27" s="1015"/>
      <c r="AA27" s="1015"/>
      <c r="AB27" s="1015"/>
      <c r="AC27" s="1015"/>
      <c r="AD27" s="665"/>
    </row>
    <row r="28" spans="1:30" ht="12.75" x14ac:dyDescent="0.2">
      <c r="A28" s="665" t="s">
        <v>1304</v>
      </c>
      <c r="B28" s="665"/>
      <c r="C28" s="665"/>
      <c r="D28" s="665"/>
      <c r="E28" s="665"/>
      <c r="F28" s="665"/>
      <c r="G28" s="665"/>
      <c r="H28" s="665"/>
      <c r="I28" s="665"/>
      <c r="J28" s="665"/>
      <c r="K28" s="665"/>
      <c r="L28" s="665"/>
      <c r="M28" s="665"/>
      <c r="N28" s="665"/>
      <c r="O28" s="665"/>
      <c r="P28" s="665"/>
      <c r="Q28" s="665"/>
      <c r="R28" s="665"/>
      <c r="S28" s="665"/>
      <c r="T28" s="1020"/>
      <c r="U28" s="1020"/>
      <c r="V28" s="1020"/>
      <c r="W28" s="1020"/>
      <c r="X28" s="1020"/>
      <c r="Y28" s="1020"/>
      <c r="Z28" s="1020">
        <v>0.18360681234932733</v>
      </c>
      <c r="AA28" s="1020">
        <v>0.18968685542846428</v>
      </c>
      <c r="AB28" s="1020">
        <v>0.17829333546300363</v>
      </c>
      <c r="AC28" s="1020">
        <v>0.20037029417815264</v>
      </c>
      <c r="AD28" s="665"/>
    </row>
    <row r="29" spans="1:30" ht="12.75" x14ac:dyDescent="0.2">
      <c r="A29" s="1009" t="s">
        <v>1306</v>
      </c>
      <c r="B29" s="1010"/>
      <c r="C29" s="1010"/>
      <c r="D29" s="1010"/>
      <c r="E29" s="1010"/>
      <c r="F29" s="1010"/>
      <c r="G29" s="1010"/>
      <c r="H29" s="1010"/>
      <c r="I29" s="1010"/>
      <c r="J29" s="1010"/>
      <c r="K29" s="1010"/>
      <c r="L29" s="1010"/>
      <c r="M29" s="1010"/>
      <c r="N29" s="1010"/>
      <c r="O29" s="1010"/>
      <c r="P29" s="1010"/>
      <c r="Q29" s="1010"/>
      <c r="R29" s="1010"/>
      <c r="S29" s="1010"/>
      <c r="T29" s="1010"/>
      <c r="U29" s="1010"/>
      <c r="V29" s="1010"/>
      <c r="W29" s="1010"/>
      <c r="X29" s="1010"/>
      <c r="Y29" s="1010"/>
      <c r="Z29" s="1010"/>
      <c r="AA29" s="1010"/>
      <c r="AB29" s="1010"/>
      <c r="AC29" s="1010"/>
      <c r="AD29" s="927"/>
    </row>
    <row r="30" spans="1:30" ht="12.75" x14ac:dyDescent="0.2">
      <c r="A30" s="1022"/>
      <c r="B30" s="1010"/>
      <c r="C30" s="1010"/>
      <c r="D30" s="1010"/>
      <c r="E30" s="1010"/>
      <c r="F30" s="1010"/>
      <c r="G30" s="1010"/>
      <c r="H30" s="1010"/>
      <c r="I30" s="1010"/>
      <c r="J30" s="1010"/>
      <c r="K30" s="1010"/>
      <c r="L30" s="1010"/>
      <c r="M30" s="1010"/>
      <c r="N30" s="1010"/>
      <c r="O30" s="1010"/>
      <c r="P30" s="1010"/>
      <c r="Q30" s="1010"/>
      <c r="R30" s="1010"/>
      <c r="S30" s="1010"/>
      <c r="T30" s="1010"/>
      <c r="U30" s="1010"/>
      <c r="V30" s="1010"/>
      <c r="W30" s="1010"/>
      <c r="X30" s="1023" t="s">
        <v>1307</v>
      </c>
      <c r="Y30" s="1010"/>
      <c r="Z30" s="1010"/>
      <c r="AA30" s="1010" t="s">
        <v>1308</v>
      </c>
      <c r="AB30" s="1010"/>
      <c r="AC30" s="1010"/>
      <c r="AD30" s="927"/>
    </row>
    <row r="31" spans="1:30" ht="12.75" x14ac:dyDescent="0.2">
      <c r="A31" s="1024"/>
      <c r="B31" s="1025"/>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673"/>
    </row>
    <row r="32" spans="1:30" ht="12.75" x14ac:dyDescent="0.2">
      <c r="A32" s="1003" t="s">
        <v>264</v>
      </c>
      <c r="B32" s="1004">
        <v>1990</v>
      </c>
      <c r="C32" s="1004">
        <v>1991</v>
      </c>
      <c r="D32" s="1004">
        <v>1992</v>
      </c>
      <c r="E32" s="1004">
        <v>1993</v>
      </c>
      <c r="F32" s="1004">
        <v>1994</v>
      </c>
      <c r="G32" s="1004">
        <v>1995</v>
      </c>
      <c r="H32" s="1004">
        <v>1996</v>
      </c>
      <c r="I32" s="1004">
        <v>1997</v>
      </c>
      <c r="J32" s="1004">
        <v>1998</v>
      </c>
      <c r="K32" s="1004">
        <v>1999</v>
      </c>
      <c r="L32" s="1004">
        <v>2000</v>
      </c>
      <c r="M32" s="1004">
        <v>2001</v>
      </c>
      <c r="N32" s="1004">
        <v>2002</v>
      </c>
      <c r="O32" s="1004">
        <v>2003</v>
      </c>
      <c r="P32" s="1004">
        <v>2004</v>
      </c>
      <c r="Q32" s="1004">
        <v>2005</v>
      </c>
      <c r="R32" s="1004">
        <v>2006</v>
      </c>
      <c r="S32" s="1004">
        <v>2007</v>
      </c>
      <c r="T32" s="1004">
        <v>2008</v>
      </c>
      <c r="U32" s="1004">
        <v>2009</v>
      </c>
      <c r="V32" s="1004">
        <v>2010</v>
      </c>
      <c r="W32" s="1004">
        <v>2011</v>
      </c>
      <c r="X32" s="1004">
        <v>2012</v>
      </c>
      <c r="Y32" s="1004">
        <v>2013</v>
      </c>
      <c r="Z32" s="1004">
        <v>2014</v>
      </c>
      <c r="AA32" s="1004">
        <v>2015</v>
      </c>
      <c r="AB32" s="1004">
        <v>2016</v>
      </c>
      <c r="AC32" s="1004"/>
      <c r="AD32" s="928"/>
    </row>
    <row r="33" spans="1:30" ht="12.75" x14ac:dyDescent="0.2">
      <c r="A33" s="1011" t="s">
        <v>480</v>
      </c>
      <c r="B33" s="665"/>
      <c r="C33" s="665"/>
      <c r="D33" s="665"/>
      <c r="E33" s="665"/>
      <c r="F33" s="665"/>
      <c r="G33" s="665"/>
      <c r="H33" s="665"/>
      <c r="I33" s="665"/>
      <c r="J33" s="665"/>
      <c r="K33" s="665"/>
      <c r="L33" s="665"/>
      <c r="M33" s="665"/>
      <c r="N33" s="665"/>
      <c r="O33" s="665"/>
      <c r="P33" s="665"/>
      <c r="Q33" s="665"/>
      <c r="R33" s="665"/>
      <c r="S33" s="665"/>
      <c r="T33" s="1012"/>
      <c r="U33" s="1012"/>
      <c r="V33" s="1012"/>
      <c r="W33" s="1012"/>
      <c r="X33" s="1012"/>
      <c r="Y33" s="1012"/>
      <c r="Z33" s="1012"/>
      <c r="AA33" s="1013"/>
      <c r="AB33" s="1014"/>
      <c r="AC33" s="1014"/>
      <c r="AD33" s="673"/>
    </row>
    <row r="34" spans="1:30" ht="12.75" x14ac:dyDescent="0.2">
      <c r="A34" s="665" t="s">
        <v>1304</v>
      </c>
      <c r="B34" s="665"/>
      <c r="C34" s="665"/>
      <c r="D34" s="665"/>
      <c r="E34" s="665"/>
      <c r="F34" s="665"/>
      <c r="G34" s="665"/>
      <c r="H34" s="665"/>
      <c r="I34" s="665"/>
      <c r="J34" s="665"/>
      <c r="K34" s="665"/>
      <c r="L34" s="665"/>
      <c r="M34" s="665"/>
      <c r="N34" s="665"/>
      <c r="O34" s="665"/>
      <c r="P34" s="665"/>
      <c r="Q34" s="665"/>
      <c r="R34" s="665"/>
      <c r="S34" s="665"/>
      <c r="T34" s="685">
        <v>23405</v>
      </c>
      <c r="U34" s="685">
        <v>17533</v>
      </c>
      <c r="V34" s="685">
        <v>26356</v>
      </c>
      <c r="W34" s="685">
        <v>31751</v>
      </c>
      <c r="X34" s="685">
        <v>33482</v>
      </c>
      <c r="Y34" s="685">
        <v>26092</v>
      </c>
      <c r="Z34" s="685">
        <v>25752</v>
      </c>
      <c r="AA34" s="685">
        <v>25587</v>
      </c>
      <c r="AB34" s="685">
        <v>25565</v>
      </c>
      <c r="AC34" s="685"/>
      <c r="AD34" s="673"/>
    </row>
    <row r="35" spans="1:30" ht="12.75" x14ac:dyDescent="0.2">
      <c r="A35" s="665" t="s">
        <v>1309</v>
      </c>
      <c r="B35" s="665"/>
      <c r="C35" s="665"/>
      <c r="D35" s="665"/>
      <c r="E35" s="665"/>
      <c r="F35" s="665"/>
      <c r="G35" s="665"/>
      <c r="H35" s="665"/>
      <c r="I35" s="665"/>
      <c r="J35" s="665"/>
      <c r="K35" s="665"/>
      <c r="L35" s="665"/>
      <c r="M35" s="665"/>
      <c r="N35" s="665"/>
      <c r="O35" s="665"/>
      <c r="P35" s="665"/>
      <c r="Q35" s="665"/>
      <c r="R35" s="665"/>
      <c r="S35" s="665"/>
      <c r="T35" s="685">
        <v>12016</v>
      </c>
      <c r="U35" s="685">
        <v>9843</v>
      </c>
      <c r="V35" s="685">
        <v>12534</v>
      </c>
      <c r="W35" s="685">
        <v>12786</v>
      </c>
      <c r="X35" s="685">
        <v>14607</v>
      </c>
      <c r="Y35" s="685">
        <v>14260</v>
      </c>
      <c r="Z35" s="685">
        <v>14847</v>
      </c>
      <c r="AA35" s="685">
        <v>11927</v>
      </c>
      <c r="AB35" s="685">
        <v>12110</v>
      </c>
      <c r="AC35" s="685"/>
      <c r="AD35" s="673"/>
    </row>
    <row r="36" spans="1:30" ht="12.75" x14ac:dyDescent="0.2">
      <c r="A36" s="1011" t="s">
        <v>200</v>
      </c>
      <c r="B36" s="665"/>
      <c r="C36" s="665"/>
      <c r="D36" s="665"/>
      <c r="E36" s="665"/>
      <c r="F36" s="665"/>
      <c r="G36" s="578" t="s">
        <v>1305</v>
      </c>
      <c r="H36" s="665"/>
      <c r="I36" s="665"/>
      <c r="J36" s="665"/>
      <c r="K36" s="665"/>
      <c r="L36" s="578" t="s">
        <v>1305</v>
      </c>
      <c r="M36" s="665"/>
      <c r="N36" s="665"/>
      <c r="O36" s="665"/>
      <c r="P36" s="665"/>
      <c r="Q36" s="578" t="s">
        <v>1305</v>
      </c>
      <c r="R36" s="665"/>
      <c r="S36" s="665"/>
      <c r="T36" s="1015"/>
      <c r="U36" s="1015"/>
      <c r="V36" s="1015"/>
      <c r="W36" s="1015"/>
      <c r="X36" s="1015"/>
      <c r="Y36" s="1015"/>
      <c r="Z36" s="1015"/>
      <c r="AA36" s="1015"/>
      <c r="AB36" s="1015"/>
      <c r="AC36" s="1015"/>
      <c r="AD36" s="673"/>
    </row>
    <row r="37" spans="1:30" ht="12.75" x14ac:dyDescent="0.2">
      <c r="A37" s="665" t="s">
        <v>1304</v>
      </c>
      <c r="B37" s="665"/>
      <c r="C37" s="665"/>
      <c r="D37" s="665"/>
      <c r="E37" s="665"/>
      <c r="F37" s="1016"/>
      <c r="G37" s="1017"/>
      <c r="H37" s="665"/>
      <c r="I37" s="665"/>
      <c r="J37" s="665"/>
      <c r="K37" s="665"/>
      <c r="L37" s="665"/>
      <c r="M37" s="665"/>
      <c r="N37" s="665"/>
      <c r="O37" s="665"/>
      <c r="P37" s="665"/>
      <c r="Q37" s="665"/>
      <c r="R37" s="665"/>
      <c r="S37" s="665"/>
      <c r="T37" s="685">
        <v>24010</v>
      </c>
      <c r="U37" s="685">
        <v>20202</v>
      </c>
      <c r="V37" s="685">
        <v>22520</v>
      </c>
      <c r="W37" s="685">
        <v>29356</v>
      </c>
      <c r="X37" s="685">
        <v>34054</v>
      </c>
      <c r="Y37" s="685">
        <v>29013</v>
      </c>
      <c r="Z37" s="685">
        <v>25718</v>
      </c>
      <c r="AA37" s="685">
        <v>26665</v>
      </c>
      <c r="AB37" s="685">
        <v>25043</v>
      </c>
      <c r="AC37" s="685"/>
      <c r="AD37" s="673"/>
    </row>
    <row r="38" spans="1:30" ht="12.75" x14ac:dyDescent="0.2">
      <c r="A38" s="665" t="s">
        <v>1309</v>
      </c>
      <c r="B38" s="665"/>
      <c r="C38" s="665"/>
      <c r="D38" s="665"/>
      <c r="E38" s="665"/>
      <c r="F38" s="1016"/>
      <c r="G38" s="1017"/>
      <c r="H38" s="665"/>
      <c r="I38" s="665"/>
      <c r="J38" s="665"/>
      <c r="K38" s="665"/>
      <c r="L38" s="665"/>
      <c r="M38" s="665"/>
      <c r="N38" s="665"/>
      <c r="O38" s="665"/>
      <c r="P38" s="665"/>
      <c r="Q38" s="665"/>
      <c r="R38" s="665"/>
      <c r="S38" s="665"/>
      <c r="T38" s="685">
        <v>13126</v>
      </c>
      <c r="U38" s="685">
        <v>9627</v>
      </c>
      <c r="V38" s="685">
        <v>11485</v>
      </c>
      <c r="W38" s="685">
        <v>12918</v>
      </c>
      <c r="X38" s="685">
        <v>14658</v>
      </c>
      <c r="Y38" s="685">
        <v>13967</v>
      </c>
      <c r="Z38" s="685">
        <v>14739</v>
      </c>
      <c r="AA38" s="685">
        <v>12112</v>
      </c>
      <c r="AB38" s="685">
        <v>11794</v>
      </c>
      <c r="AC38" s="685"/>
      <c r="AD38" s="673"/>
    </row>
    <row r="39" spans="1:30" ht="12.75" x14ac:dyDescent="0.2">
      <c r="A39" s="1011" t="s">
        <v>192</v>
      </c>
      <c r="B39" s="665"/>
      <c r="C39" s="665"/>
      <c r="D39" s="665"/>
      <c r="E39" s="665"/>
      <c r="F39" s="665"/>
      <c r="G39" s="665"/>
      <c r="H39" s="665"/>
      <c r="I39" s="665"/>
      <c r="J39" s="665"/>
      <c r="K39" s="665"/>
      <c r="L39" s="665"/>
      <c r="M39" s="665"/>
      <c r="N39" s="665"/>
      <c r="O39" s="665"/>
      <c r="P39" s="665"/>
      <c r="Q39" s="665"/>
      <c r="R39" s="665"/>
      <c r="S39" s="665"/>
      <c r="T39" s="1018"/>
      <c r="U39" s="1018"/>
      <c r="V39" s="1018"/>
      <c r="W39" s="1018"/>
      <c r="X39" s="1018"/>
      <c r="Y39" s="1019"/>
      <c r="Z39" s="1019"/>
      <c r="AA39" s="1019"/>
      <c r="AB39" s="1019"/>
      <c r="AC39" s="1019"/>
      <c r="AD39" s="673"/>
    </row>
    <row r="40" spans="1:30" ht="12.75" x14ac:dyDescent="0.2">
      <c r="A40" s="665" t="s">
        <v>1304</v>
      </c>
      <c r="B40" s="665"/>
      <c r="C40" s="665"/>
      <c r="D40" s="665"/>
      <c r="E40" s="665"/>
      <c r="F40" s="665"/>
      <c r="G40" s="665"/>
      <c r="H40" s="665"/>
      <c r="I40" s="665"/>
      <c r="J40" s="665"/>
      <c r="K40" s="665"/>
      <c r="L40" s="665"/>
      <c r="M40" s="665"/>
      <c r="N40" s="665"/>
      <c r="O40" s="665"/>
      <c r="P40" s="665"/>
      <c r="Q40" s="665"/>
      <c r="R40" s="665"/>
      <c r="S40" s="665"/>
      <c r="T40" s="685">
        <v>4923</v>
      </c>
      <c r="U40" s="685">
        <v>3591</v>
      </c>
      <c r="V40" s="685">
        <v>4919</v>
      </c>
      <c r="W40" s="685">
        <v>7196</v>
      </c>
      <c r="X40" s="685">
        <v>8335</v>
      </c>
      <c r="Y40" s="685">
        <v>6083</v>
      </c>
      <c r="Z40" s="685">
        <v>4307</v>
      </c>
      <c r="AA40" s="685">
        <v>4993</v>
      </c>
      <c r="AB40" s="685">
        <v>4465</v>
      </c>
      <c r="AC40" s="685"/>
      <c r="AD40" s="673"/>
    </row>
    <row r="41" spans="1:30" ht="12.75" x14ac:dyDescent="0.2">
      <c r="A41" s="665" t="s">
        <v>1309</v>
      </c>
      <c r="B41" s="665"/>
      <c r="C41" s="665"/>
      <c r="D41" s="665"/>
      <c r="E41" s="665"/>
      <c r="F41" s="665"/>
      <c r="G41" s="665"/>
      <c r="H41" s="665"/>
      <c r="I41" s="665"/>
      <c r="J41" s="665"/>
      <c r="K41" s="665"/>
      <c r="L41" s="665"/>
      <c r="M41" s="665"/>
      <c r="N41" s="665"/>
      <c r="O41" s="665"/>
      <c r="P41" s="665"/>
      <c r="Q41" s="665"/>
      <c r="R41" s="665"/>
      <c r="S41" s="665"/>
      <c r="T41" s="685">
        <v>1643</v>
      </c>
      <c r="U41" s="685">
        <v>395</v>
      </c>
      <c r="V41" s="685">
        <v>1218</v>
      </c>
      <c r="W41" s="685">
        <v>1460</v>
      </c>
      <c r="X41" s="685">
        <v>1825</v>
      </c>
      <c r="Y41" s="685">
        <v>1733</v>
      </c>
      <c r="Z41" s="685">
        <v>1768</v>
      </c>
      <c r="AA41" s="685">
        <v>1883</v>
      </c>
      <c r="AB41" s="685">
        <v>1769</v>
      </c>
      <c r="AC41" s="685"/>
      <c r="AD41" s="673"/>
    </row>
    <row r="42" spans="1:30" ht="12.75" x14ac:dyDescent="0.2">
      <c r="A42" s="1011" t="s">
        <v>279</v>
      </c>
      <c r="B42" s="665"/>
      <c r="C42" s="665"/>
      <c r="D42" s="665"/>
      <c r="E42" s="665"/>
      <c r="F42" s="665"/>
      <c r="G42" s="665"/>
      <c r="H42" s="665"/>
      <c r="I42" s="665"/>
      <c r="J42" s="665"/>
      <c r="K42" s="665"/>
      <c r="L42" s="665"/>
      <c r="M42" s="665"/>
      <c r="N42" s="665"/>
      <c r="O42" s="665"/>
      <c r="P42" s="665"/>
      <c r="Q42" s="665"/>
      <c r="R42" s="665"/>
      <c r="S42" s="665"/>
      <c r="T42" s="685"/>
      <c r="U42" s="685"/>
      <c r="V42" s="685"/>
      <c r="W42" s="685"/>
      <c r="X42" s="685"/>
      <c r="Y42" s="685"/>
      <c r="Z42" s="685"/>
      <c r="AA42" s="685"/>
      <c r="AB42" s="685"/>
      <c r="AC42" s="685"/>
      <c r="AD42" s="673"/>
    </row>
    <row r="43" spans="1:30" ht="12.75" x14ac:dyDescent="0.2">
      <c r="A43" s="665" t="s">
        <v>1304</v>
      </c>
      <c r="B43" s="665"/>
      <c r="C43" s="665"/>
      <c r="D43" s="665"/>
      <c r="E43" s="665"/>
      <c r="F43" s="665"/>
      <c r="G43" s="665"/>
      <c r="H43" s="665"/>
      <c r="I43" s="665"/>
      <c r="J43" s="665"/>
      <c r="K43" s="665"/>
      <c r="L43" s="665"/>
      <c r="M43" s="665"/>
      <c r="N43" s="665"/>
      <c r="O43" s="665"/>
      <c r="P43" s="665"/>
      <c r="Q43" s="665"/>
      <c r="R43" s="665"/>
      <c r="S43" s="665"/>
      <c r="T43" s="1020">
        <v>0.20503956684714703</v>
      </c>
      <c r="U43" s="1020">
        <v>0.17775467775467776</v>
      </c>
      <c r="V43" s="1020">
        <v>0.21842806394316164</v>
      </c>
      <c r="W43" s="1020">
        <v>0.24512876413680337</v>
      </c>
      <c r="X43" s="1020">
        <v>0.24475832501321432</v>
      </c>
      <c r="Y43" s="1020">
        <v>0.20966463309550892</v>
      </c>
      <c r="Z43" s="1020">
        <v>0.16747025429660159</v>
      </c>
      <c r="AA43" s="1020">
        <v>0.18724920307519219</v>
      </c>
      <c r="AB43" s="1020">
        <v>0.17829333546300363</v>
      </c>
      <c r="AC43" s="1020"/>
      <c r="AD43" s="673"/>
    </row>
    <row r="44" spans="1:30" ht="12.75" x14ac:dyDescent="0.2">
      <c r="A44" s="665" t="s">
        <v>1309</v>
      </c>
      <c r="B44" s="665"/>
      <c r="C44" s="665"/>
      <c r="D44" s="665"/>
      <c r="E44" s="665"/>
      <c r="F44" s="665"/>
      <c r="G44" s="665"/>
      <c r="H44" s="665"/>
      <c r="I44" s="665"/>
      <c r="J44" s="665"/>
      <c r="K44" s="665"/>
      <c r="L44" s="665"/>
      <c r="M44" s="665"/>
      <c r="N44" s="665"/>
      <c r="O44" s="665"/>
      <c r="P44" s="665"/>
      <c r="Q44" s="665"/>
      <c r="R44" s="665"/>
      <c r="S44" s="665"/>
      <c r="T44" s="1020">
        <v>0.12517141551119915</v>
      </c>
      <c r="U44" s="1020">
        <v>4.1030435234237043E-2</v>
      </c>
      <c r="V44" s="1020">
        <v>0.10605137135393992</v>
      </c>
      <c r="W44" s="1020">
        <v>0.11302059142282087</v>
      </c>
      <c r="X44" s="1020">
        <v>0.1245053895483695</v>
      </c>
      <c r="Y44" s="1020">
        <v>0.12407818429154435</v>
      </c>
      <c r="Z44" s="1020">
        <v>0.11995386389850057</v>
      </c>
      <c r="AA44" s="1020">
        <v>0.15546565389696168</v>
      </c>
      <c r="AB44" s="1020">
        <v>0.15007630998812957</v>
      </c>
      <c r="AC44" s="1020"/>
      <c r="AD44" s="673"/>
    </row>
    <row r="45" spans="1:30" ht="12.75" x14ac:dyDescent="0.2">
      <c r="A45" s="1021" t="s">
        <v>1299</v>
      </c>
      <c r="B45" s="578"/>
      <c r="C45" s="578"/>
      <c r="D45" s="578"/>
      <c r="E45" s="578"/>
      <c r="F45" s="578"/>
      <c r="G45" s="578"/>
      <c r="H45" s="578"/>
      <c r="I45" s="578"/>
      <c r="J45" s="578"/>
      <c r="K45" s="578"/>
      <c r="L45" s="578"/>
      <c r="M45" s="578"/>
      <c r="N45" s="578"/>
      <c r="O45" s="578"/>
      <c r="P45" s="578"/>
      <c r="Q45" s="578"/>
      <c r="R45" s="578"/>
      <c r="S45" s="578"/>
      <c r="T45" s="578">
        <v>-292</v>
      </c>
      <c r="U45" s="578">
        <v>-569</v>
      </c>
      <c r="V45" s="578">
        <v>-394</v>
      </c>
      <c r="W45" s="578">
        <v>-160</v>
      </c>
      <c r="X45" s="578">
        <v>-182</v>
      </c>
      <c r="Y45" s="578">
        <v>63</v>
      </c>
      <c r="Z45" s="578">
        <v>-729</v>
      </c>
      <c r="AA45" s="578">
        <v>-359</v>
      </c>
      <c r="AB45" s="578">
        <v>-264</v>
      </c>
      <c r="AC45" s="578"/>
      <c r="AD45" s="673"/>
    </row>
    <row r="46" spans="1:30" ht="12.75" x14ac:dyDescent="0.2">
      <c r="A46" s="665" t="s">
        <v>1304</v>
      </c>
      <c r="B46" s="665"/>
      <c r="C46" s="665"/>
      <c r="D46" s="665"/>
      <c r="E46" s="665"/>
      <c r="F46" s="665"/>
      <c r="G46" s="665"/>
      <c r="H46" s="665"/>
      <c r="I46" s="665"/>
      <c r="J46" s="665"/>
      <c r="K46" s="665"/>
      <c r="L46" s="665"/>
      <c r="M46" s="665"/>
      <c r="N46" s="665"/>
      <c r="O46" s="665"/>
      <c r="P46" s="665"/>
      <c r="Q46" s="665"/>
      <c r="R46" s="665"/>
      <c r="S46" s="665"/>
      <c r="T46" s="685">
        <v>-59</v>
      </c>
      <c r="U46" s="685">
        <v>-81</v>
      </c>
      <c r="V46" s="685"/>
      <c r="W46" s="685"/>
      <c r="X46" s="685"/>
      <c r="Y46" s="685">
        <v>-120</v>
      </c>
      <c r="Z46" s="685">
        <v>-415</v>
      </c>
      <c r="AA46" s="685">
        <v>-65</v>
      </c>
      <c r="AB46" s="685">
        <v>0</v>
      </c>
      <c r="AC46" s="685"/>
      <c r="AD46" s="673"/>
    </row>
    <row r="47" spans="1:30" ht="12.75" x14ac:dyDescent="0.2">
      <c r="A47" s="665" t="s">
        <v>1309</v>
      </c>
      <c r="B47" s="665"/>
      <c r="C47" s="665"/>
      <c r="D47" s="665"/>
      <c r="E47" s="665"/>
      <c r="F47" s="665"/>
      <c r="G47" s="665"/>
      <c r="H47" s="665"/>
      <c r="I47" s="665"/>
      <c r="J47" s="665"/>
      <c r="K47" s="665"/>
      <c r="L47" s="665"/>
      <c r="M47" s="665"/>
      <c r="N47" s="665"/>
      <c r="O47" s="665"/>
      <c r="P47" s="665"/>
      <c r="Q47" s="665"/>
      <c r="R47" s="665"/>
      <c r="S47" s="665"/>
      <c r="T47" s="1015">
        <v>-61</v>
      </c>
      <c r="U47" s="1015">
        <v>-70</v>
      </c>
      <c r="V47" s="1015">
        <v>-100</v>
      </c>
      <c r="W47" s="1015">
        <v>-105</v>
      </c>
      <c r="X47" s="1015">
        <v>-65</v>
      </c>
      <c r="Y47" s="1015"/>
      <c r="Z47" s="1015"/>
      <c r="AA47" s="1015">
        <v>-95</v>
      </c>
      <c r="AB47" s="1015">
        <v>0</v>
      </c>
      <c r="AC47" s="1015"/>
      <c r="AD47" s="673"/>
    </row>
    <row r="48" spans="1:30" ht="12.75" x14ac:dyDescent="0.2">
      <c r="A48" s="1011" t="s">
        <v>1300</v>
      </c>
      <c r="B48" s="665"/>
      <c r="C48" s="665"/>
      <c r="D48" s="665"/>
      <c r="E48" s="665"/>
      <c r="F48" s="665"/>
      <c r="G48" s="665"/>
      <c r="H48" s="665"/>
      <c r="I48" s="665"/>
      <c r="J48" s="665"/>
      <c r="K48" s="665"/>
      <c r="L48" s="665"/>
      <c r="M48" s="665"/>
      <c r="N48" s="665"/>
      <c r="O48" s="665"/>
      <c r="P48" s="665"/>
      <c r="Q48" s="665"/>
      <c r="R48" s="665"/>
      <c r="S48" s="665"/>
      <c r="T48" s="1015"/>
      <c r="U48" s="1015"/>
      <c r="V48" s="1015"/>
      <c r="W48" s="1015"/>
      <c r="X48" s="1015"/>
      <c r="Y48" s="1015"/>
      <c r="Z48" s="1015"/>
      <c r="AA48" s="1015"/>
      <c r="AB48" s="1015"/>
      <c r="AC48" s="1015"/>
      <c r="AD48" s="673"/>
    </row>
    <row r="49" spans="1:30" ht="12.75" x14ac:dyDescent="0.2">
      <c r="A49" s="665" t="s">
        <v>1304</v>
      </c>
      <c r="B49" s="665"/>
      <c r="C49" s="665"/>
      <c r="D49" s="665"/>
      <c r="E49" s="665"/>
      <c r="F49" s="665"/>
      <c r="G49" s="665"/>
      <c r="H49" s="665"/>
      <c r="I49" s="665"/>
      <c r="J49" s="665"/>
      <c r="K49" s="665"/>
      <c r="L49" s="665"/>
      <c r="M49" s="665"/>
      <c r="N49" s="665"/>
      <c r="O49" s="665"/>
      <c r="P49" s="665"/>
      <c r="Q49" s="665"/>
      <c r="R49" s="665"/>
      <c r="S49" s="665"/>
      <c r="T49" s="1020">
        <v>0.20749687630154101</v>
      </c>
      <c r="U49" s="1020">
        <v>0.18176418176418177</v>
      </c>
      <c r="V49" s="1020">
        <v>0.21842806394316164</v>
      </c>
      <c r="W49" s="1020">
        <v>0.24512876413680337</v>
      </c>
      <c r="X49" s="1020">
        <v>0.24475832501321432</v>
      </c>
      <c r="Y49" s="1020">
        <v>0.21380071002653983</v>
      </c>
      <c r="Z49" s="1020">
        <v>0.18360681234932733</v>
      </c>
      <c r="AA49" s="1020">
        <v>0.18968685542846428</v>
      </c>
      <c r="AB49" s="1020">
        <v>0.17829333546300363</v>
      </c>
      <c r="AC49" s="1020"/>
      <c r="AD49" s="673"/>
    </row>
    <row r="50" spans="1:30" ht="12.75" x14ac:dyDescent="0.2">
      <c r="A50" s="665" t="s">
        <v>1309</v>
      </c>
      <c r="B50" s="665"/>
      <c r="C50" s="665"/>
      <c r="D50" s="665"/>
      <c r="E50" s="665"/>
      <c r="F50" s="665"/>
      <c r="G50" s="665"/>
      <c r="H50" s="665"/>
      <c r="I50" s="665"/>
      <c r="J50" s="665"/>
      <c r="K50" s="665"/>
      <c r="L50" s="665"/>
      <c r="M50" s="665"/>
      <c r="N50" s="665"/>
      <c r="O50" s="665"/>
      <c r="P50" s="665"/>
      <c r="Q50" s="665"/>
      <c r="R50" s="665"/>
      <c r="S50" s="665"/>
      <c r="T50" s="1020">
        <v>0.12981868048148712</v>
      </c>
      <c r="U50" s="1020">
        <v>4.8301651604861329E-2</v>
      </c>
      <c r="V50" s="1020">
        <v>0.11475838049629952</v>
      </c>
      <c r="W50" s="1020">
        <v>0.12114878464158539</v>
      </c>
      <c r="X50" s="1020">
        <v>0.12893982808022922</v>
      </c>
      <c r="Y50" s="1020">
        <v>0.12407818429154435</v>
      </c>
      <c r="Z50" s="1020">
        <v>0.11995386389850057</v>
      </c>
      <c r="AA50" s="1020">
        <v>0.16330911492734479</v>
      </c>
      <c r="AB50" s="1020">
        <v>0.14999152111243005</v>
      </c>
      <c r="AC50" s="1020"/>
      <c r="AD50" s="673"/>
    </row>
    <row r="51" spans="1:30" ht="13.5" customHeight="1" x14ac:dyDescent="0.2">
      <c r="A51" s="1009" t="s">
        <v>1310</v>
      </c>
      <c r="B51" s="1026"/>
      <c r="C51" s="1026"/>
      <c r="D51" s="1026"/>
      <c r="E51" s="1026"/>
      <c r="F51" s="1010"/>
      <c r="G51" s="1026"/>
      <c r="H51" s="1026"/>
      <c r="I51" s="1026"/>
      <c r="J51" s="1026"/>
      <c r="K51" s="1026"/>
      <c r="L51" s="1026"/>
      <c r="M51" s="1026"/>
      <c r="N51" s="1010"/>
      <c r="O51" s="1026"/>
      <c r="P51" s="1026"/>
      <c r="Q51" s="1026"/>
      <c r="R51" s="1026"/>
      <c r="S51" s="1026"/>
      <c r="T51" s="1026"/>
      <c r="U51" s="1026"/>
      <c r="V51" s="1026"/>
      <c r="W51" s="1026"/>
      <c r="X51" s="1026"/>
      <c r="Y51" s="1026"/>
      <c r="Z51" s="1026"/>
      <c r="AA51" s="1026"/>
      <c r="AB51" s="1026"/>
      <c r="AC51" s="1026"/>
      <c r="AD51" s="927"/>
    </row>
    <row r="52" spans="1:30" ht="12.75" x14ac:dyDescent="0.2">
      <c r="A52" s="1024"/>
      <c r="B52" s="1025"/>
      <c r="C52" s="1025"/>
      <c r="D52" s="1025"/>
      <c r="E52" s="1025"/>
      <c r="F52" s="1025"/>
      <c r="G52" s="1025"/>
      <c r="H52" s="1025"/>
      <c r="I52" s="1025"/>
      <c r="J52" s="1025"/>
      <c r="K52" s="1025"/>
      <c r="L52" s="1025"/>
      <c r="M52" s="1025"/>
      <c r="N52" s="1027" t="s">
        <v>1311</v>
      </c>
      <c r="O52" s="1025"/>
      <c r="P52" s="1025" t="s">
        <v>1312</v>
      </c>
      <c r="Q52" s="1003" t="s">
        <v>1313</v>
      </c>
      <c r="R52" s="1004"/>
      <c r="S52" s="1004"/>
      <c r="T52" s="1004"/>
      <c r="U52" s="1004"/>
      <c r="V52" s="1004"/>
      <c r="W52" s="665"/>
      <c r="X52" s="665"/>
      <c r="Y52" s="665"/>
      <c r="Z52" s="665"/>
      <c r="AA52" s="665"/>
      <c r="AB52" s="665"/>
      <c r="AC52" s="665"/>
      <c r="AD52" s="673"/>
    </row>
    <row r="53" spans="1:30" ht="12.75" x14ac:dyDescent="0.2">
      <c r="A53" s="1003" t="s">
        <v>264</v>
      </c>
      <c r="B53" s="1004">
        <v>1990</v>
      </c>
      <c r="C53" s="1004">
        <v>1991</v>
      </c>
      <c r="D53" s="1004">
        <v>1992</v>
      </c>
      <c r="E53" s="1004">
        <v>1993</v>
      </c>
      <c r="F53" s="1004">
        <v>1994</v>
      </c>
      <c r="G53" s="1004">
        <v>1995</v>
      </c>
      <c r="H53" s="1004">
        <v>1996</v>
      </c>
      <c r="I53" s="1004">
        <v>1997</v>
      </c>
      <c r="J53" s="1004">
        <v>1998</v>
      </c>
      <c r="K53" s="1004">
        <v>1999</v>
      </c>
      <c r="L53" s="1004">
        <v>2000</v>
      </c>
      <c r="M53" s="1004">
        <v>2001</v>
      </c>
      <c r="N53" s="1004">
        <v>2002</v>
      </c>
      <c r="O53" s="1004">
        <v>2003</v>
      </c>
      <c r="P53" s="1004">
        <v>2004</v>
      </c>
      <c r="Q53" s="1004">
        <v>2005</v>
      </c>
      <c r="R53" s="1004">
        <v>2006</v>
      </c>
      <c r="S53" s="1004">
        <v>2007</v>
      </c>
      <c r="T53" s="1004">
        <v>2008</v>
      </c>
      <c r="U53" s="1004">
        <v>2009</v>
      </c>
      <c r="V53" s="1004">
        <v>2010</v>
      </c>
      <c r="W53" s="665"/>
      <c r="X53" s="665"/>
      <c r="Y53" s="665"/>
      <c r="Z53" s="665"/>
      <c r="AA53" s="665"/>
      <c r="AB53" s="665"/>
      <c r="AC53" s="665"/>
      <c r="AD53" s="673"/>
    </row>
    <row r="54" spans="1:30" ht="12.75" x14ac:dyDescent="0.2">
      <c r="A54" s="1011" t="s">
        <v>480</v>
      </c>
      <c r="B54" s="665"/>
      <c r="C54" s="665"/>
      <c r="D54" s="1012"/>
      <c r="E54" s="1012"/>
      <c r="F54" s="665"/>
      <c r="G54" s="665"/>
      <c r="H54" s="665"/>
      <c r="I54" s="665"/>
      <c r="J54" s="1012"/>
      <c r="K54" s="665"/>
      <c r="L54" s="665"/>
      <c r="M54" s="1012"/>
      <c r="N54" s="1012"/>
      <c r="O54" s="1012"/>
      <c r="P54" s="1012"/>
      <c r="Q54" s="1012"/>
      <c r="R54" s="1012"/>
      <c r="S54" s="1012"/>
      <c r="T54" s="1012"/>
      <c r="U54" s="1012"/>
      <c r="V54" s="1012"/>
      <c r="W54" s="665"/>
      <c r="X54" s="665"/>
      <c r="Y54" s="665"/>
      <c r="Z54" s="665"/>
      <c r="AA54" s="665"/>
      <c r="AB54" s="665"/>
      <c r="AC54" s="665"/>
      <c r="AD54" s="673"/>
    </row>
    <row r="55" spans="1:30" ht="12.75" x14ac:dyDescent="0.2">
      <c r="A55" s="665" t="s">
        <v>1314</v>
      </c>
      <c r="B55" s="685">
        <v>4945</v>
      </c>
      <c r="C55" s="685">
        <v>4523</v>
      </c>
      <c r="D55" s="685">
        <v>4305</v>
      </c>
      <c r="E55" s="685">
        <v>5181</v>
      </c>
      <c r="F55" s="685">
        <v>5789</v>
      </c>
      <c r="G55" s="685">
        <v>6144</v>
      </c>
      <c r="H55" s="685">
        <v>5867</v>
      </c>
      <c r="I55" s="685">
        <v>6652</v>
      </c>
      <c r="J55" s="685">
        <v>6117</v>
      </c>
      <c r="K55" s="685">
        <v>6062</v>
      </c>
      <c r="L55" s="685">
        <v>6921</v>
      </c>
      <c r="M55" s="685">
        <v>7282</v>
      </c>
      <c r="N55" s="685">
        <v>7633</v>
      </c>
      <c r="O55" s="685">
        <v>7980</v>
      </c>
      <c r="P55" s="685">
        <v>11177</v>
      </c>
      <c r="Q55" s="685">
        <v>16581</v>
      </c>
      <c r="R55" s="685">
        <v>20563</v>
      </c>
      <c r="S55" s="685">
        <v>27447</v>
      </c>
      <c r="T55" s="685">
        <v>30129</v>
      </c>
      <c r="U55" s="685">
        <v>23500</v>
      </c>
      <c r="V55" s="685">
        <v>33436</v>
      </c>
      <c r="W55" s="665"/>
      <c r="X55" s="665"/>
      <c r="Y55" s="665"/>
      <c r="Z55" s="665"/>
      <c r="AA55" s="665"/>
      <c r="AB55" s="665"/>
      <c r="AC55" s="665"/>
      <c r="AD55" s="673"/>
    </row>
    <row r="56" spans="1:30" ht="12.75" x14ac:dyDescent="0.2">
      <c r="A56" s="1011" t="s">
        <v>200</v>
      </c>
      <c r="B56" s="665"/>
      <c r="C56" s="665"/>
      <c r="D56" s="665"/>
      <c r="E56" s="665"/>
      <c r="F56" s="665"/>
      <c r="G56" s="665"/>
      <c r="H56" s="665"/>
      <c r="I56" s="665"/>
      <c r="J56" s="665"/>
      <c r="K56" s="665"/>
      <c r="L56" s="665"/>
      <c r="M56" s="665"/>
      <c r="N56" s="665"/>
      <c r="O56" s="665"/>
      <c r="P56" s="665"/>
      <c r="Q56" s="665"/>
      <c r="R56" s="1015" t="s">
        <v>1315</v>
      </c>
      <c r="S56" s="1015"/>
      <c r="T56" s="1015"/>
      <c r="U56" s="1015"/>
      <c r="V56" s="1015"/>
      <c r="W56" s="665"/>
      <c r="X56" s="665"/>
      <c r="Y56" s="665"/>
      <c r="Z56" s="665"/>
      <c r="AA56" s="665"/>
      <c r="AB56" s="665"/>
      <c r="AC56" s="665"/>
      <c r="AD56" s="673"/>
    </row>
    <row r="57" spans="1:30" ht="12.75" x14ac:dyDescent="0.2">
      <c r="A57" s="665" t="s">
        <v>1314</v>
      </c>
      <c r="B57" s="685">
        <v>4855</v>
      </c>
      <c r="C57" s="685">
        <v>4497</v>
      </c>
      <c r="D57" s="685">
        <v>4254</v>
      </c>
      <c r="E57" s="685">
        <v>5257</v>
      </c>
      <c r="F57" s="685">
        <v>5472</v>
      </c>
      <c r="G57" s="685">
        <v>6194</v>
      </c>
      <c r="H57" s="685">
        <v>5921</v>
      </c>
      <c r="I57" s="685">
        <v>6453</v>
      </c>
      <c r="J57" s="685">
        <v>6437</v>
      </c>
      <c r="K57" s="685">
        <v>5725</v>
      </c>
      <c r="L57" s="685">
        <v>7083</v>
      </c>
      <c r="M57" s="685">
        <v>7253</v>
      </c>
      <c r="N57" s="685">
        <v>7618</v>
      </c>
      <c r="O57" s="685">
        <v>7894</v>
      </c>
      <c r="P57" s="685">
        <v>10454</v>
      </c>
      <c r="Q57" s="685">
        <v>15154</v>
      </c>
      <c r="R57" s="685">
        <v>18914</v>
      </c>
      <c r="S57" s="685">
        <v>25140</v>
      </c>
      <c r="T57" s="685">
        <v>31660</v>
      </c>
      <c r="U57" s="685">
        <v>25909</v>
      </c>
      <c r="V57" s="685">
        <v>29156</v>
      </c>
      <c r="W57" s="665"/>
      <c r="X57" s="665"/>
      <c r="Y57" s="665"/>
      <c r="Z57" s="665"/>
      <c r="AA57" s="665"/>
      <c r="AB57" s="665"/>
      <c r="AC57" s="665"/>
      <c r="AD57" s="673"/>
    </row>
    <row r="58" spans="1:30" ht="12.75" x14ac:dyDescent="0.2">
      <c r="A58" s="1011" t="s">
        <v>192</v>
      </c>
      <c r="B58" s="685"/>
      <c r="C58" s="685"/>
      <c r="D58" s="685"/>
      <c r="E58" s="685"/>
      <c r="F58" s="685"/>
      <c r="G58" s="685"/>
      <c r="H58" s="685"/>
      <c r="I58" s="685"/>
      <c r="J58" s="685"/>
      <c r="K58" s="685"/>
      <c r="L58" s="685"/>
      <c r="M58" s="685"/>
      <c r="N58" s="685"/>
      <c r="O58" s="685"/>
      <c r="P58" s="685"/>
      <c r="Q58" s="1018"/>
      <c r="R58" s="1018"/>
      <c r="S58" s="1018"/>
      <c r="T58" s="1018"/>
      <c r="U58" s="1018"/>
      <c r="V58" s="1018"/>
      <c r="W58" s="665"/>
      <c r="X58" s="665"/>
      <c r="Y58" s="665"/>
      <c r="Z58" s="665"/>
      <c r="AA58" s="665"/>
      <c r="AB58" s="665"/>
      <c r="AC58" s="665"/>
      <c r="AD58" s="673"/>
    </row>
    <row r="59" spans="1:30" ht="12.75" x14ac:dyDescent="0.2">
      <c r="A59" s="665" t="s">
        <v>1314</v>
      </c>
      <c r="B59" s="685">
        <v>-2</v>
      </c>
      <c r="C59" s="685">
        <v>-53</v>
      </c>
      <c r="D59" s="685">
        <v>158</v>
      </c>
      <c r="E59" s="685">
        <v>102</v>
      </c>
      <c r="F59" s="685">
        <v>58</v>
      </c>
      <c r="G59" s="685">
        <v>394</v>
      </c>
      <c r="H59" s="685">
        <v>396</v>
      </c>
      <c r="I59" s="685">
        <v>387</v>
      </c>
      <c r="J59" s="685">
        <v>498</v>
      </c>
      <c r="K59" s="685">
        <v>397</v>
      </c>
      <c r="L59" s="685">
        <v>650</v>
      </c>
      <c r="M59" s="685">
        <v>736</v>
      </c>
      <c r="N59" s="685">
        <v>680</v>
      </c>
      <c r="O59" s="685">
        <v>675</v>
      </c>
      <c r="P59" s="685">
        <v>1115</v>
      </c>
      <c r="Q59" s="685">
        <v>2073</v>
      </c>
      <c r="R59" s="685">
        <v>3010</v>
      </c>
      <c r="S59" s="685">
        <v>4384</v>
      </c>
      <c r="T59" s="685">
        <v>5602</v>
      </c>
      <c r="U59" s="685">
        <v>3470</v>
      </c>
      <c r="V59" s="685">
        <v>5243</v>
      </c>
      <c r="W59" s="665"/>
      <c r="X59" s="665"/>
      <c r="Y59" s="665"/>
      <c r="Z59" s="665"/>
      <c r="AA59" s="665"/>
      <c r="AB59" s="665"/>
      <c r="AC59" s="665"/>
      <c r="AD59" s="673"/>
    </row>
    <row r="60" spans="1:30" ht="12.75" x14ac:dyDescent="0.2">
      <c r="A60" s="1011" t="s">
        <v>279</v>
      </c>
      <c r="B60" s="685"/>
      <c r="C60" s="685"/>
      <c r="D60" s="685"/>
      <c r="E60" s="685"/>
      <c r="F60" s="685"/>
      <c r="G60" s="685"/>
      <c r="H60" s="685"/>
      <c r="I60" s="685"/>
      <c r="J60" s="685"/>
      <c r="K60" s="685"/>
      <c r="L60" s="685"/>
      <c r="M60" s="685"/>
      <c r="N60" s="685"/>
      <c r="O60" s="685"/>
      <c r="P60" s="685"/>
      <c r="Q60" s="685"/>
      <c r="R60" s="685"/>
      <c r="S60" s="685"/>
      <c r="T60" s="685"/>
      <c r="U60" s="685"/>
      <c r="V60" s="685"/>
      <c r="W60" s="665"/>
      <c r="X60" s="665"/>
      <c r="Y60" s="665"/>
      <c r="Z60" s="665"/>
      <c r="AA60" s="665"/>
      <c r="AB60" s="665"/>
      <c r="AC60" s="665"/>
      <c r="AD60" s="673"/>
    </row>
    <row r="61" spans="1:30" ht="12.75" x14ac:dyDescent="0.2">
      <c r="A61" s="665" t="s">
        <v>1314</v>
      </c>
      <c r="B61" s="1020">
        <v>-4.1194644696189496E-4</v>
      </c>
      <c r="C61" s="1020">
        <v>-1.1785634867689571E-2</v>
      </c>
      <c r="D61" s="1020">
        <v>3.7141513869299481E-2</v>
      </c>
      <c r="E61" s="1020">
        <v>1.9402701160357617E-2</v>
      </c>
      <c r="F61" s="1020">
        <v>1.0599415204678362E-2</v>
      </c>
      <c r="G61" s="1020">
        <v>6.3609945108169197E-2</v>
      </c>
      <c r="H61" s="1020">
        <v>6.6880594494173287E-2</v>
      </c>
      <c r="I61" s="1020">
        <v>5.9972105997210597E-2</v>
      </c>
      <c r="J61" s="1020">
        <v>7.7365232251048618E-2</v>
      </c>
      <c r="K61" s="1020">
        <v>6.9344978165938861E-2</v>
      </c>
      <c r="L61" s="1020">
        <v>9.1769024424678811E-2</v>
      </c>
      <c r="M61" s="1020">
        <v>0.1014752516200193</v>
      </c>
      <c r="N61" s="1020">
        <v>8.9262273562614861E-2</v>
      </c>
      <c r="O61" s="1020">
        <v>8.5507980744869524E-2</v>
      </c>
      <c r="P61" s="1020">
        <v>0.10665773866462598</v>
      </c>
      <c r="Q61" s="1020">
        <v>0.13679556552725353</v>
      </c>
      <c r="R61" s="1020">
        <v>0.15914137675795706</v>
      </c>
      <c r="S61" s="1020">
        <v>0.17438345266507557</v>
      </c>
      <c r="T61" s="1020">
        <v>0.17694251421351864</v>
      </c>
      <c r="U61" s="1020">
        <v>0.13393029449226138</v>
      </c>
      <c r="V61" s="1020">
        <v>0.17982576485114557</v>
      </c>
      <c r="W61" s="665"/>
      <c r="X61" s="665"/>
      <c r="Y61" s="665"/>
      <c r="Z61" s="665"/>
      <c r="AA61" s="665"/>
      <c r="AB61" s="665"/>
      <c r="AC61" s="665"/>
      <c r="AD61" s="673"/>
    </row>
    <row r="62" spans="1:30" ht="12.75" x14ac:dyDescent="0.2">
      <c r="A62" s="1011" t="s">
        <v>73</v>
      </c>
      <c r="B62" s="685">
        <v>-194</v>
      </c>
      <c r="C62" s="685">
        <v>-190</v>
      </c>
      <c r="D62" s="685">
        <v>-100</v>
      </c>
      <c r="E62" s="685">
        <v>-100</v>
      </c>
      <c r="F62" s="685">
        <v>0</v>
      </c>
      <c r="G62" s="685">
        <v>0</v>
      </c>
      <c r="H62" s="685">
        <v>0</v>
      </c>
      <c r="I62" s="685">
        <v>0</v>
      </c>
      <c r="J62" s="685">
        <v>0</v>
      </c>
      <c r="K62" s="685">
        <v>83</v>
      </c>
      <c r="L62" s="685">
        <v>-26</v>
      </c>
      <c r="M62" s="685">
        <v>-260</v>
      </c>
      <c r="N62" s="685">
        <v>389</v>
      </c>
      <c r="O62" s="685">
        <v>77</v>
      </c>
      <c r="P62" s="685">
        <v>-58</v>
      </c>
      <c r="Q62" s="685">
        <v>0</v>
      </c>
      <c r="R62" s="685">
        <v>-83</v>
      </c>
      <c r="S62" s="685">
        <v>70</v>
      </c>
      <c r="T62" s="685">
        <v>-292</v>
      </c>
      <c r="U62" s="685">
        <v>-569</v>
      </c>
      <c r="V62" s="685">
        <v>-100</v>
      </c>
      <c r="W62" s="665"/>
      <c r="X62" s="665"/>
      <c r="Y62" s="665"/>
      <c r="Z62" s="665"/>
      <c r="AA62" s="665"/>
      <c r="AB62" s="665"/>
      <c r="AC62" s="665"/>
      <c r="AD62" s="673"/>
    </row>
    <row r="63" spans="1:30" ht="12.75" x14ac:dyDescent="0.2">
      <c r="A63" s="665" t="s">
        <v>1314</v>
      </c>
      <c r="B63" s="685"/>
      <c r="C63" s="685"/>
      <c r="D63" s="685"/>
      <c r="E63" s="685"/>
      <c r="F63" s="685"/>
      <c r="G63" s="685"/>
      <c r="H63" s="685"/>
      <c r="I63" s="685"/>
      <c r="J63" s="685"/>
      <c r="K63" s="685"/>
      <c r="L63" s="685"/>
      <c r="M63" s="685"/>
      <c r="N63" s="685">
        <v>-68</v>
      </c>
      <c r="O63" s="685">
        <v>-54</v>
      </c>
      <c r="P63" s="685">
        <v>-58</v>
      </c>
      <c r="Q63" s="685"/>
      <c r="R63" s="1015"/>
      <c r="S63" s="685"/>
      <c r="T63" s="685">
        <v>-110</v>
      </c>
      <c r="U63" s="685">
        <v>-143</v>
      </c>
      <c r="V63" s="685">
        <v>-100</v>
      </c>
      <c r="W63" s="665"/>
      <c r="X63" s="665"/>
      <c r="Y63" s="665"/>
      <c r="Z63" s="665"/>
      <c r="AA63" s="665"/>
      <c r="AB63" s="665"/>
      <c r="AC63" s="665"/>
      <c r="AD63" s="673"/>
    </row>
    <row r="64" spans="1:30" ht="12.75" x14ac:dyDescent="0.2">
      <c r="A64" s="1011" t="s">
        <v>1300</v>
      </c>
      <c r="B64" s="685"/>
      <c r="C64" s="685"/>
      <c r="D64" s="685"/>
      <c r="E64" s="685"/>
      <c r="F64" s="685"/>
      <c r="G64" s="685"/>
      <c r="H64" s="685"/>
      <c r="I64" s="685"/>
      <c r="J64" s="685"/>
      <c r="K64" s="685"/>
      <c r="L64" s="685"/>
      <c r="M64" s="685"/>
      <c r="N64" s="685"/>
      <c r="O64" s="685"/>
      <c r="P64" s="685"/>
      <c r="Q64" s="685"/>
      <c r="R64" s="1015"/>
      <c r="S64" s="1015"/>
      <c r="T64" s="1015"/>
      <c r="U64" s="1015"/>
      <c r="V64" s="1015"/>
      <c r="W64" s="665"/>
      <c r="X64" s="665"/>
      <c r="Y64" s="665"/>
      <c r="Z64" s="665"/>
      <c r="AA64" s="665"/>
      <c r="AB64" s="665"/>
      <c r="AC64" s="665"/>
      <c r="AD64" s="673"/>
    </row>
    <row r="65" spans="1:30" ht="12.75" x14ac:dyDescent="0.2">
      <c r="A65" s="665" t="s">
        <v>1314</v>
      </c>
      <c r="B65" s="1020">
        <v>-4.1194644696189496E-4</v>
      </c>
      <c r="C65" s="1020">
        <v>-1.1785634867689571E-2</v>
      </c>
      <c r="D65" s="1020">
        <v>3.7141513869299481E-2</v>
      </c>
      <c r="E65" s="1020">
        <v>1.9402701160357617E-2</v>
      </c>
      <c r="F65" s="1020">
        <v>1.0599415204678362E-2</v>
      </c>
      <c r="G65" s="1020">
        <v>6.3609945108169197E-2</v>
      </c>
      <c r="H65" s="1020">
        <v>6.6880594494173287E-2</v>
      </c>
      <c r="I65" s="1020">
        <v>5.9972105997210597E-2</v>
      </c>
      <c r="J65" s="1020">
        <v>7.7365232251048618E-2</v>
      </c>
      <c r="K65" s="1020">
        <v>6.9344978165938861E-2</v>
      </c>
      <c r="L65" s="1020">
        <v>9.1769024424678811E-2</v>
      </c>
      <c r="M65" s="1020">
        <v>0.1014752516200193</v>
      </c>
      <c r="N65" s="1020">
        <v>9.8188500918876348E-2</v>
      </c>
      <c r="O65" s="1020">
        <v>9.2348619204459081E-2</v>
      </c>
      <c r="P65" s="1020">
        <v>0.11220585421848096</v>
      </c>
      <c r="Q65" s="1020">
        <v>0.13679556552725353</v>
      </c>
      <c r="R65" s="1020">
        <v>0.15914137675795706</v>
      </c>
      <c r="S65" s="1020">
        <v>0.17438345266507557</v>
      </c>
      <c r="T65" s="1020">
        <v>0.18041692987997474</v>
      </c>
      <c r="U65" s="1020">
        <v>0.13944961210390211</v>
      </c>
      <c r="V65" s="1020">
        <v>0.18325559061599669</v>
      </c>
      <c r="W65" s="665"/>
      <c r="X65" s="665"/>
      <c r="Y65" s="665"/>
      <c r="Z65" s="665"/>
      <c r="AA65" s="665"/>
      <c r="AB65" s="665"/>
      <c r="AC65" s="665"/>
      <c r="AD65" s="673"/>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heetViews>
  <sheetFormatPr defaultColWidth="10" defaultRowHeight="13.35" customHeight="1" x14ac:dyDescent="0.2"/>
  <cols>
    <col min="1" max="1" width="35.140625" bestFit="1" customWidth="1"/>
    <col min="2" max="2" width="46.85546875" customWidth="1"/>
    <col min="3" max="3" width="53.42578125" bestFit="1" customWidth="1"/>
  </cols>
  <sheetData>
    <row r="1" spans="1:3" ht="16.5" thickBot="1" x14ac:dyDescent="0.3">
      <c r="A1" s="16" t="s">
        <v>31</v>
      </c>
      <c r="B1" s="17"/>
      <c r="C1" s="18"/>
    </row>
    <row r="2" spans="1:3" ht="14.25" thickTop="1" thickBot="1" x14ac:dyDescent="0.25">
      <c r="A2" s="19" t="s">
        <v>32</v>
      </c>
      <c r="B2" s="20"/>
      <c r="C2" s="20"/>
    </row>
    <row r="3" spans="1:3" ht="53.85" customHeight="1" thickTop="1" x14ac:dyDescent="0.2">
      <c r="A3" s="1029" t="s">
        <v>33</v>
      </c>
      <c r="B3" s="1029"/>
      <c r="C3" s="1029"/>
    </row>
    <row r="4" spans="1:3" ht="53.85" customHeight="1" x14ac:dyDescent="0.2">
      <c r="A4" s="1029" t="s">
        <v>34</v>
      </c>
      <c r="B4" s="1029"/>
      <c r="C4" s="1029"/>
    </row>
    <row r="5" spans="1:3" ht="53.85" customHeight="1" x14ac:dyDescent="0.2">
      <c r="A5" s="1030" t="s">
        <v>35</v>
      </c>
      <c r="B5" s="1029"/>
      <c r="C5" s="1029"/>
    </row>
    <row r="6" spans="1:3" ht="21.6" customHeight="1" x14ac:dyDescent="0.2">
      <c r="A6" s="21" t="s">
        <v>36</v>
      </c>
      <c r="B6" s="21" t="s">
        <v>37</v>
      </c>
      <c r="C6" s="21" t="s">
        <v>38</v>
      </c>
    </row>
    <row r="7" spans="1:3" ht="21.6" customHeight="1" x14ac:dyDescent="0.2">
      <c r="A7" s="22" t="s">
        <v>39</v>
      </c>
      <c r="B7" s="22" t="s">
        <v>40</v>
      </c>
      <c r="C7" s="22" t="s">
        <v>41</v>
      </c>
    </row>
    <row r="8" spans="1:3" ht="21.6" customHeight="1" x14ac:dyDescent="0.2">
      <c r="A8" s="22" t="s">
        <v>42</v>
      </c>
      <c r="B8" s="22" t="s">
        <v>43</v>
      </c>
      <c r="C8" s="22" t="s">
        <v>44</v>
      </c>
    </row>
    <row r="9" spans="1:3" ht="12.75" x14ac:dyDescent="0.2">
      <c r="A9" s="22" t="s">
        <v>45</v>
      </c>
      <c r="B9" s="22" t="s">
        <v>46</v>
      </c>
      <c r="C9" s="22" t="s">
        <v>47</v>
      </c>
    </row>
    <row r="10" spans="1:3" ht="24" x14ac:dyDescent="0.2">
      <c r="A10" s="22" t="s">
        <v>48</v>
      </c>
      <c r="B10" s="22" t="s">
        <v>49</v>
      </c>
      <c r="C10" s="22" t="s">
        <v>50</v>
      </c>
    </row>
    <row r="11" spans="1:3" ht="37.5" x14ac:dyDescent="0.2">
      <c r="A11" s="22" t="s">
        <v>51</v>
      </c>
      <c r="B11" s="22" t="s">
        <v>52</v>
      </c>
      <c r="C11" s="22" t="s">
        <v>53</v>
      </c>
    </row>
    <row r="12" spans="1:3" ht="24" x14ac:dyDescent="0.2">
      <c r="A12" s="22" t="s">
        <v>54</v>
      </c>
      <c r="B12" s="22" t="s">
        <v>55</v>
      </c>
      <c r="C12" s="22" t="s">
        <v>56</v>
      </c>
    </row>
    <row r="13" spans="1:3" ht="41.85" customHeight="1" x14ac:dyDescent="0.2">
      <c r="A13" s="22" t="s">
        <v>57</v>
      </c>
      <c r="B13" s="22" t="s">
        <v>58</v>
      </c>
      <c r="C13" s="22" t="s">
        <v>59</v>
      </c>
    </row>
    <row r="14" spans="1:3" ht="41.85" customHeight="1" x14ac:dyDescent="0.2">
      <c r="A14" s="22" t="s">
        <v>60</v>
      </c>
      <c r="B14" s="22" t="s">
        <v>61</v>
      </c>
      <c r="C14" s="22" t="s">
        <v>62</v>
      </c>
    </row>
    <row r="15" spans="1:3" ht="36" x14ac:dyDescent="0.2">
      <c r="A15" s="22" t="s">
        <v>63</v>
      </c>
      <c r="B15" s="22" t="s">
        <v>64</v>
      </c>
      <c r="C15" s="22" t="s">
        <v>62</v>
      </c>
    </row>
    <row r="16" spans="1:3" ht="39.75" customHeight="1" x14ac:dyDescent="0.2">
      <c r="A16" s="22" t="s">
        <v>65</v>
      </c>
      <c r="B16" s="22" t="s">
        <v>66</v>
      </c>
      <c r="C16" s="22" t="s">
        <v>62</v>
      </c>
    </row>
    <row r="17" spans="1:3" ht="24" x14ac:dyDescent="0.2">
      <c r="A17" s="22" t="s">
        <v>67</v>
      </c>
      <c r="B17" s="22" t="s">
        <v>68</v>
      </c>
      <c r="C17" s="22" t="s">
        <v>69</v>
      </c>
    </row>
    <row r="18" spans="1:3" ht="24" x14ac:dyDescent="0.2">
      <c r="A18" s="22" t="s">
        <v>70</v>
      </c>
      <c r="B18" s="22" t="s">
        <v>71</v>
      </c>
      <c r="C18" s="22" t="s">
        <v>72</v>
      </c>
    </row>
    <row r="19" spans="1:3" ht="48" x14ac:dyDescent="0.2">
      <c r="A19" s="22" t="s">
        <v>73</v>
      </c>
      <c r="B19" s="22" t="s">
        <v>74</v>
      </c>
      <c r="C19" s="22" t="s">
        <v>75</v>
      </c>
    </row>
    <row r="20" spans="1:3" ht="12.75" x14ac:dyDescent="0.2">
      <c r="A20" s="22" t="s">
        <v>76</v>
      </c>
      <c r="B20" s="22" t="s">
        <v>77</v>
      </c>
      <c r="C20" s="22" t="s">
        <v>78</v>
      </c>
    </row>
    <row r="21" spans="1:3" ht="48" x14ac:dyDescent="0.2">
      <c r="A21" s="22" t="s">
        <v>79</v>
      </c>
      <c r="B21" s="22" t="s">
        <v>80</v>
      </c>
      <c r="C21" s="22" t="s">
        <v>81</v>
      </c>
    </row>
    <row r="22" spans="1:3" ht="13.5" x14ac:dyDescent="0.2">
      <c r="A22" s="22" t="s">
        <v>82</v>
      </c>
      <c r="B22" s="22" t="s">
        <v>83</v>
      </c>
      <c r="C22" s="22" t="s">
        <v>84</v>
      </c>
    </row>
    <row r="23" spans="1:3" ht="24" x14ac:dyDescent="0.2">
      <c r="A23" s="22" t="s">
        <v>85</v>
      </c>
      <c r="B23" s="22" t="s">
        <v>86</v>
      </c>
      <c r="C23" s="22" t="s">
        <v>87</v>
      </c>
    </row>
    <row r="24" spans="1:3" ht="24" x14ac:dyDescent="0.2">
      <c r="A24" s="22" t="s">
        <v>88</v>
      </c>
      <c r="B24" s="22" t="s">
        <v>89</v>
      </c>
      <c r="C24" s="22" t="s">
        <v>90</v>
      </c>
    </row>
    <row r="25" spans="1:3" ht="36" x14ac:dyDescent="0.2">
      <c r="A25" s="22" t="s">
        <v>91</v>
      </c>
      <c r="B25" s="22" t="s">
        <v>92</v>
      </c>
      <c r="C25" s="22" t="s">
        <v>93</v>
      </c>
    </row>
    <row r="26" spans="1:3" ht="36" x14ac:dyDescent="0.2">
      <c r="A26" s="22" t="s">
        <v>94</v>
      </c>
      <c r="B26" s="22" t="s">
        <v>95</v>
      </c>
      <c r="C26" s="22" t="s">
        <v>96</v>
      </c>
    </row>
    <row r="27" spans="1:3" ht="24" x14ac:dyDescent="0.2">
      <c r="A27" s="22" t="s">
        <v>97</v>
      </c>
      <c r="B27" s="22" t="s">
        <v>98</v>
      </c>
      <c r="C27" s="22" t="s">
        <v>99</v>
      </c>
    </row>
    <row r="28" spans="1:3" ht="24" x14ac:dyDescent="0.2">
      <c r="A28" s="22" t="s">
        <v>100</v>
      </c>
      <c r="B28" s="22" t="s">
        <v>101</v>
      </c>
      <c r="C28" s="22" t="s">
        <v>102</v>
      </c>
    </row>
    <row r="29" spans="1:3" ht="60" x14ac:dyDescent="0.2">
      <c r="A29" s="22" t="s">
        <v>103</v>
      </c>
      <c r="B29" s="22" t="s">
        <v>104</v>
      </c>
      <c r="C29" s="22" t="s">
        <v>105</v>
      </c>
    </row>
    <row r="30" spans="1:3" ht="24" x14ac:dyDescent="0.2">
      <c r="A30" s="22" t="s">
        <v>106</v>
      </c>
      <c r="B30" s="22" t="s">
        <v>107</v>
      </c>
      <c r="C30" s="22" t="s">
        <v>108</v>
      </c>
    </row>
    <row r="31" spans="1:3" ht="36" x14ac:dyDescent="0.2">
      <c r="A31" s="22" t="s">
        <v>109</v>
      </c>
      <c r="B31" s="22" t="s">
        <v>110</v>
      </c>
      <c r="C31" s="22" t="s">
        <v>111</v>
      </c>
    </row>
    <row r="32" spans="1:3" ht="24" x14ac:dyDescent="0.2">
      <c r="A32" s="22" t="s">
        <v>112</v>
      </c>
      <c r="B32" s="22" t="s">
        <v>113</v>
      </c>
      <c r="C32" s="22" t="s">
        <v>114</v>
      </c>
    </row>
    <row r="33" spans="1:3" ht="12.75" x14ac:dyDescent="0.2">
      <c r="A33" s="22" t="s">
        <v>115</v>
      </c>
      <c r="B33" s="22" t="s">
        <v>116</v>
      </c>
      <c r="C33" s="22" t="s">
        <v>117</v>
      </c>
    </row>
    <row r="34" spans="1:3" ht="24" x14ac:dyDescent="0.2">
      <c r="A34" s="22" t="s">
        <v>118</v>
      </c>
      <c r="B34" s="22" t="s">
        <v>119</v>
      </c>
      <c r="C34" s="22" t="s">
        <v>120</v>
      </c>
    </row>
    <row r="35" spans="1:3" ht="27" x14ac:dyDescent="0.2">
      <c r="A35" s="22" t="s">
        <v>121</v>
      </c>
      <c r="B35" s="22" t="s">
        <v>122</v>
      </c>
      <c r="C35" s="22" t="s">
        <v>123</v>
      </c>
    </row>
    <row r="36" spans="1:3" ht="12.75" x14ac:dyDescent="0.2">
      <c r="A36" s="23"/>
      <c r="B36" s="20"/>
      <c r="C36" s="20"/>
    </row>
    <row r="37" spans="1:3" ht="14.25" x14ac:dyDescent="0.2">
      <c r="A37" s="24" t="s">
        <v>124</v>
      </c>
      <c r="B37" s="25"/>
      <c r="C37" s="20"/>
    </row>
    <row r="38" spans="1:3" ht="14.25" x14ac:dyDescent="0.2">
      <c r="A38" s="24" t="s">
        <v>125</v>
      </c>
      <c r="B38" s="25"/>
      <c r="C38" s="20"/>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Q123"/>
  <sheetViews>
    <sheetView showGridLines="0" workbookViewId="0"/>
  </sheetViews>
  <sheetFormatPr defaultColWidth="10" defaultRowHeight="13.35" customHeight="1" x14ac:dyDescent="0.2"/>
  <cols>
    <col min="1" max="1" width="55.140625" customWidth="1"/>
    <col min="2" max="3" width="8.42578125" bestFit="1" customWidth="1"/>
    <col min="4" max="4" width="9.5703125" bestFit="1" customWidth="1"/>
    <col min="5" max="11" width="8.42578125" bestFit="1" customWidth="1"/>
    <col min="12" max="12" width="10.140625" customWidth="1"/>
    <col min="13" max="13" width="9.5703125" customWidth="1"/>
    <col min="14" max="20" width="7.140625" customWidth="1"/>
    <col min="21" max="31" width="5.85546875" customWidth="1"/>
    <col min="32" max="32" width="5.5703125" bestFit="1" customWidth="1"/>
    <col min="33" max="36" width="6.140625" customWidth="1"/>
    <col min="37" max="37" width="7.140625" bestFit="1" customWidth="1"/>
    <col min="38" max="40" width="6.140625" customWidth="1"/>
    <col min="41" max="41" width="7.140625" bestFit="1" customWidth="1"/>
    <col min="42" max="43" width="6.140625" customWidth="1"/>
  </cols>
  <sheetData>
    <row r="1" spans="1:43" ht="16.5" thickBot="1" x14ac:dyDescent="0.3">
      <c r="A1" s="1" t="s">
        <v>126</v>
      </c>
      <c r="B1" s="26" t="s">
        <v>127</v>
      </c>
      <c r="C1" s="27"/>
      <c r="D1" s="28"/>
      <c r="E1" s="27"/>
      <c r="F1" s="27"/>
      <c r="G1" s="27"/>
      <c r="H1" s="27"/>
      <c r="I1" s="27"/>
      <c r="J1" s="27"/>
      <c r="K1" s="27"/>
      <c r="L1" s="29"/>
      <c r="M1" s="26" t="s">
        <v>128</v>
      </c>
      <c r="N1" s="27"/>
      <c r="O1" s="27"/>
      <c r="P1" s="30"/>
      <c r="Q1" s="27"/>
      <c r="R1" s="27"/>
      <c r="S1" s="27"/>
      <c r="T1" s="30"/>
      <c r="U1" s="27"/>
      <c r="V1" s="27"/>
      <c r="W1" s="27"/>
      <c r="X1" s="30"/>
      <c r="Y1" s="27"/>
      <c r="Z1" s="27"/>
      <c r="AA1" s="27"/>
      <c r="AB1" s="30"/>
      <c r="AC1" s="27"/>
      <c r="AD1" s="27"/>
      <c r="AE1" s="27"/>
      <c r="AF1" s="30"/>
      <c r="AG1" s="27"/>
      <c r="AH1" s="27"/>
      <c r="AI1" s="27"/>
      <c r="AJ1" s="30"/>
      <c r="AK1" s="27"/>
      <c r="AL1" s="27"/>
      <c r="AM1" s="27"/>
      <c r="AN1" s="30"/>
      <c r="AO1" s="27"/>
      <c r="AP1" s="27"/>
      <c r="AQ1" s="27"/>
    </row>
    <row r="2" spans="1:43" ht="14.25" thickTop="1" thickBot="1" x14ac:dyDescent="0.25">
      <c r="A2" s="19" t="s">
        <v>32</v>
      </c>
      <c r="B2" s="31"/>
      <c r="C2" s="32"/>
      <c r="D2" s="33"/>
      <c r="E2" s="32"/>
      <c r="F2" s="32"/>
      <c r="G2" s="32"/>
      <c r="H2" s="32"/>
      <c r="I2" s="32"/>
      <c r="J2" s="32"/>
      <c r="K2" s="32"/>
      <c r="L2" s="32"/>
      <c r="M2" s="32"/>
      <c r="N2" s="32"/>
      <c r="O2" s="32"/>
      <c r="P2" s="34"/>
      <c r="Q2" s="32"/>
      <c r="R2" s="32"/>
      <c r="S2" s="32"/>
      <c r="T2" s="34"/>
      <c r="U2" s="32"/>
      <c r="V2" s="32"/>
      <c r="W2" s="32"/>
      <c r="X2" s="34"/>
      <c r="Y2" s="32"/>
      <c r="Z2" s="32"/>
      <c r="AA2" s="32"/>
      <c r="AB2" s="34"/>
      <c r="AC2" s="32"/>
      <c r="AD2" s="32"/>
      <c r="AE2" s="32"/>
      <c r="AF2" s="34"/>
      <c r="AG2" s="32"/>
      <c r="AH2" s="32"/>
      <c r="AI2" s="32"/>
      <c r="AJ2" s="34"/>
      <c r="AK2" s="32"/>
      <c r="AL2" s="32"/>
      <c r="AM2" s="32"/>
      <c r="AN2" s="34"/>
      <c r="AO2" s="32"/>
      <c r="AP2" s="32"/>
      <c r="AQ2" s="32"/>
    </row>
    <row r="3" spans="1:43" ht="13.5" thickTop="1" x14ac:dyDescent="0.2">
      <c r="A3" s="35" t="s">
        <v>129</v>
      </c>
      <c r="B3" s="35">
        <v>2015</v>
      </c>
      <c r="C3" s="35">
        <v>2016</v>
      </c>
      <c r="D3" s="36" t="s">
        <v>130</v>
      </c>
      <c r="E3" s="35">
        <v>2018</v>
      </c>
      <c r="F3" s="35">
        <v>2019</v>
      </c>
      <c r="G3" s="35">
        <v>2020</v>
      </c>
      <c r="H3" s="35">
        <v>2021</v>
      </c>
      <c r="I3" s="35">
        <v>2022</v>
      </c>
      <c r="J3" s="35">
        <v>2023</v>
      </c>
      <c r="K3" s="35">
        <v>2024</v>
      </c>
      <c r="L3" s="36"/>
      <c r="M3" s="36" t="s">
        <v>131</v>
      </c>
      <c r="N3" s="36" t="s">
        <v>132</v>
      </c>
      <c r="O3" s="36" t="s">
        <v>133</v>
      </c>
      <c r="P3" s="37" t="s">
        <v>134</v>
      </c>
      <c r="Q3" s="36" t="s">
        <v>135</v>
      </c>
      <c r="R3" s="36" t="s">
        <v>136</v>
      </c>
      <c r="S3" s="36" t="s">
        <v>137</v>
      </c>
      <c r="T3" s="37" t="s">
        <v>138</v>
      </c>
      <c r="U3" s="36" t="s">
        <v>139</v>
      </c>
      <c r="V3" s="36" t="s">
        <v>140</v>
      </c>
      <c r="W3" s="36" t="s">
        <v>141</v>
      </c>
      <c r="X3" s="37" t="s">
        <v>142</v>
      </c>
      <c r="Y3" s="36" t="s">
        <v>143</v>
      </c>
      <c r="Z3" s="36" t="s">
        <v>144</v>
      </c>
      <c r="AA3" s="36" t="s">
        <v>145</v>
      </c>
      <c r="AB3" s="37" t="s">
        <v>146</v>
      </c>
      <c r="AC3" s="36" t="s">
        <v>147</v>
      </c>
      <c r="AD3" s="36" t="s">
        <v>148</v>
      </c>
      <c r="AE3" s="36" t="s">
        <v>149</v>
      </c>
      <c r="AF3" s="37" t="s">
        <v>150</v>
      </c>
      <c r="AG3" s="36" t="s">
        <v>151</v>
      </c>
      <c r="AH3" s="36" t="s">
        <v>152</v>
      </c>
      <c r="AI3" s="36" t="s">
        <v>153</v>
      </c>
      <c r="AJ3" s="37" t="s">
        <v>154</v>
      </c>
      <c r="AK3" s="36" t="s">
        <v>155</v>
      </c>
      <c r="AL3" s="36" t="s">
        <v>156</v>
      </c>
      <c r="AM3" s="36" t="s">
        <v>157</v>
      </c>
      <c r="AN3" s="37" t="s">
        <v>158</v>
      </c>
      <c r="AO3" s="36" t="s">
        <v>159</v>
      </c>
      <c r="AP3" s="36" t="s">
        <v>160</v>
      </c>
      <c r="AQ3" s="36" t="s">
        <v>161</v>
      </c>
    </row>
    <row r="4" spans="1:43" ht="12.75" x14ac:dyDescent="0.2">
      <c r="A4" s="38" t="s">
        <v>162</v>
      </c>
      <c r="B4" s="39">
        <v>27551</v>
      </c>
      <c r="C4" s="39">
        <v>27634</v>
      </c>
      <c r="D4" s="39">
        <v>33831</v>
      </c>
      <c r="E4" s="39">
        <v>39400</v>
      </c>
      <c r="F4" s="39">
        <v>39492</v>
      </c>
      <c r="G4" s="39">
        <v>36579</v>
      </c>
      <c r="H4" s="39">
        <v>45648</v>
      </c>
      <c r="I4" s="39">
        <v>53222</v>
      </c>
      <c r="J4" s="39">
        <v>59332</v>
      </c>
      <c r="K4" s="39">
        <v>62213</v>
      </c>
      <c r="L4" s="39"/>
      <c r="M4" s="39">
        <v>10036</v>
      </c>
      <c r="N4" s="39">
        <v>10483</v>
      </c>
      <c r="O4" s="39">
        <v>9413</v>
      </c>
      <c r="P4" s="40">
        <v>9468</v>
      </c>
      <c r="Q4" s="39">
        <v>10063</v>
      </c>
      <c r="R4" s="39">
        <v>10553</v>
      </c>
      <c r="S4" s="39">
        <v>9600</v>
      </c>
      <c r="T4" s="40">
        <v>9276</v>
      </c>
      <c r="U4" s="39">
        <v>9772</v>
      </c>
      <c r="V4" s="39">
        <v>8105</v>
      </c>
      <c r="W4" s="39">
        <v>9373</v>
      </c>
      <c r="X4" s="40">
        <v>9329</v>
      </c>
      <c r="Y4" s="39">
        <v>10690</v>
      </c>
      <c r="Z4" s="39">
        <v>11070</v>
      </c>
      <c r="AA4" s="39">
        <v>12245</v>
      </c>
      <c r="AB4" s="40">
        <v>11643</v>
      </c>
      <c r="AC4" s="39">
        <v>13818</v>
      </c>
      <c r="AD4" s="39">
        <v>13377</v>
      </c>
      <c r="AE4" s="39">
        <v>12322</v>
      </c>
      <c r="AF4" s="40">
        <v>13705</v>
      </c>
      <c r="AG4" s="39">
        <v>15148</v>
      </c>
      <c r="AH4" s="39">
        <v>15436</v>
      </c>
      <c r="AI4" s="39">
        <v>14360</v>
      </c>
      <c r="AJ4" s="40">
        <v>14388</v>
      </c>
      <c r="AK4" s="39">
        <v>14162</v>
      </c>
      <c r="AL4" s="39">
        <v>16349</v>
      </c>
      <c r="AM4" s="39">
        <v>15520</v>
      </c>
      <c r="AN4" s="40">
        <v>16182</v>
      </c>
      <c r="AO4" s="39">
        <v>16586</v>
      </c>
      <c r="AP4" s="39">
        <v>15276</v>
      </c>
      <c r="AQ4" s="39">
        <v>15142</v>
      </c>
    </row>
    <row r="5" spans="1:43" ht="12.75" x14ac:dyDescent="0.2">
      <c r="A5" s="38" t="s">
        <v>163</v>
      </c>
      <c r="B5" s="39">
        <v>28663</v>
      </c>
      <c r="C5" s="39">
        <v>27102</v>
      </c>
      <c r="D5" s="39">
        <v>31364</v>
      </c>
      <c r="E5" s="39">
        <v>38285</v>
      </c>
      <c r="F5" s="39">
        <v>40849</v>
      </c>
      <c r="G5" s="39">
        <v>36122</v>
      </c>
      <c r="H5" s="39">
        <v>39645</v>
      </c>
      <c r="I5" s="39">
        <v>49694</v>
      </c>
      <c r="J5" s="39">
        <v>60343</v>
      </c>
      <c r="K5" s="39">
        <v>63604</v>
      </c>
      <c r="L5" s="39"/>
      <c r="M5" s="39">
        <v>8233</v>
      </c>
      <c r="N5" s="39">
        <v>9843</v>
      </c>
      <c r="O5" s="39">
        <v>9651</v>
      </c>
      <c r="P5" s="40">
        <v>10558</v>
      </c>
      <c r="Q5" s="39">
        <v>9785</v>
      </c>
      <c r="R5" s="39">
        <v>10626</v>
      </c>
      <c r="S5" s="39">
        <v>10158</v>
      </c>
      <c r="T5" s="40">
        <v>10280</v>
      </c>
      <c r="U5" s="39">
        <v>9134</v>
      </c>
      <c r="V5" s="39">
        <v>8458</v>
      </c>
      <c r="W5" s="39">
        <v>8724</v>
      </c>
      <c r="X5" s="40">
        <v>9806</v>
      </c>
      <c r="Y5" s="39">
        <v>8773</v>
      </c>
      <c r="Z5" s="39">
        <v>9733</v>
      </c>
      <c r="AA5" s="39">
        <v>9966</v>
      </c>
      <c r="AB5" s="40">
        <v>11173</v>
      </c>
      <c r="AC5" s="39">
        <v>11088</v>
      </c>
      <c r="AD5" s="39">
        <v>11868</v>
      </c>
      <c r="AE5" s="39">
        <v>12802</v>
      </c>
      <c r="AF5" s="40">
        <v>13936</v>
      </c>
      <c r="AG5" s="39">
        <v>13868</v>
      </c>
      <c r="AH5" s="39">
        <v>15910</v>
      </c>
      <c r="AI5" s="39">
        <v>14997</v>
      </c>
      <c r="AJ5" s="40">
        <v>15568</v>
      </c>
      <c r="AK5" s="39">
        <v>14143</v>
      </c>
      <c r="AL5" s="39">
        <v>16511</v>
      </c>
      <c r="AM5" s="39">
        <v>15699</v>
      </c>
      <c r="AN5" s="40">
        <v>17251</v>
      </c>
      <c r="AO5" s="39">
        <v>15536</v>
      </c>
      <c r="AP5" s="39">
        <v>15130</v>
      </c>
      <c r="AQ5" s="39">
        <v>15242</v>
      </c>
    </row>
    <row r="6" spans="1:43" ht="12.75" x14ac:dyDescent="0.2">
      <c r="A6" s="41" t="s">
        <v>164</v>
      </c>
      <c r="B6" s="42">
        <v>96</v>
      </c>
      <c r="C6" s="43">
        <v>102</v>
      </c>
      <c r="D6" s="43">
        <v>108</v>
      </c>
      <c r="E6" s="43">
        <v>102.91236776805536</v>
      </c>
      <c r="F6" s="43">
        <v>96.678009253592506</v>
      </c>
      <c r="G6" s="43">
        <v>101</v>
      </c>
      <c r="H6" s="43">
        <v>115</v>
      </c>
      <c r="I6" s="43">
        <v>107</v>
      </c>
      <c r="J6" s="43">
        <v>98</v>
      </c>
      <c r="K6" s="43">
        <v>98</v>
      </c>
      <c r="L6" s="44"/>
      <c r="M6" s="43">
        <v>121.89967205150005</v>
      </c>
      <c r="N6" s="43">
        <v>106.50208269836432</v>
      </c>
      <c r="O6" s="43">
        <v>97.533934307325666</v>
      </c>
      <c r="P6" s="45">
        <v>89.676075014207228</v>
      </c>
      <c r="Q6" s="43">
        <v>102.84108329075114</v>
      </c>
      <c r="R6" s="43">
        <v>99.313005834744956</v>
      </c>
      <c r="S6" s="43">
        <v>94.506792675723574</v>
      </c>
      <c r="T6" s="45">
        <v>90.233463035019454</v>
      </c>
      <c r="U6" s="43">
        <v>107</v>
      </c>
      <c r="V6" s="43">
        <v>95.826436509813192</v>
      </c>
      <c r="W6" s="43">
        <v>107.43924805135259</v>
      </c>
      <c r="X6" s="45">
        <v>95.135631246175805</v>
      </c>
      <c r="Y6" s="43">
        <v>121.85113416163229</v>
      </c>
      <c r="Z6" s="43">
        <v>114</v>
      </c>
      <c r="AA6" s="43">
        <v>122.86775035119406</v>
      </c>
      <c r="AB6" s="45">
        <v>104.20656940839524</v>
      </c>
      <c r="AC6" s="43">
        <v>124.62121212121211</v>
      </c>
      <c r="AD6" s="43">
        <v>112.71486349848333</v>
      </c>
      <c r="AE6" s="43">
        <v>96.250585845961567</v>
      </c>
      <c r="AF6" s="45">
        <v>98</v>
      </c>
      <c r="AG6" s="43">
        <v>109.22988174214019</v>
      </c>
      <c r="AH6" s="43">
        <v>97</v>
      </c>
      <c r="AI6" s="43">
        <v>95.752483830099351</v>
      </c>
      <c r="AJ6" s="45">
        <v>92.420349434737929</v>
      </c>
      <c r="AK6" s="43">
        <v>100.13434207735274</v>
      </c>
      <c r="AL6" s="43">
        <v>99.018835927563444</v>
      </c>
      <c r="AM6" s="43">
        <v>98.859799987260331</v>
      </c>
      <c r="AN6" s="45">
        <v>93.803257782157559</v>
      </c>
      <c r="AO6" s="43">
        <v>107</v>
      </c>
      <c r="AP6" s="43">
        <v>100.96497025776603</v>
      </c>
      <c r="AQ6" s="43">
        <v>99.343918120981499</v>
      </c>
    </row>
    <row r="7" spans="1:43" ht="12.75" x14ac:dyDescent="0.2">
      <c r="A7" s="46" t="s">
        <v>165</v>
      </c>
      <c r="B7" s="32"/>
      <c r="C7" s="32"/>
      <c r="D7" s="33"/>
      <c r="E7" s="32"/>
      <c r="F7" s="32"/>
      <c r="G7" s="32"/>
      <c r="H7" s="32"/>
      <c r="I7" s="32"/>
      <c r="J7" s="32"/>
      <c r="K7" s="32"/>
      <c r="L7" s="32"/>
      <c r="M7" s="32"/>
      <c r="N7" s="32"/>
      <c r="O7" s="32"/>
      <c r="P7" s="34"/>
      <c r="Q7" s="32"/>
      <c r="R7" s="32"/>
      <c r="S7" s="32"/>
      <c r="T7" s="34"/>
      <c r="U7" s="32"/>
      <c r="V7" s="32"/>
      <c r="W7" s="32"/>
      <c r="X7" s="34"/>
      <c r="Y7" s="32"/>
      <c r="Z7" s="32"/>
      <c r="AA7" s="32"/>
      <c r="AB7" s="34"/>
      <c r="AC7" s="32"/>
      <c r="AD7" s="32"/>
      <c r="AE7" s="32"/>
      <c r="AF7" s="34"/>
      <c r="AG7" s="32"/>
      <c r="AH7" s="32"/>
      <c r="AI7" s="32"/>
      <c r="AJ7" s="34"/>
      <c r="AK7" s="32"/>
      <c r="AL7" s="32"/>
      <c r="AM7" s="32"/>
      <c r="AN7" s="34"/>
      <c r="AO7" s="32"/>
      <c r="AP7" s="32"/>
      <c r="AQ7" s="32"/>
    </row>
    <row r="8" spans="1:43" ht="12.75" x14ac:dyDescent="0.2">
      <c r="A8" s="32"/>
      <c r="B8" s="32"/>
      <c r="C8" s="32"/>
      <c r="D8" s="33"/>
      <c r="E8" s="32"/>
      <c r="F8" s="32"/>
      <c r="G8" s="32"/>
      <c r="H8" s="32"/>
      <c r="I8" s="32"/>
      <c r="J8" s="32"/>
      <c r="K8" s="32"/>
      <c r="L8" s="32"/>
      <c r="M8" s="32"/>
      <c r="N8" s="32"/>
      <c r="O8" s="32"/>
      <c r="P8" s="34"/>
      <c r="Q8" s="32"/>
      <c r="R8" s="32"/>
      <c r="S8" s="32"/>
      <c r="T8" s="34"/>
      <c r="U8" s="32"/>
      <c r="V8" s="32"/>
      <c r="W8" s="32"/>
      <c r="X8" s="34"/>
      <c r="Y8" s="32"/>
      <c r="Z8" s="32"/>
      <c r="AA8" s="32"/>
      <c r="AB8" s="34"/>
      <c r="AC8" s="32"/>
      <c r="AD8" s="32"/>
      <c r="AE8" s="32"/>
      <c r="AF8" s="34"/>
      <c r="AG8" s="32"/>
      <c r="AH8" s="32"/>
      <c r="AI8" s="32"/>
      <c r="AJ8" s="34"/>
      <c r="AK8" s="32"/>
      <c r="AL8" s="32"/>
      <c r="AM8" s="32"/>
      <c r="AN8" s="34"/>
      <c r="AO8" s="32"/>
      <c r="AP8" s="32"/>
      <c r="AQ8" s="32"/>
    </row>
    <row r="9" spans="1:43" ht="12.75" x14ac:dyDescent="0.2">
      <c r="A9" s="47" t="s">
        <v>166</v>
      </c>
      <c r="B9" s="48">
        <v>2015</v>
      </c>
      <c r="C9" s="48">
        <v>2016</v>
      </c>
      <c r="D9" s="48" t="s">
        <v>130</v>
      </c>
      <c r="E9" s="48">
        <v>2018</v>
      </c>
      <c r="F9" s="48">
        <v>2019</v>
      </c>
      <c r="G9" s="48">
        <v>2020</v>
      </c>
      <c r="H9" s="48">
        <v>2021</v>
      </c>
      <c r="I9" s="48">
        <v>2022</v>
      </c>
      <c r="J9" s="48">
        <v>2023</v>
      </c>
      <c r="K9" s="48">
        <v>2024</v>
      </c>
      <c r="L9" s="49"/>
      <c r="M9" s="50" t="s">
        <v>131</v>
      </c>
      <c r="N9" s="50" t="s">
        <v>132</v>
      </c>
      <c r="O9" s="50" t="s">
        <v>133</v>
      </c>
      <c r="P9" s="51" t="s">
        <v>134</v>
      </c>
      <c r="Q9" s="50" t="s">
        <v>135</v>
      </c>
      <c r="R9" s="50" t="s">
        <v>136</v>
      </c>
      <c r="S9" s="50" t="s">
        <v>137</v>
      </c>
      <c r="T9" s="51" t="s">
        <v>138</v>
      </c>
      <c r="U9" s="50" t="s">
        <v>139</v>
      </c>
      <c r="V9" s="50" t="s">
        <v>140</v>
      </c>
      <c r="W9" s="50" t="s">
        <v>141</v>
      </c>
      <c r="X9" s="51" t="s">
        <v>142</v>
      </c>
      <c r="Y9" s="50" t="s">
        <v>143</v>
      </c>
      <c r="Z9" s="50" t="s">
        <v>144</v>
      </c>
      <c r="AA9" s="50" t="s">
        <v>145</v>
      </c>
      <c r="AB9" s="51" t="s">
        <v>146</v>
      </c>
      <c r="AC9" s="50" t="s">
        <v>147</v>
      </c>
      <c r="AD9" s="50" t="s">
        <v>148</v>
      </c>
      <c r="AE9" s="50" t="s">
        <v>149</v>
      </c>
      <c r="AF9" s="51" t="s">
        <v>150</v>
      </c>
      <c r="AG9" s="50" t="s">
        <v>151</v>
      </c>
      <c r="AH9" s="50" t="s">
        <v>152</v>
      </c>
      <c r="AI9" s="50" t="s">
        <v>153</v>
      </c>
      <c r="AJ9" s="51" t="s">
        <v>154</v>
      </c>
      <c r="AK9" s="50" t="s">
        <v>155</v>
      </c>
      <c r="AL9" s="50" t="s">
        <v>156</v>
      </c>
      <c r="AM9" s="50" t="s">
        <v>157</v>
      </c>
      <c r="AN9" s="51" t="s">
        <v>158</v>
      </c>
      <c r="AO9" s="50" t="s">
        <v>159</v>
      </c>
      <c r="AP9" s="50" t="s">
        <v>160</v>
      </c>
      <c r="AQ9" s="50" t="s">
        <v>161</v>
      </c>
    </row>
    <row r="10" spans="1:43" ht="12.75" x14ac:dyDescent="0.2">
      <c r="A10" s="38" t="s">
        <v>167</v>
      </c>
      <c r="B10" s="39">
        <v>5175</v>
      </c>
      <c r="C10" s="39">
        <v>4548</v>
      </c>
      <c r="D10" s="39">
        <v>5930</v>
      </c>
      <c r="E10" s="39">
        <v>7385</v>
      </c>
      <c r="F10" s="39">
        <v>8136</v>
      </c>
      <c r="G10" s="39">
        <v>7382</v>
      </c>
      <c r="H10" s="39">
        <v>8995</v>
      </c>
      <c r="I10" s="39">
        <v>11147</v>
      </c>
      <c r="J10" s="39">
        <v>13183</v>
      </c>
      <c r="K10" s="39">
        <v>12385</v>
      </c>
      <c r="L10" s="39"/>
      <c r="M10" s="39">
        <v>1515</v>
      </c>
      <c r="N10" s="39">
        <v>1810</v>
      </c>
      <c r="O10" s="39">
        <v>1898</v>
      </c>
      <c r="P10" s="40">
        <v>2162</v>
      </c>
      <c r="Q10" s="39">
        <v>1930</v>
      </c>
      <c r="R10" s="39">
        <v>2262.5304182700002</v>
      </c>
      <c r="S10" s="39">
        <v>1927.4103993842</v>
      </c>
      <c r="T10" s="40">
        <v>2016.060167183</v>
      </c>
      <c r="U10" s="39">
        <v>1932</v>
      </c>
      <c r="V10" s="39">
        <v>1418</v>
      </c>
      <c r="W10" s="39">
        <v>1820</v>
      </c>
      <c r="X10" s="40">
        <v>2212</v>
      </c>
      <c r="Y10" s="39">
        <v>1867</v>
      </c>
      <c r="Z10" s="39">
        <v>2182</v>
      </c>
      <c r="AA10" s="39">
        <v>2352</v>
      </c>
      <c r="AB10" s="40">
        <v>2594</v>
      </c>
      <c r="AC10" s="39">
        <v>2631</v>
      </c>
      <c r="AD10" s="39">
        <v>2381</v>
      </c>
      <c r="AE10" s="39">
        <v>2900</v>
      </c>
      <c r="AF10" s="40">
        <v>3235</v>
      </c>
      <c r="AG10" s="39">
        <v>3161</v>
      </c>
      <c r="AH10" s="39">
        <v>3413</v>
      </c>
      <c r="AI10" s="39">
        <v>3260</v>
      </c>
      <c r="AJ10" s="40">
        <v>3349</v>
      </c>
      <c r="AK10" s="39">
        <v>2760</v>
      </c>
      <c r="AL10" s="39">
        <v>2921</v>
      </c>
      <c r="AM10" s="39">
        <v>3277</v>
      </c>
      <c r="AN10" s="40">
        <v>3427</v>
      </c>
      <c r="AO10" s="39">
        <v>3088</v>
      </c>
      <c r="AP10" s="39">
        <v>2831</v>
      </c>
      <c r="AQ10" s="39">
        <v>2802</v>
      </c>
    </row>
    <row r="11" spans="1:43" ht="12.75" x14ac:dyDescent="0.2">
      <c r="A11" s="38" t="s">
        <v>168</v>
      </c>
      <c r="B11" s="39">
        <v>1395</v>
      </c>
      <c r="C11" s="39">
        <v>1217</v>
      </c>
      <c r="D11" s="39">
        <v>1253</v>
      </c>
      <c r="E11" s="39">
        <v>1368</v>
      </c>
      <c r="F11" s="39">
        <v>1978</v>
      </c>
      <c r="G11" s="39">
        <v>1746</v>
      </c>
      <c r="H11" s="39">
        <v>1745</v>
      </c>
      <c r="I11" s="39">
        <v>2129</v>
      </c>
      <c r="J11" s="39">
        <v>2663</v>
      </c>
      <c r="K11" s="39">
        <v>3443</v>
      </c>
      <c r="L11" s="39"/>
      <c r="M11" s="39">
        <v>317</v>
      </c>
      <c r="N11" s="39">
        <v>340</v>
      </c>
      <c r="O11" s="39">
        <v>360</v>
      </c>
      <c r="P11" s="52">
        <v>351</v>
      </c>
      <c r="Q11" s="39">
        <v>473</v>
      </c>
      <c r="R11" s="39">
        <v>466.83593991509997</v>
      </c>
      <c r="S11" s="39">
        <v>554</v>
      </c>
      <c r="T11" s="40">
        <v>484.90534584399995</v>
      </c>
      <c r="U11" s="39">
        <v>440</v>
      </c>
      <c r="V11" s="39">
        <v>441</v>
      </c>
      <c r="W11" s="39">
        <v>425</v>
      </c>
      <c r="X11" s="40">
        <v>440</v>
      </c>
      <c r="Y11" s="39">
        <v>382</v>
      </c>
      <c r="Z11" s="39">
        <v>411</v>
      </c>
      <c r="AA11" s="39">
        <v>462</v>
      </c>
      <c r="AB11" s="40">
        <v>490</v>
      </c>
      <c r="AC11" s="39">
        <v>466</v>
      </c>
      <c r="AD11" s="39">
        <v>487</v>
      </c>
      <c r="AE11" s="39">
        <v>525</v>
      </c>
      <c r="AF11" s="40">
        <v>651</v>
      </c>
      <c r="AG11" s="39">
        <v>635</v>
      </c>
      <c r="AH11" s="39">
        <v>644</v>
      </c>
      <c r="AI11" s="39">
        <v>700</v>
      </c>
      <c r="AJ11" s="40">
        <v>684</v>
      </c>
      <c r="AK11" s="39">
        <v>672</v>
      </c>
      <c r="AL11" s="39">
        <v>788</v>
      </c>
      <c r="AM11" s="39">
        <v>1168</v>
      </c>
      <c r="AN11" s="40">
        <v>815</v>
      </c>
      <c r="AO11" s="39">
        <v>779</v>
      </c>
      <c r="AP11" s="39">
        <v>768</v>
      </c>
      <c r="AQ11" s="39">
        <v>765</v>
      </c>
    </row>
    <row r="12" spans="1:43" ht="12.75" x14ac:dyDescent="0.2">
      <c r="A12" s="41" t="s">
        <v>63</v>
      </c>
      <c r="B12" s="53">
        <v>6570</v>
      </c>
      <c r="C12" s="53">
        <v>5765</v>
      </c>
      <c r="D12" s="53">
        <v>7183</v>
      </c>
      <c r="E12" s="53">
        <v>8753</v>
      </c>
      <c r="F12" s="53">
        <v>10114</v>
      </c>
      <c r="G12" s="53">
        <v>9128</v>
      </c>
      <c r="H12" s="53">
        <v>10740</v>
      </c>
      <c r="I12" s="53">
        <v>13276</v>
      </c>
      <c r="J12" s="53">
        <v>15846</v>
      </c>
      <c r="K12" s="53">
        <v>15828</v>
      </c>
      <c r="L12" s="54"/>
      <c r="M12" s="53">
        <v>1832</v>
      </c>
      <c r="N12" s="53">
        <v>2150</v>
      </c>
      <c r="O12" s="53">
        <v>2258</v>
      </c>
      <c r="P12" s="55">
        <v>2513</v>
      </c>
      <c r="Q12" s="53">
        <v>2403</v>
      </c>
      <c r="R12" s="53">
        <v>2729.3663581851001</v>
      </c>
      <c r="S12" s="53">
        <v>2481</v>
      </c>
      <c r="T12" s="55">
        <v>2500.9655130269998</v>
      </c>
      <c r="U12" s="53">
        <v>2372</v>
      </c>
      <c r="V12" s="53">
        <v>1859</v>
      </c>
      <c r="W12" s="53">
        <v>2245</v>
      </c>
      <c r="X12" s="55">
        <v>2652</v>
      </c>
      <c r="Y12" s="53">
        <v>2248</v>
      </c>
      <c r="Z12" s="53">
        <v>2594</v>
      </c>
      <c r="AA12" s="53">
        <v>2813</v>
      </c>
      <c r="AB12" s="55">
        <v>3085</v>
      </c>
      <c r="AC12" s="53">
        <v>3097</v>
      </c>
      <c r="AD12" s="53">
        <v>2868</v>
      </c>
      <c r="AE12" s="53">
        <v>3425</v>
      </c>
      <c r="AF12" s="55">
        <v>3886</v>
      </c>
      <c r="AG12" s="53">
        <v>3795</v>
      </c>
      <c r="AH12" s="53">
        <v>4056</v>
      </c>
      <c r="AI12" s="53">
        <v>3960</v>
      </c>
      <c r="AJ12" s="55">
        <v>4035</v>
      </c>
      <c r="AK12" s="53">
        <v>3432</v>
      </c>
      <c r="AL12" s="53">
        <v>3709</v>
      </c>
      <c r="AM12" s="53">
        <v>4445</v>
      </c>
      <c r="AN12" s="55">
        <v>4242</v>
      </c>
      <c r="AO12" s="53">
        <v>3866</v>
      </c>
      <c r="AP12" s="53">
        <v>3599</v>
      </c>
      <c r="AQ12" s="53">
        <v>3567</v>
      </c>
    </row>
    <row r="13" spans="1:43" ht="12.75" x14ac:dyDescent="0.2">
      <c r="A13" s="46" t="s">
        <v>169</v>
      </c>
      <c r="B13" s="32"/>
      <c r="C13" s="32"/>
      <c r="D13" s="33"/>
      <c r="E13" s="32"/>
      <c r="F13" s="32"/>
      <c r="G13" s="32"/>
      <c r="H13" s="32"/>
      <c r="I13" s="32"/>
      <c r="J13" s="32"/>
      <c r="K13" s="32"/>
      <c r="L13" s="32"/>
      <c r="M13" s="32"/>
      <c r="N13" s="32"/>
      <c r="O13" s="32"/>
      <c r="P13" s="34"/>
      <c r="Q13" s="32"/>
      <c r="R13" s="32"/>
      <c r="S13" s="32"/>
      <c r="T13" s="34"/>
      <c r="U13" s="32"/>
      <c r="V13" s="32"/>
      <c r="W13" s="32"/>
      <c r="X13" s="34"/>
      <c r="Y13" s="32"/>
      <c r="Z13" s="32"/>
      <c r="AA13" s="32"/>
      <c r="AB13" s="34"/>
      <c r="AC13" s="32"/>
      <c r="AD13" s="32"/>
      <c r="AE13" s="32"/>
      <c r="AF13" s="34"/>
      <c r="AG13" s="32"/>
      <c r="AH13" s="32"/>
      <c r="AI13" s="32"/>
      <c r="AJ13" s="34"/>
      <c r="AK13" s="32"/>
      <c r="AL13" s="32"/>
      <c r="AM13" s="32"/>
      <c r="AN13" s="34"/>
      <c r="AO13" s="32"/>
      <c r="AP13" s="32"/>
      <c r="AQ13" s="32"/>
    </row>
    <row r="14" spans="1:43" ht="12.75" x14ac:dyDescent="0.2">
      <c r="A14" s="32"/>
      <c r="B14" s="32"/>
      <c r="C14" s="32"/>
      <c r="D14" s="33"/>
      <c r="E14" s="32"/>
      <c r="F14" s="32"/>
      <c r="G14" s="32"/>
      <c r="H14" s="32"/>
      <c r="I14" s="32"/>
      <c r="J14" s="32"/>
      <c r="K14" s="32"/>
      <c r="L14" s="32"/>
      <c r="M14" s="32"/>
      <c r="N14" s="32"/>
      <c r="O14" s="32"/>
      <c r="P14" s="34"/>
      <c r="Q14" s="32"/>
      <c r="R14" s="32"/>
      <c r="S14" s="32"/>
      <c r="T14" s="34"/>
      <c r="U14" s="32"/>
      <c r="V14" s="32"/>
      <c r="W14" s="32"/>
      <c r="X14" s="34"/>
      <c r="Y14" s="32"/>
      <c r="Z14" s="32"/>
      <c r="AA14" s="32"/>
      <c r="AB14" s="34"/>
      <c r="AC14" s="32"/>
      <c r="AD14" s="32"/>
      <c r="AE14" s="32"/>
      <c r="AF14" s="34"/>
      <c r="AG14" s="32"/>
      <c r="AH14" s="32"/>
      <c r="AI14" s="32"/>
      <c r="AJ14" s="34"/>
      <c r="AK14" s="32"/>
      <c r="AL14" s="32"/>
      <c r="AM14" s="32"/>
      <c r="AN14" s="34"/>
      <c r="AO14" s="32"/>
      <c r="AP14" s="32"/>
      <c r="AQ14" s="32"/>
    </row>
    <row r="15" spans="1:43" ht="12.75" x14ac:dyDescent="0.2">
      <c r="A15" s="47" t="s">
        <v>170</v>
      </c>
      <c r="B15" s="48">
        <v>2015</v>
      </c>
      <c r="C15" s="48">
        <v>2016</v>
      </c>
      <c r="D15" s="48" t="s">
        <v>130</v>
      </c>
      <c r="E15" s="48">
        <v>2018</v>
      </c>
      <c r="F15" s="48">
        <v>2019</v>
      </c>
      <c r="G15" s="48">
        <v>2020</v>
      </c>
      <c r="H15" s="48">
        <v>2021</v>
      </c>
      <c r="I15" s="48">
        <v>2022</v>
      </c>
      <c r="J15" s="48">
        <v>2023</v>
      </c>
      <c r="K15" s="48">
        <v>2024</v>
      </c>
      <c r="L15" s="49"/>
      <c r="M15" s="50" t="s">
        <v>131</v>
      </c>
      <c r="N15" s="50" t="s">
        <v>132</v>
      </c>
      <c r="O15" s="50" t="s">
        <v>133</v>
      </c>
      <c r="P15" s="51" t="s">
        <v>134</v>
      </c>
      <c r="Q15" s="50" t="s">
        <v>135</v>
      </c>
      <c r="R15" s="50" t="s">
        <v>136</v>
      </c>
      <c r="S15" s="50" t="s">
        <v>137</v>
      </c>
      <c r="T15" s="51" t="s">
        <v>138</v>
      </c>
      <c r="U15" s="50" t="s">
        <v>139</v>
      </c>
      <c r="V15" s="50" t="s">
        <v>140</v>
      </c>
      <c r="W15" s="50" t="s">
        <v>141</v>
      </c>
      <c r="X15" s="51" t="s">
        <v>142</v>
      </c>
      <c r="Y15" s="50" t="s">
        <v>143</v>
      </c>
      <c r="Z15" s="50" t="s">
        <v>144</v>
      </c>
      <c r="AA15" s="50" t="s">
        <v>145</v>
      </c>
      <c r="AB15" s="51" t="s">
        <v>146</v>
      </c>
      <c r="AC15" s="50" t="s">
        <v>147</v>
      </c>
      <c r="AD15" s="50" t="s">
        <v>148</v>
      </c>
      <c r="AE15" s="50" t="s">
        <v>149</v>
      </c>
      <c r="AF15" s="51" t="s">
        <v>150</v>
      </c>
      <c r="AG15" s="50" t="s">
        <v>151</v>
      </c>
      <c r="AH15" s="50" t="s">
        <v>152</v>
      </c>
      <c r="AI15" s="50" t="s">
        <v>153</v>
      </c>
      <c r="AJ15" s="51" t="s">
        <v>154</v>
      </c>
      <c r="AK15" s="50" t="s">
        <v>155</v>
      </c>
      <c r="AL15" s="50" t="s">
        <v>156</v>
      </c>
      <c r="AM15" s="50" t="s">
        <v>157</v>
      </c>
      <c r="AN15" s="51" t="s">
        <v>158</v>
      </c>
      <c r="AO15" s="50" t="s">
        <v>159</v>
      </c>
      <c r="AP15" s="50" t="s">
        <v>160</v>
      </c>
      <c r="AQ15" s="50" t="s">
        <v>161</v>
      </c>
    </row>
    <row r="16" spans="1:43" ht="12.75" x14ac:dyDescent="0.2">
      <c r="A16" s="38" t="s">
        <v>171</v>
      </c>
      <c r="B16" s="39">
        <v>6570</v>
      </c>
      <c r="C16" s="39">
        <v>5765</v>
      </c>
      <c r="D16" s="39">
        <v>7183</v>
      </c>
      <c r="E16" s="39">
        <v>8753</v>
      </c>
      <c r="F16" s="39">
        <v>10114</v>
      </c>
      <c r="G16" s="39">
        <v>9128</v>
      </c>
      <c r="H16" s="39">
        <v>10740</v>
      </c>
      <c r="I16" s="39">
        <v>13276</v>
      </c>
      <c r="J16" s="39">
        <v>15846</v>
      </c>
      <c r="K16" s="39">
        <v>15827</v>
      </c>
      <c r="L16" s="39"/>
      <c r="M16" s="39">
        <v>1832</v>
      </c>
      <c r="N16" s="39">
        <v>2150</v>
      </c>
      <c r="O16" s="39">
        <v>2258</v>
      </c>
      <c r="P16" s="40">
        <v>2513</v>
      </c>
      <c r="Q16" s="39">
        <v>2403</v>
      </c>
      <c r="R16" s="39">
        <v>2729</v>
      </c>
      <c r="S16" s="39">
        <v>2481</v>
      </c>
      <c r="T16" s="40">
        <v>2501</v>
      </c>
      <c r="U16" s="39">
        <v>2372</v>
      </c>
      <c r="V16" s="39">
        <v>1859</v>
      </c>
      <c r="W16" s="39">
        <v>2245</v>
      </c>
      <c r="X16" s="40">
        <v>2652</v>
      </c>
      <c r="Y16" s="39">
        <v>2248</v>
      </c>
      <c r="Z16" s="39">
        <v>2594</v>
      </c>
      <c r="AA16" s="39">
        <v>2813</v>
      </c>
      <c r="AB16" s="40">
        <v>3085</v>
      </c>
      <c r="AC16" s="39">
        <v>3097</v>
      </c>
      <c r="AD16" s="39">
        <v>2868</v>
      </c>
      <c r="AE16" s="39">
        <v>3425</v>
      </c>
      <c r="AF16" s="40">
        <v>3886</v>
      </c>
      <c r="AG16" s="39">
        <v>3795</v>
      </c>
      <c r="AH16" s="39">
        <v>4056</v>
      </c>
      <c r="AI16" s="39">
        <v>3960</v>
      </c>
      <c r="AJ16" s="40">
        <v>4035</v>
      </c>
      <c r="AK16" s="39">
        <v>3432</v>
      </c>
      <c r="AL16" s="39">
        <v>3709</v>
      </c>
      <c r="AM16" s="39">
        <v>4445</v>
      </c>
      <c r="AN16" s="40">
        <v>4242</v>
      </c>
      <c r="AO16" s="39">
        <v>3866</v>
      </c>
      <c r="AP16" s="39">
        <v>3599</v>
      </c>
      <c r="AQ16" s="39">
        <v>3567</v>
      </c>
    </row>
    <row r="17" spans="1:43" ht="12.75" x14ac:dyDescent="0.2">
      <c r="A17" s="38" t="s">
        <v>163</v>
      </c>
      <c r="B17" s="39">
        <v>28663</v>
      </c>
      <c r="C17" s="39">
        <v>27102</v>
      </c>
      <c r="D17" s="39">
        <v>31364</v>
      </c>
      <c r="E17" s="39">
        <v>38285</v>
      </c>
      <c r="F17" s="39">
        <v>40849</v>
      </c>
      <c r="G17" s="39">
        <v>36122</v>
      </c>
      <c r="H17" s="39">
        <v>39645</v>
      </c>
      <c r="I17" s="39">
        <v>49694</v>
      </c>
      <c r="J17" s="39">
        <v>60343</v>
      </c>
      <c r="K17" s="39">
        <v>63604</v>
      </c>
      <c r="L17" s="39"/>
      <c r="M17" s="39">
        <v>8233</v>
      </c>
      <c r="N17" s="39">
        <v>9843</v>
      </c>
      <c r="O17" s="39">
        <v>9651</v>
      </c>
      <c r="P17" s="40">
        <v>10558</v>
      </c>
      <c r="Q17" s="39">
        <v>9785</v>
      </c>
      <c r="R17" s="39">
        <v>10626</v>
      </c>
      <c r="S17" s="39">
        <v>10158</v>
      </c>
      <c r="T17" s="40">
        <v>10280</v>
      </c>
      <c r="U17" s="39">
        <v>9134</v>
      </c>
      <c r="V17" s="39">
        <v>8458</v>
      </c>
      <c r="W17" s="39">
        <v>8724</v>
      </c>
      <c r="X17" s="40">
        <v>9806</v>
      </c>
      <c r="Y17" s="39">
        <v>8773</v>
      </c>
      <c r="Z17" s="39">
        <v>9733</v>
      </c>
      <c r="AA17" s="39">
        <v>9966</v>
      </c>
      <c r="AB17" s="40">
        <v>11173</v>
      </c>
      <c r="AC17" s="39">
        <v>11088</v>
      </c>
      <c r="AD17" s="39">
        <v>11868</v>
      </c>
      <c r="AE17" s="39">
        <v>12802</v>
      </c>
      <c r="AF17" s="40">
        <v>13936</v>
      </c>
      <c r="AG17" s="39">
        <v>13868</v>
      </c>
      <c r="AH17" s="39">
        <v>15910</v>
      </c>
      <c r="AI17" s="39">
        <v>14997</v>
      </c>
      <c r="AJ17" s="40">
        <v>15568</v>
      </c>
      <c r="AK17" s="39">
        <v>14143</v>
      </c>
      <c r="AL17" s="39">
        <v>16511</v>
      </c>
      <c r="AM17" s="39">
        <v>15699</v>
      </c>
      <c r="AN17" s="40">
        <v>17251</v>
      </c>
      <c r="AO17" s="39">
        <v>15536</v>
      </c>
      <c r="AP17" s="39">
        <v>15130</v>
      </c>
      <c r="AQ17" s="39">
        <v>15242</v>
      </c>
    </row>
    <row r="18" spans="1:43" ht="12.75" x14ac:dyDescent="0.2">
      <c r="A18" s="41" t="s">
        <v>172</v>
      </c>
      <c r="B18" s="42" t="s">
        <v>173</v>
      </c>
      <c r="C18" s="56" t="s">
        <v>174</v>
      </c>
      <c r="D18" s="56">
        <v>22.9</v>
      </c>
      <c r="E18" s="56">
        <v>22.862739976492101</v>
      </c>
      <c r="F18" s="56">
        <v>24.759480036230997</v>
      </c>
      <c r="G18" s="56">
        <v>25.3</v>
      </c>
      <c r="H18" s="56">
        <v>27.1</v>
      </c>
      <c r="I18" s="56">
        <v>26.7</v>
      </c>
      <c r="J18" s="56">
        <v>26.3</v>
      </c>
      <c r="K18" s="56">
        <v>24.9</v>
      </c>
      <c r="L18" s="57"/>
      <c r="M18" s="56">
        <v>22.251913032916313</v>
      </c>
      <c r="N18" s="56">
        <v>21.842934064817637</v>
      </c>
      <c r="O18" s="56">
        <v>23.39653921873381</v>
      </c>
      <c r="P18" s="58">
        <v>23.801856412199278</v>
      </c>
      <c r="Q18" s="56">
        <v>24.55799693408278</v>
      </c>
      <c r="R18" s="56">
        <v>25.685736478308868</v>
      </c>
      <c r="S18" s="56">
        <v>24.418294933886592</v>
      </c>
      <c r="T18" s="58">
        <v>24.328458297928012</v>
      </c>
      <c r="U18" s="56">
        <v>26</v>
      </c>
      <c r="V18" s="56">
        <v>21.979191298179238</v>
      </c>
      <c r="W18" s="56">
        <v>25.733608436497018</v>
      </c>
      <c r="X18" s="58">
        <v>27</v>
      </c>
      <c r="Y18" s="56">
        <v>25.624073862988716</v>
      </c>
      <c r="Z18" s="56">
        <v>26.7</v>
      </c>
      <c r="AA18" s="56">
        <v>28.22596829219346</v>
      </c>
      <c r="AB18" s="58">
        <v>27.611205584892151</v>
      </c>
      <c r="AC18" s="56">
        <v>27.93109668109668</v>
      </c>
      <c r="AD18" s="56">
        <v>24.165824064711831</v>
      </c>
      <c r="AE18" s="56">
        <v>26.753632244961722</v>
      </c>
      <c r="AF18" s="58">
        <v>27.884615384615387</v>
      </c>
      <c r="AG18" s="56">
        <v>27.365157196423421</v>
      </c>
      <c r="AH18" s="56">
        <v>25.5</v>
      </c>
      <c r="AI18" s="56">
        <v>26.405281056211244</v>
      </c>
      <c r="AJ18" s="58">
        <v>25.899280575539567</v>
      </c>
      <c r="AK18" s="56">
        <v>24.259350915647317</v>
      </c>
      <c r="AL18" s="56">
        <v>22.463812004118466</v>
      </c>
      <c r="AM18" s="56">
        <v>28.307535511816042</v>
      </c>
      <c r="AN18" s="58">
        <v>24.589878847603039</v>
      </c>
      <c r="AO18" s="56">
        <v>25</v>
      </c>
      <c r="AP18" s="56">
        <v>23.793787177792467</v>
      </c>
      <c r="AQ18" s="56">
        <v>23.395879805799762</v>
      </c>
    </row>
    <row r="19" spans="1:43" ht="12.75" x14ac:dyDescent="0.2">
      <c r="A19" s="46" t="s">
        <v>165</v>
      </c>
      <c r="B19" s="32"/>
      <c r="C19" s="32"/>
      <c r="D19" s="33"/>
      <c r="E19" s="32"/>
      <c r="F19" s="32"/>
      <c r="G19" s="32"/>
      <c r="H19" s="32"/>
      <c r="I19" s="32"/>
      <c r="J19" s="32"/>
      <c r="K19" s="32"/>
      <c r="L19" s="32"/>
      <c r="M19" s="32"/>
      <c r="N19" s="32"/>
      <c r="O19" s="32"/>
      <c r="P19" s="34"/>
      <c r="Q19" s="32"/>
      <c r="R19" s="32"/>
      <c r="S19" s="32"/>
      <c r="T19" s="34"/>
      <c r="U19" s="32"/>
      <c r="V19" s="32"/>
      <c r="W19" s="32"/>
      <c r="X19" s="34"/>
      <c r="Y19" s="32"/>
      <c r="Z19" s="32"/>
      <c r="AA19" s="32"/>
      <c r="AB19" s="34"/>
      <c r="AC19" s="32"/>
      <c r="AD19" s="32"/>
      <c r="AE19" s="32"/>
      <c r="AF19" s="34"/>
      <c r="AG19" s="32"/>
      <c r="AH19" s="32"/>
      <c r="AI19" s="32"/>
      <c r="AJ19" s="34"/>
      <c r="AK19" s="32"/>
      <c r="AL19" s="32"/>
      <c r="AM19" s="32"/>
      <c r="AN19" s="34"/>
      <c r="AO19" s="32"/>
      <c r="AP19" s="32"/>
      <c r="AQ19" s="32"/>
    </row>
    <row r="20" spans="1:43" ht="12.75" x14ac:dyDescent="0.2">
      <c r="A20" s="32"/>
      <c r="B20" s="32"/>
      <c r="C20" s="32"/>
      <c r="D20" s="33"/>
      <c r="E20" s="32"/>
      <c r="F20" s="32"/>
      <c r="G20" s="32"/>
      <c r="H20" s="32"/>
      <c r="I20" s="32"/>
      <c r="J20" s="32"/>
      <c r="K20" s="32"/>
      <c r="L20" s="32"/>
      <c r="M20" s="32"/>
      <c r="N20" s="32"/>
      <c r="O20" s="32"/>
      <c r="P20" s="34"/>
      <c r="Q20" s="32"/>
      <c r="R20" s="32"/>
      <c r="S20" s="32"/>
      <c r="T20" s="34"/>
      <c r="U20" s="32"/>
      <c r="V20" s="32"/>
      <c r="W20" s="32"/>
      <c r="X20" s="34"/>
      <c r="Y20" s="32"/>
      <c r="Z20" s="32"/>
      <c r="AA20" s="32"/>
      <c r="AB20" s="34"/>
      <c r="AC20" s="32"/>
      <c r="AD20" s="32"/>
      <c r="AE20" s="32"/>
      <c r="AF20" s="34"/>
      <c r="AG20" s="32"/>
      <c r="AH20" s="32"/>
      <c r="AI20" s="32"/>
      <c r="AJ20" s="34"/>
      <c r="AK20" s="32"/>
      <c r="AL20" s="32"/>
      <c r="AM20" s="32"/>
      <c r="AN20" s="34"/>
      <c r="AO20" s="32"/>
      <c r="AP20" s="32"/>
      <c r="AQ20" s="32"/>
    </row>
    <row r="21" spans="1:43" ht="12.75" x14ac:dyDescent="0.2">
      <c r="A21" s="47" t="s">
        <v>175</v>
      </c>
      <c r="B21" s="48">
        <v>2015</v>
      </c>
      <c r="C21" s="48">
        <v>2016</v>
      </c>
      <c r="D21" s="48" t="s">
        <v>130</v>
      </c>
      <c r="E21" s="48">
        <v>2018</v>
      </c>
      <c r="F21" s="48">
        <v>2019</v>
      </c>
      <c r="G21" s="48">
        <v>2020</v>
      </c>
      <c r="H21" s="48">
        <v>2021</v>
      </c>
      <c r="I21" s="48">
        <v>2022</v>
      </c>
      <c r="J21" s="48">
        <v>2023</v>
      </c>
      <c r="K21" s="48">
        <v>2024</v>
      </c>
      <c r="L21" s="49"/>
      <c r="M21" s="50" t="s">
        <v>131</v>
      </c>
      <c r="N21" s="50" t="s">
        <v>132</v>
      </c>
      <c r="O21" s="50" t="s">
        <v>133</v>
      </c>
      <c r="P21" s="51" t="s">
        <v>134</v>
      </c>
      <c r="Q21" s="50" t="s">
        <v>135</v>
      </c>
      <c r="R21" s="50" t="s">
        <v>136</v>
      </c>
      <c r="S21" s="50" t="s">
        <v>137</v>
      </c>
      <c r="T21" s="51" t="s">
        <v>138</v>
      </c>
      <c r="U21" s="50" t="s">
        <v>139</v>
      </c>
      <c r="V21" s="50" t="s">
        <v>140</v>
      </c>
      <c r="W21" s="50" t="s">
        <v>141</v>
      </c>
      <c r="X21" s="51" t="s">
        <v>142</v>
      </c>
      <c r="Y21" s="50" t="s">
        <v>143</v>
      </c>
      <c r="Z21" s="50" t="s">
        <v>144</v>
      </c>
      <c r="AA21" s="50" t="s">
        <v>145</v>
      </c>
      <c r="AB21" s="51" t="s">
        <v>146</v>
      </c>
      <c r="AC21" s="50" t="s">
        <v>147</v>
      </c>
      <c r="AD21" s="50" t="s">
        <v>148</v>
      </c>
      <c r="AE21" s="50" t="s">
        <v>149</v>
      </c>
      <c r="AF21" s="51" t="s">
        <v>150</v>
      </c>
      <c r="AG21" s="50" t="s">
        <v>151</v>
      </c>
      <c r="AH21" s="50" t="s">
        <v>152</v>
      </c>
      <c r="AI21" s="50" t="s">
        <v>153</v>
      </c>
      <c r="AJ21" s="51" t="s">
        <v>154</v>
      </c>
      <c r="AK21" s="50" t="s">
        <v>155</v>
      </c>
      <c r="AL21" s="50" t="s">
        <v>156</v>
      </c>
      <c r="AM21" s="50" t="s">
        <v>157</v>
      </c>
      <c r="AN21" s="51" t="s">
        <v>158</v>
      </c>
      <c r="AO21" s="50" t="s">
        <v>159</v>
      </c>
      <c r="AP21" s="50" t="s">
        <v>160</v>
      </c>
      <c r="AQ21" s="50" t="s">
        <v>161</v>
      </c>
    </row>
    <row r="22" spans="1:43" ht="12.75" x14ac:dyDescent="0.2">
      <c r="A22" s="38" t="s">
        <v>176</v>
      </c>
      <c r="B22" s="39">
        <v>10200</v>
      </c>
      <c r="C22" s="39">
        <v>9099</v>
      </c>
      <c r="D22" s="39">
        <v>11263</v>
      </c>
      <c r="E22" s="39">
        <v>13968</v>
      </c>
      <c r="F22" s="39">
        <v>15302</v>
      </c>
      <c r="G22" s="39">
        <v>13704</v>
      </c>
      <c r="H22" s="39">
        <v>15453</v>
      </c>
      <c r="I22" s="39">
        <v>19019</v>
      </c>
      <c r="J22" s="39">
        <v>23146</v>
      </c>
      <c r="K22" s="39">
        <v>22946</v>
      </c>
      <c r="L22" s="39"/>
      <c r="M22" s="39">
        <v>3007</v>
      </c>
      <c r="N22" s="39">
        <v>3568</v>
      </c>
      <c r="O22" s="39">
        <v>3556</v>
      </c>
      <c r="P22" s="40">
        <v>3837</v>
      </c>
      <c r="Q22" s="39">
        <v>3596</v>
      </c>
      <c r="R22" s="39">
        <v>4076</v>
      </c>
      <c r="S22" s="39">
        <v>3727</v>
      </c>
      <c r="T22" s="40">
        <v>3903</v>
      </c>
      <c r="U22" s="39">
        <v>3563</v>
      </c>
      <c r="V22" s="39">
        <v>3149</v>
      </c>
      <c r="W22" s="39">
        <v>3255</v>
      </c>
      <c r="X22" s="40">
        <v>3737</v>
      </c>
      <c r="Y22" s="39">
        <v>3340</v>
      </c>
      <c r="Z22" s="39">
        <v>3835</v>
      </c>
      <c r="AA22" s="39">
        <v>3967</v>
      </c>
      <c r="AB22" s="40">
        <v>4311</v>
      </c>
      <c r="AC22" s="39">
        <v>4257</v>
      </c>
      <c r="AD22" s="39">
        <v>4055</v>
      </c>
      <c r="AE22" s="39">
        <v>4913</v>
      </c>
      <c r="AF22" s="40">
        <v>5794</v>
      </c>
      <c r="AG22" s="39">
        <v>5596</v>
      </c>
      <c r="AH22" s="39">
        <v>6023</v>
      </c>
      <c r="AI22" s="39">
        <v>5779</v>
      </c>
      <c r="AJ22" s="40">
        <v>5748</v>
      </c>
      <c r="AK22" s="39">
        <v>5182</v>
      </c>
      <c r="AL22" s="39">
        <v>5949</v>
      </c>
      <c r="AM22" s="39">
        <v>5825</v>
      </c>
      <c r="AN22" s="40">
        <v>5990</v>
      </c>
      <c r="AO22" s="39">
        <v>6140</v>
      </c>
      <c r="AP22" s="39">
        <v>5671</v>
      </c>
      <c r="AQ22" s="39">
        <v>5334</v>
      </c>
    </row>
    <row r="23" spans="1:43" ht="12.75" x14ac:dyDescent="0.2">
      <c r="A23" s="38" t="s">
        <v>177</v>
      </c>
      <c r="B23" s="39">
        <v>28663</v>
      </c>
      <c r="C23" s="39">
        <v>27102</v>
      </c>
      <c r="D23" s="39">
        <v>31364</v>
      </c>
      <c r="E23" s="39">
        <v>38285</v>
      </c>
      <c r="F23" s="39">
        <v>40849</v>
      </c>
      <c r="G23" s="39">
        <v>36122</v>
      </c>
      <c r="H23" s="39">
        <v>39645</v>
      </c>
      <c r="I23" s="39">
        <v>49694</v>
      </c>
      <c r="J23" s="39">
        <v>60343</v>
      </c>
      <c r="K23" s="39">
        <v>63604</v>
      </c>
      <c r="L23" s="39"/>
      <c r="M23" s="39">
        <v>8233</v>
      </c>
      <c r="N23" s="39">
        <v>9843</v>
      </c>
      <c r="O23" s="39">
        <v>9651</v>
      </c>
      <c r="P23" s="40">
        <v>10558</v>
      </c>
      <c r="Q23" s="39">
        <v>9785</v>
      </c>
      <c r="R23" s="39">
        <v>10626</v>
      </c>
      <c r="S23" s="39">
        <v>10158</v>
      </c>
      <c r="T23" s="40">
        <v>10280</v>
      </c>
      <c r="U23" s="39">
        <v>9134</v>
      </c>
      <c r="V23" s="39">
        <v>8458</v>
      </c>
      <c r="W23" s="39">
        <v>8724</v>
      </c>
      <c r="X23" s="40">
        <v>9806</v>
      </c>
      <c r="Y23" s="39">
        <v>8773</v>
      </c>
      <c r="Z23" s="39">
        <v>9733</v>
      </c>
      <c r="AA23" s="39">
        <v>9966</v>
      </c>
      <c r="AB23" s="40">
        <v>11173</v>
      </c>
      <c r="AC23" s="39">
        <v>11088</v>
      </c>
      <c r="AD23" s="39">
        <v>11868</v>
      </c>
      <c r="AE23" s="39">
        <v>12802</v>
      </c>
      <c r="AF23" s="40">
        <v>13936</v>
      </c>
      <c r="AG23" s="39">
        <v>13868</v>
      </c>
      <c r="AH23" s="39">
        <v>15910</v>
      </c>
      <c r="AI23" s="39">
        <v>14997</v>
      </c>
      <c r="AJ23" s="40">
        <v>15568</v>
      </c>
      <c r="AK23" s="39">
        <v>14143</v>
      </c>
      <c r="AL23" s="39">
        <v>16511</v>
      </c>
      <c r="AM23" s="39">
        <v>15699</v>
      </c>
      <c r="AN23" s="40">
        <v>17251</v>
      </c>
      <c r="AO23" s="39">
        <v>15536</v>
      </c>
      <c r="AP23" s="39">
        <v>15130</v>
      </c>
      <c r="AQ23" s="39">
        <v>15242</v>
      </c>
    </row>
    <row r="24" spans="1:43" ht="12.75" x14ac:dyDescent="0.2">
      <c r="A24" s="41" t="s">
        <v>178</v>
      </c>
      <c r="B24" s="42" t="s">
        <v>179</v>
      </c>
      <c r="C24" s="56" t="s">
        <v>180</v>
      </c>
      <c r="D24" s="56" t="s">
        <v>181</v>
      </c>
      <c r="E24" s="56">
        <v>36.484262766096379</v>
      </c>
      <c r="F24" s="56">
        <v>37.45991333937183</v>
      </c>
      <c r="G24" s="56">
        <v>37.9</v>
      </c>
      <c r="H24" s="56">
        <v>39</v>
      </c>
      <c r="I24" s="56">
        <v>38.299999999999997</v>
      </c>
      <c r="J24" s="56">
        <v>38.4</v>
      </c>
      <c r="K24" s="56">
        <v>36.1</v>
      </c>
      <c r="L24" s="57"/>
      <c r="M24" s="56">
        <v>36.523745900643753</v>
      </c>
      <c r="N24" s="56">
        <v>36.249111043381085</v>
      </c>
      <c r="O24" s="56">
        <v>36.845922702310638</v>
      </c>
      <c r="P24" s="58">
        <v>36.342110248153062</v>
      </c>
      <c r="Q24" s="56">
        <v>36.750127746550845</v>
      </c>
      <c r="R24" s="56">
        <v>38.35874270656879</v>
      </c>
      <c r="S24" s="56">
        <v>36.690293364835597</v>
      </c>
      <c r="T24" s="58">
        <v>37.966926070038909</v>
      </c>
      <c r="U24" s="56">
        <v>39</v>
      </c>
      <c r="V24" s="56">
        <v>37.231023882714595</v>
      </c>
      <c r="W24" s="56">
        <v>37.310866574965615</v>
      </c>
      <c r="X24" s="58">
        <v>38.109320823985314</v>
      </c>
      <c r="Y24" s="56">
        <v>38.071355294654055</v>
      </c>
      <c r="Z24" s="56">
        <v>39.4</v>
      </c>
      <c r="AA24" s="56">
        <v>39.805338149709016</v>
      </c>
      <c r="AB24" s="58">
        <v>38.584086637429515</v>
      </c>
      <c r="AC24" s="56">
        <v>38.392857142857146</v>
      </c>
      <c r="AD24" s="56">
        <v>34.167509268621501</v>
      </c>
      <c r="AE24" s="56">
        <v>38.376816122480861</v>
      </c>
      <c r="AF24" s="58">
        <v>41.575774971297356</v>
      </c>
      <c r="AG24" s="56">
        <v>40.351889241419094</v>
      </c>
      <c r="AH24" s="56">
        <v>37.9</v>
      </c>
      <c r="AI24" s="56">
        <v>38.534373541374947</v>
      </c>
      <c r="AJ24" s="58">
        <v>36.921891058581707</v>
      </c>
      <c r="AK24" s="56">
        <v>36.640033939051122</v>
      </c>
      <c r="AL24" s="56">
        <v>36.030525104475799</v>
      </c>
      <c r="AM24" s="56">
        <v>37.104274157589657</v>
      </c>
      <c r="AN24" s="58">
        <v>34.722624775375337</v>
      </c>
      <c r="AO24" s="56">
        <v>40</v>
      </c>
      <c r="AP24" s="56">
        <v>37.481824190350302</v>
      </c>
      <c r="AQ24" s="56">
        <v>34.995407426846867</v>
      </c>
    </row>
    <row r="25" spans="1:43" ht="12.75" x14ac:dyDescent="0.2">
      <c r="A25" s="46" t="s">
        <v>165</v>
      </c>
      <c r="B25" s="32"/>
      <c r="C25" s="32"/>
      <c r="D25" s="33"/>
      <c r="E25" s="32"/>
      <c r="F25" s="32"/>
      <c r="G25" s="32"/>
      <c r="H25" s="32"/>
      <c r="I25" s="32"/>
      <c r="J25" s="32"/>
      <c r="K25" s="32"/>
      <c r="L25" s="32"/>
      <c r="M25" s="32"/>
      <c r="N25" s="32"/>
      <c r="O25" s="32"/>
      <c r="P25" s="34"/>
      <c r="Q25" s="32"/>
      <c r="R25" s="32"/>
      <c r="S25" s="32"/>
      <c r="T25" s="34"/>
      <c r="U25" s="32"/>
      <c r="V25" s="32"/>
      <c r="W25" s="32"/>
      <c r="X25" s="34"/>
      <c r="Y25" s="32"/>
      <c r="Z25" s="32"/>
      <c r="AA25" s="32"/>
      <c r="AB25" s="34"/>
      <c r="AC25" s="32"/>
      <c r="AD25" s="32"/>
      <c r="AE25" s="32"/>
      <c r="AF25" s="34"/>
      <c r="AG25" s="32"/>
      <c r="AH25" s="32"/>
      <c r="AI25" s="32"/>
      <c r="AJ25" s="34"/>
      <c r="AK25" s="32"/>
      <c r="AL25" s="32"/>
      <c r="AM25" s="32"/>
      <c r="AN25" s="34"/>
      <c r="AO25" s="32"/>
      <c r="AP25" s="32"/>
      <c r="AQ25" s="32"/>
    </row>
    <row r="26" spans="1:43" ht="12.75" x14ac:dyDescent="0.2">
      <c r="A26" s="32"/>
      <c r="B26" s="32"/>
      <c r="C26" s="32"/>
      <c r="D26" s="33"/>
      <c r="E26" s="32"/>
      <c r="F26" s="32"/>
      <c r="G26" s="32"/>
      <c r="H26" s="32"/>
      <c r="I26" s="32"/>
      <c r="J26" s="32"/>
      <c r="K26" s="32"/>
      <c r="L26" s="32"/>
      <c r="M26" s="32"/>
      <c r="N26" s="32"/>
      <c r="O26" s="32"/>
      <c r="P26" s="34"/>
      <c r="Q26" s="32"/>
      <c r="R26" s="32"/>
      <c r="S26" s="32"/>
      <c r="T26" s="34"/>
      <c r="U26" s="32"/>
      <c r="V26" s="32"/>
      <c r="W26" s="32"/>
      <c r="X26" s="34"/>
      <c r="Y26" s="32"/>
      <c r="Z26" s="32"/>
      <c r="AA26" s="32"/>
      <c r="AB26" s="34"/>
      <c r="AC26" s="32"/>
      <c r="AD26" s="32"/>
      <c r="AE26" s="32"/>
      <c r="AF26" s="34"/>
      <c r="AG26" s="32"/>
      <c r="AH26" s="32"/>
      <c r="AI26" s="32"/>
      <c r="AJ26" s="34"/>
      <c r="AK26" s="32"/>
      <c r="AL26" s="32"/>
      <c r="AM26" s="32"/>
      <c r="AN26" s="34"/>
      <c r="AO26" s="32"/>
      <c r="AP26" s="32"/>
      <c r="AQ26" s="32"/>
    </row>
    <row r="27" spans="1:43" ht="12.75" x14ac:dyDescent="0.2">
      <c r="A27" s="47" t="s">
        <v>182</v>
      </c>
      <c r="B27" s="48">
        <v>2015</v>
      </c>
      <c r="C27" s="48">
        <v>2016</v>
      </c>
      <c r="D27" s="48" t="s">
        <v>130</v>
      </c>
      <c r="E27" s="48">
        <v>2018</v>
      </c>
      <c r="F27" s="48">
        <v>2019</v>
      </c>
      <c r="G27" s="48">
        <v>2020</v>
      </c>
      <c r="H27" s="48">
        <v>2021</v>
      </c>
      <c r="I27" s="48">
        <v>2022</v>
      </c>
      <c r="J27" s="48">
        <v>2023</v>
      </c>
      <c r="K27" s="48">
        <v>2024</v>
      </c>
      <c r="L27" s="49"/>
      <c r="M27" s="50" t="s">
        <v>131</v>
      </c>
      <c r="N27" s="50" t="s">
        <v>132</v>
      </c>
      <c r="O27" s="50" t="s">
        <v>133</v>
      </c>
      <c r="P27" s="51" t="s">
        <v>134</v>
      </c>
      <c r="Q27" s="50" t="s">
        <v>135</v>
      </c>
      <c r="R27" s="50" t="s">
        <v>136</v>
      </c>
      <c r="S27" s="50" t="s">
        <v>137</v>
      </c>
      <c r="T27" s="51" t="s">
        <v>138</v>
      </c>
      <c r="U27" s="50" t="s">
        <v>139</v>
      </c>
      <c r="V27" s="50" t="s">
        <v>140</v>
      </c>
      <c r="W27" s="50" t="s">
        <v>141</v>
      </c>
      <c r="X27" s="51" t="s">
        <v>142</v>
      </c>
      <c r="Y27" s="50" t="s">
        <v>143</v>
      </c>
      <c r="Z27" s="50" t="s">
        <v>144</v>
      </c>
      <c r="AA27" s="50" t="s">
        <v>145</v>
      </c>
      <c r="AB27" s="51" t="s">
        <v>146</v>
      </c>
      <c r="AC27" s="50" t="s">
        <v>147</v>
      </c>
      <c r="AD27" s="50" t="s">
        <v>148</v>
      </c>
      <c r="AE27" s="50" t="s">
        <v>149</v>
      </c>
      <c r="AF27" s="51" t="s">
        <v>150</v>
      </c>
      <c r="AG27" s="50" t="s">
        <v>151</v>
      </c>
      <c r="AH27" s="50" t="s">
        <v>152</v>
      </c>
      <c r="AI27" s="50" t="s">
        <v>153</v>
      </c>
      <c r="AJ27" s="51" t="s">
        <v>154</v>
      </c>
      <c r="AK27" s="50" t="s">
        <v>155</v>
      </c>
      <c r="AL27" s="50" t="s">
        <v>156</v>
      </c>
      <c r="AM27" s="50" t="s">
        <v>157</v>
      </c>
      <c r="AN27" s="51" t="s">
        <v>158</v>
      </c>
      <c r="AO27" s="50" t="s">
        <v>159</v>
      </c>
      <c r="AP27" s="50" t="s">
        <v>160</v>
      </c>
      <c r="AQ27" s="50" t="s">
        <v>161</v>
      </c>
    </row>
    <row r="28" spans="1:43" ht="12.75" x14ac:dyDescent="0.2">
      <c r="A28" s="38" t="s">
        <v>183</v>
      </c>
      <c r="B28" s="39">
        <v>5175</v>
      </c>
      <c r="C28" s="39">
        <v>4548</v>
      </c>
      <c r="D28" s="39">
        <v>5930</v>
      </c>
      <c r="E28" s="39">
        <v>7385</v>
      </c>
      <c r="F28" s="39">
        <v>8136</v>
      </c>
      <c r="G28" s="39">
        <v>7382</v>
      </c>
      <c r="H28" s="39">
        <v>8995</v>
      </c>
      <c r="I28" s="39">
        <v>11147</v>
      </c>
      <c r="J28" s="39">
        <v>13183</v>
      </c>
      <c r="K28" s="39">
        <v>12385</v>
      </c>
      <c r="L28" s="39"/>
      <c r="M28" s="39">
        <v>1515</v>
      </c>
      <c r="N28" s="39">
        <v>1810</v>
      </c>
      <c r="O28" s="39">
        <v>1898</v>
      </c>
      <c r="P28" s="40">
        <v>2162</v>
      </c>
      <c r="Q28" s="39">
        <v>1930</v>
      </c>
      <c r="R28" s="39">
        <v>2262.5304182700002</v>
      </c>
      <c r="S28" s="39">
        <v>1927.4103993842</v>
      </c>
      <c r="T28" s="40">
        <v>2016.060167183</v>
      </c>
      <c r="U28" s="39">
        <v>1932</v>
      </c>
      <c r="V28" s="39">
        <v>1418</v>
      </c>
      <c r="W28" s="39">
        <v>1820</v>
      </c>
      <c r="X28" s="40">
        <v>2212</v>
      </c>
      <c r="Y28" s="39">
        <v>1867</v>
      </c>
      <c r="Z28" s="39">
        <v>2182</v>
      </c>
      <c r="AA28" s="39">
        <v>2352</v>
      </c>
      <c r="AB28" s="40">
        <v>2594</v>
      </c>
      <c r="AC28" s="39">
        <v>2631</v>
      </c>
      <c r="AD28" s="39">
        <v>2381</v>
      </c>
      <c r="AE28" s="39">
        <v>2900</v>
      </c>
      <c r="AF28" s="40">
        <v>3235</v>
      </c>
      <c r="AG28" s="39">
        <v>3161</v>
      </c>
      <c r="AH28" s="39">
        <v>3413</v>
      </c>
      <c r="AI28" s="39">
        <v>3260</v>
      </c>
      <c r="AJ28" s="40">
        <v>3349</v>
      </c>
      <c r="AK28" s="39">
        <v>2760</v>
      </c>
      <c r="AL28" s="39">
        <v>2921</v>
      </c>
      <c r="AM28" s="39">
        <v>3277</v>
      </c>
      <c r="AN28" s="40">
        <v>3427</v>
      </c>
      <c r="AO28" s="39">
        <v>3088</v>
      </c>
      <c r="AP28" s="39">
        <v>2831</v>
      </c>
      <c r="AQ28" s="39">
        <v>2802</v>
      </c>
    </row>
    <row r="29" spans="1:43" ht="12.75" x14ac:dyDescent="0.2">
      <c r="A29" s="38" t="s">
        <v>177</v>
      </c>
      <c r="B29" s="39">
        <v>28663</v>
      </c>
      <c r="C29" s="39">
        <v>27102</v>
      </c>
      <c r="D29" s="39">
        <v>31364</v>
      </c>
      <c r="E29" s="39">
        <v>38285</v>
      </c>
      <c r="F29" s="39">
        <v>40849</v>
      </c>
      <c r="G29" s="39">
        <v>36122</v>
      </c>
      <c r="H29" s="39">
        <v>39645</v>
      </c>
      <c r="I29" s="39">
        <v>49694</v>
      </c>
      <c r="J29" s="39">
        <v>60343</v>
      </c>
      <c r="K29" s="39">
        <v>63604</v>
      </c>
      <c r="L29" s="39"/>
      <c r="M29" s="39">
        <v>8233</v>
      </c>
      <c r="N29" s="39">
        <v>9843</v>
      </c>
      <c r="O29" s="39">
        <v>9651</v>
      </c>
      <c r="P29" s="40">
        <v>10558</v>
      </c>
      <c r="Q29" s="39">
        <v>9785</v>
      </c>
      <c r="R29" s="39">
        <v>10626</v>
      </c>
      <c r="S29" s="39">
        <v>10158</v>
      </c>
      <c r="T29" s="40">
        <v>10280</v>
      </c>
      <c r="U29" s="39">
        <v>9134</v>
      </c>
      <c r="V29" s="39">
        <v>8458</v>
      </c>
      <c r="W29" s="39">
        <v>8724</v>
      </c>
      <c r="X29" s="40">
        <v>9806</v>
      </c>
      <c r="Y29" s="39">
        <v>8773</v>
      </c>
      <c r="Z29" s="39">
        <v>9733</v>
      </c>
      <c r="AA29" s="39">
        <v>9966</v>
      </c>
      <c r="AB29" s="40">
        <v>11173</v>
      </c>
      <c r="AC29" s="39">
        <v>11088</v>
      </c>
      <c r="AD29" s="39">
        <v>11868</v>
      </c>
      <c r="AE29" s="39">
        <v>12802</v>
      </c>
      <c r="AF29" s="40">
        <v>13936</v>
      </c>
      <c r="AG29" s="39">
        <v>13868</v>
      </c>
      <c r="AH29" s="39">
        <v>15910</v>
      </c>
      <c r="AI29" s="39">
        <v>14997</v>
      </c>
      <c r="AJ29" s="40">
        <v>15568</v>
      </c>
      <c r="AK29" s="39">
        <v>14143</v>
      </c>
      <c r="AL29" s="39">
        <v>16511</v>
      </c>
      <c r="AM29" s="39">
        <v>15699</v>
      </c>
      <c r="AN29" s="40">
        <v>17251</v>
      </c>
      <c r="AO29" s="39">
        <v>15536</v>
      </c>
      <c r="AP29" s="39">
        <v>15130</v>
      </c>
      <c r="AQ29" s="39">
        <v>15242</v>
      </c>
    </row>
    <row r="30" spans="1:43" ht="12.75" x14ac:dyDescent="0.2">
      <c r="A30" s="41" t="s">
        <v>184</v>
      </c>
      <c r="B30" s="42">
        <v>18.100000000000001</v>
      </c>
      <c r="C30" s="56">
        <v>16.8</v>
      </c>
      <c r="D30" s="56">
        <v>18.899999999999999</v>
      </c>
      <c r="E30" s="56">
        <v>19.3</v>
      </c>
      <c r="F30" s="56">
        <v>19.899999999999999</v>
      </c>
      <c r="G30" s="56">
        <v>20.399999999999999</v>
      </c>
      <c r="H30" s="56">
        <v>22.7</v>
      </c>
      <c r="I30" s="56">
        <v>22.4</v>
      </c>
      <c r="J30" s="56">
        <v>21.8</v>
      </c>
      <c r="K30" s="56">
        <v>19.5</v>
      </c>
      <c r="L30" s="57"/>
      <c r="M30" s="56">
        <v>18.401554718814527</v>
      </c>
      <c r="N30" s="56">
        <v>18.388702631311592</v>
      </c>
      <c r="O30" s="56">
        <v>19.666355818049944</v>
      </c>
      <c r="P30" s="58">
        <v>20.477363136957756</v>
      </c>
      <c r="Q30" s="56">
        <v>19.724067450178843</v>
      </c>
      <c r="R30" s="56">
        <v>21.292399946075665</v>
      </c>
      <c r="S30" s="56">
        <v>18.974309897462099</v>
      </c>
      <c r="T30" s="58">
        <v>19.611480225515564</v>
      </c>
      <c r="U30" s="56">
        <v>21.2</v>
      </c>
      <c r="V30" s="56">
        <v>16.765192716954363</v>
      </c>
      <c r="W30" s="56">
        <v>20.861989912883999</v>
      </c>
      <c r="X30" s="58">
        <v>22.557617785029574</v>
      </c>
      <c r="Y30" s="56">
        <v>21.281203693149436</v>
      </c>
      <c r="Z30" s="56">
        <v>22.4</v>
      </c>
      <c r="AA30" s="56">
        <v>23.600240818783867</v>
      </c>
      <c r="AB30" s="58">
        <v>23.21668307527074</v>
      </c>
      <c r="AC30" s="56">
        <v>23.728354978354979</v>
      </c>
      <c r="AD30" s="56">
        <v>20.062352544657905</v>
      </c>
      <c r="AE30" s="56">
        <v>22.652710513982193</v>
      </c>
      <c r="AF30" s="58">
        <v>23.213260619977039</v>
      </c>
      <c r="AG30" s="56">
        <v>22.793481396019612</v>
      </c>
      <c r="AH30" s="56">
        <v>21.5</v>
      </c>
      <c r="AI30" s="56">
        <v>21.737680869507233</v>
      </c>
      <c r="AJ30" s="58">
        <v>21.512076053442961</v>
      </c>
      <c r="AK30" s="56">
        <v>19.514954394400057</v>
      </c>
      <c r="AL30" s="56">
        <v>17.691236145599902</v>
      </c>
      <c r="AM30" s="56">
        <v>20.873941015351296</v>
      </c>
      <c r="AN30" s="58">
        <v>19.865515042606223</v>
      </c>
      <c r="AO30" s="56">
        <v>19.899999999999999</v>
      </c>
      <c r="AP30" s="56">
        <v>18.711169861202908</v>
      </c>
      <c r="AQ30" s="56">
        <v>18.383414250098411</v>
      </c>
    </row>
    <row r="31" spans="1:43" ht="12.75" x14ac:dyDescent="0.2">
      <c r="A31" s="46" t="s">
        <v>165</v>
      </c>
      <c r="B31" s="32"/>
      <c r="C31" s="32"/>
      <c r="D31" s="33"/>
      <c r="E31" s="32"/>
      <c r="F31" s="32"/>
      <c r="G31" s="32"/>
      <c r="H31" s="32"/>
      <c r="I31" s="32"/>
      <c r="J31" s="32"/>
      <c r="K31" s="32"/>
      <c r="L31" s="32"/>
      <c r="M31" s="32"/>
      <c r="N31" s="32"/>
      <c r="O31" s="32"/>
      <c r="P31" s="34"/>
      <c r="Q31" s="32"/>
      <c r="R31" s="32"/>
      <c r="S31" s="32"/>
      <c r="T31" s="34"/>
      <c r="U31" s="32"/>
      <c r="V31" s="32"/>
      <c r="W31" s="32"/>
      <c r="X31" s="34"/>
      <c r="Y31" s="32"/>
      <c r="Z31" s="32"/>
      <c r="AA31" s="32"/>
      <c r="AB31" s="34"/>
      <c r="AC31" s="32"/>
      <c r="AD31" s="32"/>
      <c r="AE31" s="32"/>
      <c r="AF31" s="34"/>
      <c r="AG31" s="32"/>
      <c r="AH31" s="32"/>
      <c r="AI31" s="32"/>
      <c r="AJ31" s="34"/>
      <c r="AK31" s="32"/>
      <c r="AL31" s="32"/>
      <c r="AM31" s="32"/>
      <c r="AN31" s="34"/>
      <c r="AO31" s="32"/>
      <c r="AP31" s="32"/>
      <c r="AQ31" s="32"/>
    </row>
    <row r="32" spans="1:43" ht="12.75" x14ac:dyDescent="0.2">
      <c r="A32" s="32"/>
      <c r="B32" s="32"/>
      <c r="C32" s="32"/>
      <c r="D32" s="33"/>
      <c r="E32" s="32"/>
      <c r="F32" s="32"/>
      <c r="G32" s="32"/>
      <c r="H32" s="32"/>
      <c r="I32" s="32"/>
      <c r="J32" s="32"/>
      <c r="K32" s="32"/>
      <c r="L32" s="32"/>
      <c r="M32" s="32"/>
      <c r="N32" s="32"/>
      <c r="O32" s="32"/>
      <c r="P32" s="34"/>
      <c r="Q32" s="32"/>
      <c r="R32" s="32"/>
      <c r="S32" s="32"/>
      <c r="T32" s="34"/>
      <c r="U32" s="32"/>
      <c r="V32" s="32"/>
      <c r="W32" s="32"/>
      <c r="X32" s="34"/>
      <c r="Y32" s="32"/>
      <c r="Z32" s="32"/>
      <c r="AA32" s="32"/>
      <c r="AB32" s="34"/>
      <c r="AC32" s="32"/>
      <c r="AD32" s="32"/>
      <c r="AE32" s="32"/>
      <c r="AF32" s="34"/>
      <c r="AG32" s="32"/>
      <c r="AH32" s="32"/>
      <c r="AI32" s="32"/>
      <c r="AJ32" s="34"/>
      <c r="AK32" s="32"/>
      <c r="AL32" s="32"/>
      <c r="AM32" s="32"/>
      <c r="AN32" s="34"/>
      <c r="AO32" s="32"/>
      <c r="AP32" s="32"/>
      <c r="AQ32" s="32"/>
    </row>
    <row r="33" spans="1:43" ht="12.75" x14ac:dyDescent="0.2">
      <c r="A33" s="47" t="s">
        <v>185</v>
      </c>
      <c r="B33" s="48"/>
      <c r="C33" s="48"/>
      <c r="D33" s="48"/>
      <c r="E33" s="48">
        <v>2018</v>
      </c>
      <c r="F33" s="48" t="s">
        <v>186</v>
      </c>
      <c r="G33" s="48" t="s">
        <v>187</v>
      </c>
      <c r="H33" s="48" t="s">
        <v>188</v>
      </c>
      <c r="I33" s="48" t="s">
        <v>189</v>
      </c>
      <c r="J33" s="48" t="s">
        <v>190</v>
      </c>
      <c r="K33" s="48" t="s">
        <v>191</v>
      </c>
      <c r="L33" s="49"/>
      <c r="M33" s="50" t="s">
        <v>131</v>
      </c>
      <c r="N33" s="50" t="s">
        <v>132</v>
      </c>
      <c r="O33" s="50" t="s">
        <v>133</v>
      </c>
      <c r="P33" s="51" t="s">
        <v>134</v>
      </c>
      <c r="Q33" s="50" t="s">
        <v>135</v>
      </c>
      <c r="R33" s="50" t="s">
        <v>136</v>
      </c>
      <c r="S33" s="50" t="s">
        <v>137</v>
      </c>
      <c r="T33" s="51" t="s">
        <v>138</v>
      </c>
      <c r="U33" s="50" t="s">
        <v>139</v>
      </c>
      <c r="V33" s="50" t="s">
        <v>140</v>
      </c>
      <c r="W33" s="50" t="s">
        <v>141</v>
      </c>
      <c r="X33" s="51" t="s">
        <v>142</v>
      </c>
      <c r="Y33" s="50" t="s">
        <v>143</v>
      </c>
      <c r="Z33" s="50" t="s">
        <v>144</v>
      </c>
      <c r="AA33" s="50" t="s">
        <v>145</v>
      </c>
      <c r="AB33" s="51" t="s">
        <v>146</v>
      </c>
      <c r="AC33" s="50" t="s">
        <v>147</v>
      </c>
      <c r="AD33" s="50" t="s">
        <v>148</v>
      </c>
      <c r="AE33" s="50" t="s">
        <v>149</v>
      </c>
      <c r="AF33" s="51" t="s">
        <v>150</v>
      </c>
      <c r="AG33" s="50" t="s">
        <v>151</v>
      </c>
      <c r="AH33" s="50" t="s">
        <v>152</v>
      </c>
      <c r="AI33" s="50" t="s">
        <v>153</v>
      </c>
      <c r="AJ33" s="51" t="s">
        <v>154</v>
      </c>
      <c r="AK33" s="50" t="s">
        <v>155</v>
      </c>
      <c r="AL33" s="50" t="s">
        <v>156</v>
      </c>
      <c r="AM33" s="50" t="s">
        <v>157</v>
      </c>
      <c r="AN33" s="51" t="s">
        <v>158</v>
      </c>
      <c r="AO33" s="50" t="s">
        <v>159</v>
      </c>
      <c r="AP33" s="50" t="s">
        <v>160</v>
      </c>
      <c r="AQ33" s="50" t="s">
        <v>161</v>
      </c>
    </row>
    <row r="34" spans="1:43" ht="12.75" x14ac:dyDescent="0.2">
      <c r="A34" s="32" t="s">
        <v>192</v>
      </c>
      <c r="B34" s="39"/>
      <c r="C34" s="59"/>
      <c r="D34" s="39"/>
      <c r="E34" s="59">
        <v>7385</v>
      </c>
      <c r="F34" s="59">
        <v>8136</v>
      </c>
      <c r="G34" s="59">
        <v>7382</v>
      </c>
      <c r="H34" s="59">
        <v>8995</v>
      </c>
      <c r="I34" s="59">
        <v>11147</v>
      </c>
      <c r="J34" s="59">
        <v>13183</v>
      </c>
      <c r="K34" s="59">
        <v>12385</v>
      </c>
      <c r="L34" s="39"/>
      <c r="M34" s="59">
        <v>1515</v>
      </c>
      <c r="N34" s="59">
        <v>1810</v>
      </c>
      <c r="O34" s="59">
        <v>1898</v>
      </c>
      <c r="P34" s="40">
        <v>2162</v>
      </c>
      <c r="Q34" s="59">
        <v>1930</v>
      </c>
      <c r="R34" s="59">
        <v>2262.5304182700002</v>
      </c>
      <c r="S34" s="59">
        <v>1927.4103993842</v>
      </c>
      <c r="T34" s="40">
        <v>2016.060167183</v>
      </c>
      <c r="U34" s="59">
        <v>1932</v>
      </c>
      <c r="V34" s="59">
        <v>1418</v>
      </c>
      <c r="W34" s="59">
        <v>1820</v>
      </c>
      <c r="X34" s="40">
        <v>2212</v>
      </c>
      <c r="Y34" s="59">
        <v>1867</v>
      </c>
      <c r="Z34" s="59">
        <v>2182</v>
      </c>
      <c r="AA34" s="59">
        <v>2352</v>
      </c>
      <c r="AB34" s="40">
        <v>2594</v>
      </c>
      <c r="AC34" s="59">
        <v>2631</v>
      </c>
      <c r="AD34" s="59">
        <v>2381</v>
      </c>
      <c r="AE34" s="59">
        <v>2900</v>
      </c>
      <c r="AF34" s="40">
        <v>3235</v>
      </c>
      <c r="AG34" s="59">
        <v>3161</v>
      </c>
      <c r="AH34" s="59">
        <v>3413</v>
      </c>
      <c r="AI34" s="59">
        <v>3260</v>
      </c>
      <c r="AJ34" s="40">
        <v>3349</v>
      </c>
      <c r="AK34" s="59">
        <v>2760</v>
      </c>
      <c r="AL34" s="59">
        <v>2921</v>
      </c>
      <c r="AM34" s="59">
        <v>3277</v>
      </c>
      <c r="AN34" s="40">
        <v>3427</v>
      </c>
      <c r="AO34" s="59">
        <v>3088</v>
      </c>
      <c r="AP34" s="59">
        <v>2831</v>
      </c>
      <c r="AQ34" s="59">
        <v>2802</v>
      </c>
    </row>
    <row r="35" spans="1:43" ht="22.5" x14ac:dyDescent="0.2">
      <c r="A35" s="60" t="s">
        <v>193</v>
      </c>
      <c r="B35" s="39"/>
      <c r="C35" s="38"/>
      <c r="D35" s="61"/>
      <c r="E35" s="38">
        <v>66</v>
      </c>
      <c r="F35" s="38">
        <v>194</v>
      </c>
      <c r="G35" s="38">
        <v>99</v>
      </c>
      <c r="H35" s="38">
        <v>270</v>
      </c>
      <c r="I35" s="38">
        <v>-37</v>
      </c>
      <c r="J35" s="38">
        <v>63</v>
      </c>
      <c r="K35" s="38">
        <v>0</v>
      </c>
      <c r="L35" s="39"/>
      <c r="M35" s="38">
        <v>0</v>
      </c>
      <c r="N35" s="38">
        <v>77</v>
      </c>
      <c r="O35" s="38">
        <v>56</v>
      </c>
      <c r="P35" s="40">
        <v>-67</v>
      </c>
      <c r="Q35" s="38">
        <v>59</v>
      </c>
      <c r="R35" s="38">
        <v>39</v>
      </c>
      <c r="S35" s="38">
        <v>54</v>
      </c>
      <c r="T35" s="40">
        <v>42</v>
      </c>
      <c r="U35" s="38">
        <v>-65</v>
      </c>
      <c r="V35" s="38">
        <v>91</v>
      </c>
      <c r="W35" s="38">
        <v>21</v>
      </c>
      <c r="X35" s="40">
        <v>52</v>
      </c>
      <c r="Y35" s="38">
        <v>149</v>
      </c>
      <c r="Z35" s="38">
        <v>15</v>
      </c>
      <c r="AA35" s="38">
        <v>-21</v>
      </c>
      <c r="AB35" s="40">
        <v>127</v>
      </c>
      <c r="AC35" s="38">
        <v>-43</v>
      </c>
      <c r="AD35" s="38">
        <v>-75</v>
      </c>
      <c r="AE35" s="38">
        <v>14</v>
      </c>
      <c r="AF35" s="40">
        <v>67</v>
      </c>
      <c r="AG35" s="38">
        <v>26</v>
      </c>
      <c r="AH35" s="38">
        <v>16</v>
      </c>
      <c r="AI35" s="38">
        <v>19</v>
      </c>
      <c r="AJ35" s="40">
        <v>2</v>
      </c>
      <c r="AK35" s="38">
        <v>2</v>
      </c>
      <c r="AL35" s="38">
        <v>18</v>
      </c>
      <c r="AM35" s="38">
        <v>17</v>
      </c>
      <c r="AN35" s="40">
        <v>-37</v>
      </c>
      <c r="AO35" s="38">
        <v>11</v>
      </c>
      <c r="AP35" s="38">
        <v>6</v>
      </c>
      <c r="AQ35" s="38">
        <v>-1</v>
      </c>
    </row>
    <row r="36" spans="1:43" ht="12.75" x14ac:dyDescent="0.2">
      <c r="A36" s="60" t="s">
        <v>194</v>
      </c>
      <c r="B36" s="39"/>
      <c r="C36" s="38"/>
      <c r="D36" s="61"/>
      <c r="E36" s="38"/>
      <c r="F36" s="38">
        <v>28</v>
      </c>
      <c r="G36" s="62" t="s">
        <v>195</v>
      </c>
      <c r="H36" s="62" t="s">
        <v>195</v>
      </c>
      <c r="I36" s="62" t="s">
        <v>195</v>
      </c>
      <c r="J36" s="62" t="s">
        <v>195</v>
      </c>
      <c r="K36" s="62" t="s">
        <v>195</v>
      </c>
      <c r="L36" s="39"/>
      <c r="M36" s="38"/>
      <c r="N36" s="38"/>
      <c r="O36" s="38"/>
      <c r="P36" s="40"/>
      <c r="Q36" s="38"/>
      <c r="R36" s="38"/>
      <c r="S36" s="38"/>
      <c r="T36" s="40">
        <v>28</v>
      </c>
      <c r="U36" s="61" t="s">
        <v>195</v>
      </c>
      <c r="V36" s="61" t="s">
        <v>195</v>
      </c>
      <c r="W36" s="61" t="s">
        <v>195</v>
      </c>
      <c r="X36" s="40" t="s">
        <v>195</v>
      </c>
      <c r="Y36" s="61" t="s">
        <v>195</v>
      </c>
      <c r="Z36" s="61" t="s">
        <v>195</v>
      </c>
      <c r="AA36" s="61" t="s">
        <v>195</v>
      </c>
      <c r="AB36" s="40" t="s">
        <v>195</v>
      </c>
      <c r="AC36" s="61" t="s">
        <v>195</v>
      </c>
      <c r="AD36" s="61" t="s">
        <v>195</v>
      </c>
      <c r="AE36" s="61" t="s">
        <v>195</v>
      </c>
      <c r="AF36" s="40" t="s">
        <v>195</v>
      </c>
      <c r="AG36" s="61" t="s">
        <v>195</v>
      </c>
      <c r="AH36" s="61" t="s">
        <v>195</v>
      </c>
      <c r="AI36" s="61" t="s">
        <v>195</v>
      </c>
      <c r="AJ36" s="40" t="s">
        <v>195</v>
      </c>
      <c r="AK36" s="61" t="s">
        <v>195</v>
      </c>
      <c r="AL36" s="61" t="s">
        <v>195</v>
      </c>
      <c r="AM36" s="61" t="s">
        <v>195</v>
      </c>
      <c r="AN36" s="40" t="s">
        <v>195</v>
      </c>
      <c r="AO36" s="61" t="s">
        <v>195</v>
      </c>
      <c r="AP36" s="61" t="s">
        <v>195</v>
      </c>
      <c r="AQ36" s="61" t="s">
        <v>195</v>
      </c>
    </row>
    <row r="37" spans="1:43" ht="12.75" x14ac:dyDescent="0.2">
      <c r="A37" s="63" t="s">
        <v>196</v>
      </c>
      <c r="B37" s="39"/>
      <c r="C37" s="38"/>
      <c r="D37" s="61"/>
      <c r="E37" s="38">
        <v>328</v>
      </c>
      <c r="F37" s="38"/>
      <c r="G37" s="38"/>
      <c r="H37" s="62" t="s">
        <v>195</v>
      </c>
      <c r="I37" s="62" t="s">
        <v>195</v>
      </c>
      <c r="J37" s="62" t="s">
        <v>195</v>
      </c>
      <c r="K37" s="62" t="s">
        <v>195</v>
      </c>
      <c r="L37" s="39"/>
      <c r="M37" s="38">
        <v>95</v>
      </c>
      <c r="N37" s="38">
        <v>104</v>
      </c>
      <c r="O37" s="38">
        <v>70</v>
      </c>
      <c r="P37" s="64">
        <v>59</v>
      </c>
      <c r="Q37" s="38"/>
      <c r="R37" s="38"/>
      <c r="S37" s="38"/>
      <c r="T37" s="40"/>
      <c r="U37" s="61" t="s">
        <v>195</v>
      </c>
      <c r="V37" s="61" t="s">
        <v>195</v>
      </c>
      <c r="W37" s="61" t="s">
        <v>195</v>
      </c>
      <c r="X37" s="40" t="s">
        <v>195</v>
      </c>
      <c r="Y37" s="61" t="s">
        <v>195</v>
      </c>
      <c r="Z37" s="61" t="s">
        <v>195</v>
      </c>
      <c r="AA37" s="61" t="s">
        <v>195</v>
      </c>
      <c r="AB37" s="40" t="s">
        <v>195</v>
      </c>
      <c r="AC37" s="61" t="s">
        <v>195</v>
      </c>
      <c r="AD37" s="61" t="s">
        <v>195</v>
      </c>
      <c r="AE37" s="61" t="s">
        <v>195</v>
      </c>
      <c r="AF37" s="40" t="s">
        <v>195</v>
      </c>
      <c r="AG37" s="61" t="s">
        <v>195</v>
      </c>
      <c r="AH37" s="61" t="s">
        <v>195</v>
      </c>
      <c r="AI37" s="61" t="s">
        <v>195</v>
      </c>
      <c r="AJ37" s="40" t="s">
        <v>195</v>
      </c>
      <c r="AK37" s="61" t="s">
        <v>195</v>
      </c>
      <c r="AL37" s="61" t="s">
        <v>195</v>
      </c>
      <c r="AM37" s="61" t="s">
        <v>195</v>
      </c>
      <c r="AN37" s="40" t="s">
        <v>195</v>
      </c>
      <c r="AO37" s="61" t="s">
        <v>195</v>
      </c>
      <c r="AP37" s="61" t="s">
        <v>195</v>
      </c>
      <c r="AQ37" s="61" t="s">
        <v>195</v>
      </c>
    </row>
    <row r="38" spans="1:43" ht="12.75" x14ac:dyDescent="0.2">
      <c r="A38" s="63" t="s">
        <v>197</v>
      </c>
      <c r="B38" s="39"/>
      <c r="C38" s="38"/>
      <c r="D38" s="61"/>
      <c r="E38" s="38"/>
      <c r="F38" s="38">
        <v>28</v>
      </c>
      <c r="G38" s="38">
        <v>84</v>
      </c>
      <c r="H38" s="38">
        <v>-167</v>
      </c>
      <c r="I38" s="38">
        <v>560</v>
      </c>
      <c r="J38" s="38">
        <v>-287</v>
      </c>
      <c r="K38" s="38">
        <v>-51</v>
      </c>
      <c r="L38" s="39"/>
      <c r="M38" s="38"/>
      <c r="N38" s="38"/>
      <c r="O38" s="38"/>
      <c r="P38" s="64"/>
      <c r="Q38" s="38"/>
      <c r="R38" s="38"/>
      <c r="S38" s="38"/>
      <c r="T38" s="40">
        <v>28</v>
      </c>
      <c r="U38" s="61">
        <v>34</v>
      </c>
      <c r="V38" s="61">
        <v>17</v>
      </c>
      <c r="W38" s="61">
        <v>33</v>
      </c>
      <c r="X38" s="40" t="s">
        <v>195</v>
      </c>
      <c r="Y38" s="61" t="s">
        <v>195</v>
      </c>
      <c r="Z38" s="61" t="s">
        <v>195</v>
      </c>
      <c r="AA38" s="61" t="s">
        <v>195</v>
      </c>
      <c r="AB38" s="40">
        <v>-167</v>
      </c>
      <c r="AC38" s="61" t="s">
        <v>195</v>
      </c>
      <c r="AD38" s="61">
        <v>422</v>
      </c>
      <c r="AE38" s="61">
        <v>138</v>
      </c>
      <c r="AF38" s="40" t="s">
        <v>195</v>
      </c>
      <c r="AG38" s="61" t="s">
        <v>195</v>
      </c>
      <c r="AH38" s="61" t="s">
        <v>195</v>
      </c>
      <c r="AI38" s="61">
        <v>-7</v>
      </c>
      <c r="AJ38" s="40">
        <v>-280</v>
      </c>
      <c r="AK38" s="61" t="s">
        <v>195</v>
      </c>
      <c r="AL38" s="61">
        <v>142</v>
      </c>
      <c r="AM38" s="61">
        <v>-208</v>
      </c>
      <c r="AN38" s="40">
        <v>15</v>
      </c>
      <c r="AO38" s="61" t="s">
        <v>195</v>
      </c>
      <c r="AP38" s="61">
        <v>49</v>
      </c>
      <c r="AQ38" s="61">
        <v>101</v>
      </c>
    </row>
    <row r="39" spans="1:43" ht="12.75" x14ac:dyDescent="0.2">
      <c r="A39" s="63" t="s">
        <v>198</v>
      </c>
      <c r="B39" s="39"/>
      <c r="C39" s="38"/>
      <c r="D39" s="61"/>
      <c r="E39" s="38"/>
      <c r="F39" s="38">
        <v>196</v>
      </c>
      <c r="G39" s="38">
        <v>104</v>
      </c>
      <c r="H39" s="62" t="s">
        <v>195</v>
      </c>
      <c r="I39" s="62">
        <v>85</v>
      </c>
      <c r="J39" s="62">
        <v>158</v>
      </c>
      <c r="K39" s="62">
        <v>290</v>
      </c>
      <c r="L39" s="39"/>
      <c r="M39" s="38"/>
      <c r="N39" s="38"/>
      <c r="O39" s="38"/>
      <c r="P39" s="64"/>
      <c r="Q39" s="38"/>
      <c r="R39" s="38"/>
      <c r="S39" s="38">
        <v>179</v>
      </c>
      <c r="T39" s="40">
        <v>17</v>
      </c>
      <c r="U39" s="61">
        <v>10</v>
      </c>
      <c r="V39" s="61">
        <v>57</v>
      </c>
      <c r="W39" s="61">
        <v>22</v>
      </c>
      <c r="X39" s="40">
        <v>15</v>
      </c>
      <c r="Y39" s="61" t="s">
        <v>195</v>
      </c>
      <c r="Z39" s="61" t="s">
        <v>195</v>
      </c>
      <c r="AA39" s="61" t="s">
        <v>195</v>
      </c>
      <c r="AB39" s="40">
        <v>0</v>
      </c>
      <c r="AC39" s="61" t="s">
        <v>195</v>
      </c>
      <c r="AD39" s="61">
        <v>73</v>
      </c>
      <c r="AE39" s="61">
        <v>12</v>
      </c>
      <c r="AF39" s="40" t="s">
        <v>195</v>
      </c>
      <c r="AG39" s="61" t="s">
        <v>195</v>
      </c>
      <c r="AH39" s="61" t="s">
        <v>195</v>
      </c>
      <c r="AI39" s="61" t="s">
        <v>195</v>
      </c>
      <c r="AJ39" s="40">
        <v>158</v>
      </c>
      <c r="AK39" s="61">
        <v>125</v>
      </c>
      <c r="AL39" s="61">
        <v>165</v>
      </c>
      <c r="AM39" s="61" t="s">
        <v>195</v>
      </c>
      <c r="AN39" s="40" t="s">
        <v>195</v>
      </c>
      <c r="AO39" s="61" t="s">
        <v>195</v>
      </c>
      <c r="AP39" s="61">
        <v>98</v>
      </c>
      <c r="AQ39" s="61">
        <v>-6</v>
      </c>
    </row>
    <row r="40" spans="1:43" ht="12.75" x14ac:dyDescent="0.2">
      <c r="A40" s="65" t="s">
        <v>199</v>
      </c>
      <c r="B40" s="39"/>
      <c r="C40" s="59"/>
      <c r="D40" s="39"/>
      <c r="E40" s="66">
        <v>7779</v>
      </c>
      <c r="F40" s="66">
        <v>8582</v>
      </c>
      <c r="G40" s="66">
        <v>7669</v>
      </c>
      <c r="H40" s="66">
        <v>9098</v>
      </c>
      <c r="I40" s="66">
        <v>11755</v>
      </c>
      <c r="J40" s="66">
        <v>13117</v>
      </c>
      <c r="K40" s="66">
        <v>12624</v>
      </c>
      <c r="L40" s="67"/>
      <c r="M40" s="66">
        <v>1611</v>
      </c>
      <c r="N40" s="66">
        <v>1991</v>
      </c>
      <c r="O40" s="66">
        <v>2024</v>
      </c>
      <c r="P40" s="68">
        <v>2154</v>
      </c>
      <c r="Q40" s="66">
        <v>1989</v>
      </c>
      <c r="R40" s="66">
        <v>2301.5304182700002</v>
      </c>
      <c r="S40" s="66">
        <v>2160.4103993842</v>
      </c>
      <c r="T40" s="69">
        <v>2131.060167183</v>
      </c>
      <c r="U40" s="66">
        <v>1911</v>
      </c>
      <c r="V40" s="66">
        <v>1583</v>
      </c>
      <c r="W40" s="66">
        <v>1896</v>
      </c>
      <c r="X40" s="70">
        <v>2279</v>
      </c>
      <c r="Y40" s="66">
        <v>2016</v>
      </c>
      <c r="Z40" s="66">
        <v>2197</v>
      </c>
      <c r="AA40" s="66">
        <v>2331</v>
      </c>
      <c r="AB40" s="70">
        <v>2554</v>
      </c>
      <c r="AC40" s="66">
        <v>2588</v>
      </c>
      <c r="AD40" s="66">
        <v>2801</v>
      </c>
      <c r="AE40" s="66">
        <v>3064</v>
      </c>
      <c r="AF40" s="70">
        <v>3302</v>
      </c>
      <c r="AG40" s="66">
        <v>3187</v>
      </c>
      <c r="AH40" s="66">
        <v>3429</v>
      </c>
      <c r="AI40" s="66">
        <v>3272</v>
      </c>
      <c r="AJ40" s="70">
        <v>3229</v>
      </c>
      <c r="AK40" s="66">
        <v>2887</v>
      </c>
      <c r="AL40" s="66">
        <v>3246</v>
      </c>
      <c r="AM40" s="66">
        <v>3086</v>
      </c>
      <c r="AN40" s="70">
        <v>3405</v>
      </c>
      <c r="AO40" s="66">
        <v>3099</v>
      </c>
      <c r="AP40" s="66">
        <v>2984</v>
      </c>
      <c r="AQ40" s="66">
        <v>2896</v>
      </c>
    </row>
    <row r="41" spans="1:43" ht="12.75" x14ac:dyDescent="0.2">
      <c r="A41" s="63" t="s">
        <v>200</v>
      </c>
      <c r="B41" s="49"/>
      <c r="C41" s="59"/>
      <c r="D41" s="39"/>
      <c r="E41" s="59">
        <v>38285</v>
      </c>
      <c r="F41" s="59">
        <v>40849</v>
      </c>
      <c r="G41" s="59">
        <v>36122</v>
      </c>
      <c r="H41" s="59">
        <v>39645</v>
      </c>
      <c r="I41" s="59">
        <v>49694</v>
      </c>
      <c r="J41" s="39">
        <v>60343</v>
      </c>
      <c r="K41" s="39">
        <v>63604</v>
      </c>
      <c r="L41" s="71"/>
      <c r="M41" s="59">
        <v>8233</v>
      </c>
      <c r="N41" s="59">
        <v>9843</v>
      </c>
      <c r="O41" s="59">
        <v>9651</v>
      </c>
      <c r="P41" s="72">
        <v>10558</v>
      </c>
      <c r="Q41" s="59">
        <v>9785</v>
      </c>
      <c r="R41" s="59">
        <v>10626</v>
      </c>
      <c r="S41" s="59">
        <v>10158</v>
      </c>
      <c r="T41" s="73">
        <v>10280</v>
      </c>
      <c r="U41" s="59">
        <v>9134</v>
      </c>
      <c r="V41" s="59">
        <v>8458</v>
      </c>
      <c r="W41" s="59">
        <v>8724</v>
      </c>
      <c r="X41" s="74">
        <v>9806</v>
      </c>
      <c r="Y41" s="59">
        <v>8773</v>
      </c>
      <c r="Z41" s="59">
        <v>9733</v>
      </c>
      <c r="AA41" s="59">
        <v>9966</v>
      </c>
      <c r="AB41" s="74">
        <v>11173</v>
      </c>
      <c r="AC41" s="59">
        <v>11088</v>
      </c>
      <c r="AD41" s="59">
        <v>11868</v>
      </c>
      <c r="AE41" s="59">
        <v>12802</v>
      </c>
      <c r="AF41" s="74">
        <v>13936</v>
      </c>
      <c r="AG41" s="59">
        <v>13868</v>
      </c>
      <c r="AH41" s="59">
        <v>15910</v>
      </c>
      <c r="AI41" s="59">
        <v>14997</v>
      </c>
      <c r="AJ41" s="74">
        <v>15568</v>
      </c>
      <c r="AK41" s="59">
        <v>14143</v>
      </c>
      <c r="AL41" s="59">
        <v>16511</v>
      </c>
      <c r="AM41" s="59">
        <v>15699</v>
      </c>
      <c r="AN41" s="74">
        <v>17251</v>
      </c>
      <c r="AO41" s="59">
        <v>15536</v>
      </c>
      <c r="AP41" s="59">
        <v>15130</v>
      </c>
      <c r="AQ41" s="59">
        <v>15242</v>
      </c>
    </row>
    <row r="42" spans="1:43" ht="12.75" x14ac:dyDescent="0.2">
      <c r="A42" s="41" t="s">
        <v>201</v>
      </c>
      <c r="B42" s="42"/>
      <c r="C42" s="56"/>
      <c r="D42" s="56"/>
      <c r="E42" s="56">
        <v>20.31866266161682</v>
      </c>
      <c r="F42" s="56">
        <v>20.984601826238098</v>
      </c>
      <c r="G42" s="56">
        <v>21.2</v>
      </c>
      <c r="H42" s="56">
        <v>22.9</v>
      </c>
      <c r="I42" s="56">
        <v>23.7</v>
      </c>
      <c r="J42" s="56">
        <v>21.7</v>
      </c>
      <c r="K42" s="56">
        <v>19.8</v>
      </c>
      <c r="L42" s="57"/>
      <c r="M42" s="56">
        <v>19.600000000000001</v>
      </c>
      <c r="N42" s="56">
        <v>20.2</v>
      </c>
      <c r="O42" s="56">
        <v>20.971920008289295</v>
      </c>
      <c r="P42" s="58">
        <v>20.401591210456527</v>
      </c>
      <c r="Q42" s="56">
        <v>20.3</v>
      </c>
      <c r="R42" s="56">
        <v>21.659424226143422</v>
      </c>
      <c r="S42" s="56">
        <v>21.268068511362472</v>
      </c>
      <c r="T42" s="58">
        <v>20.730157268317122</v>
      </c>
      <c r="U42" s="56">
        <v>20.9</v>
      </c>
      <c r="V42" s="56">
        <v>18.712461574840386</v>
      </c>
      <c r="W42" s="56">
        <v>21.730857404860153</v>
      </c>
      <c r="X42" s="58">
        <v>23.240872934937791</v>
      </c>
      <c r="Y42" s="56">
        <v>22.979596489228314</v>
      </c>
      <c r="Z42" s="56">
        <v>22.6</v>
      </c>
      <c r="AA42" s="56">
        <v>23.389524382901865</v>
      </c>
      <c r="AB42" s="58">
        <v>22.858677168173276</v>
      </c>
      <c r="AC42" s="56">
        <v>23.340548340548338</v>
      </c>
      <c r="AD42" s="56">
        <v>23.601280754971352</v>
      </c>
      <c r="AE42" s="56">
        <v>23.93376034994532</v>
      </c>
      <c r="AF42" s="58">
        <v>23.694029850746269</v>
      </c>
      <c r="AG42" s="56">
        <v>22.980963368906838</v>
      </c>
      <c r="AH42" s="56">
        <v>21.6</v>
      </c>
      <c r="AI42" s="56">
        <v>21.817696872707877</v>
      </c>
      <c r="AJ42" s="58">
        <v>20.741264131551901</v>
      </c>
      <c r="AK42" s="56">
        <v>20.412925121968463</v>
      </c>
      <c r="AL42" s="56">
        <v>19.659620858821391</v>
      </c>
      <c r="AM42" s="56">
        <v>19.657303012930761</v>
      </c>
      <c r="AN42" s="58">
        <v>19.737986203698334</v>
      </c>
      <c r="AO42" s="56">
        <v>19.899999999999999</v>
      </c>
      <c r="AP42" s="56">
        <v>19.722405816259091</v>
      </c>
      <c r="AQ42" s="56">
        <v>19.000131216375806</v>
      </c>
    </row>
    <row r="43" spans="1:43" ht="12.75" x14ac:dyDescent="0.2">
      <c r="A43" s="46" t="s">
        <v>202</v>
      </c>
      <c r="B43" s="32"/>
      <c r="C43" s="32"/>
      <c r="D43" s="33"/>
      <c r="E43" s="32"/>
      <c r="F43" s="32"/>
      <c r="G43" s="32"/>
      <c r="H43" s="32"/>
      <c r="I43" s="32"/>
      <c r="J43" s="32"/>
      <c r="K43" s="32"/>
      <c r="L43" s="32"/>
      <c r="M43" s="32"/>
      <c r="N43" s="32"/>
      <c r="O43" s="32"/>
      <c r="P43" s="34"/>
      <c r="Q43" s="32"/>
      <c r="R43" s="32"/>
      <c r="S43" s="32"/>
      <c r="T43" s="34"/>
      <c r="U43" s="32"/>
      <c r="V43" s="32"/>
      <c r="W43" s="32"/>
      <c r="X43" s="34"/>
      <c r="Y43" s="32"/>
      <c r="Z43" s="32"/>
      <c r="AA43" s="32"/>
      <c r="AB43" s="34"/>
      <c r="AC43" s="32"/>
      <c r="AD43" s="32"/>
      <c r="AE43" s="32"/>
      <c r="AF43" s="34"/>
      <c r="AG43" s="32"/>
      <c r="AH43" s="32"/>
      <c r="AI43" s="32"/>
      <c r="AJ43" s="34"/>
      <c r="AK43" s="32"/>
      <c r="AL43" s="32"/>
      <c r="AM43" s="32"/>
      <c r="AN43" s="34"/>
      <c r="AO43" s="32"/>
      <c r="AP43" s="32"/>
      <c r="AQ43" s="32"/>
    </row>
    <row r="44" spans="1:43" ht="12.75" x14ac:dyDescent="0.2">
      <c r="A44" s="32"/>
      <c r="B44" s="32"/>
      <c r="C44" s="32"/>
      <c r="D44" s="33"/>
      <c r="E44" s="32"/>
      <c r="F44" s="32"/>
      <c r="G44" s="32"/>
      <c r="H44" s="32"/>
      <c r="I44" s="32"/>
      <c r="J44" s="32"/>
      <c r="K44" s="32"/>
      <c r="L44" s="32"/>
      <c r="M44" s="32"/>
      <c r="N44" s="32"/>
      <c r="O44" s="32"/>
      <c r="P44" s="34"/>
      <c r="Q44" s="32"/>
      <c r="R44" s="32"/>
      <c r="S44" s="32"/>
      <c r="T44" s="34"/>
      <c r="U44" s="32"/>
      <c r="V44" s="32"/>
      <c r="W44" s="32"/>
      <c r="X44" s="34"/>
      <c r="Y44" s="32"/>
      <c r="Z44" s="32"/>
      <c r="AA44" s="32"/>
      <c r="AB44" s="34"/>
      <c r="AC44" s="32"/>
      <c r="AD44" s="32"/>
      <c r="AE44" s="32"/>
      <c r="AF44" s="34"/>
      <c r="AG44" s="32"/>
      <c r="AH44" s="32"/>
      <c r="AI44" s="32"/>
      <c r="AJ44" s="34"/>
      <c r="AK44" s="32"/>
      <c r="AL44" s="32"/>
      <c r="AM44" s="32"/>
      <c r="AN44" s="34"/>
      <c r="AO44" s="32"/>
      <c r="AP44" s="32"/>
      <c r="AQ44" s="32"/>
    </row>
    <row r="45" spans="1:43" ht="12.75" x14ac:dyDescent="0.2">
      <c r="A45" s="47" t="s">
        <v>203</v>
      </c>
      <c r="B45" s="48">
        <v>2015</v>
      </c>
      <c r="C45" s="48">
        <v>2016</v>
      </c>
      <c r="D45" s="48" t="s">
        <v>130</v>
      </c>
      <c r="E45" s="48">
        <v>2018</v>
      </c>
      <c r="F45" s="48">
        <v>2019</v>
      </c>
      <c r="G45" s="48">
        <v>2020</v>
      </c>
      <c r="H45" s="48">
        <v>2021</v>
      </c>
      <c r="I45" s="48">
        <v>2022</v>
      </c>
      <c r="J45" s="48">
        <v>2023</v>
      </c>
      <c r="K45" s="48">
        <v>2024</v>
      </c>
      <c r="L45" s="49"/>
      <c r="M45" s="50" t="s">
        <v>131</v>
      </c>
      <c r="N45" s="50" t="s">
        <v>132</v>
      </c>
      <c r="O45" s="50" t="s">
        <v>133</v>
      </c>
      <c r="P45" s="51" t="s">
        <v>134</v>
      </c>
      <c r="Q45" s="50" t="s">
        <v>135</v>
      </c>
      <c r="R45" s="50" t="s">
        <v>136</v>
      </c>
      <c r="S45" s="50" t="s">
        <v>137</v>
      </c>
      <c r="T45" s="51" t="s">
        <v>138</v>
      </c>
      <c r="U45" s="50" t="s">
        <v>139</v>
      </c>
      <c r="V45" s="50" t="s">
        <v>140</v>
      </c>
      <c r="W45" s="50" t="s">
        <v>141</v>
      </c>
      <c r="X45" s="51" t="s">
        <v>142</v>
      </c>
      <c r="Y45" s="50" t="s">
        <v>143</v>
      </c>
      <c r="Z45" s="50" t="s">
        <v>144</v>
      </c>
      <c r="AA45" s="50" t="s">
        <v>145</v>
      </c>
      <c r="AB45" s="51" t="s">
        <v>146</v>
      </c>
      <c r="AC45" s="50" t="s">
        <v>147</v>
      </c>
      <c r="AD45" s="50" t="s">
        <v>148</v>
      </c>
      <c r="AE45" s="50" t="s">
        <v>149</v>
      </c>
      <c r="AF45" s="51" t="s">
        <v>150</v>
      </c>
      <c r="AG45" s="50" t="s">
        <v>151</v>
      </c>
      <c r="AH45" s="50" t="s">
        <v>152</v>
      </c>
      <c r="AI45" s="50" t="s">
        <v>153</v>
      </c>
      <c r="AJ45" s="51" t="s">
        <v>154</v>
      </c>
      <c r="AK45" s="50" t="s">
        <v>155</v>
      </c>
      <c r="AL45" s="50" t="s">
        <v>156</v>
      </c>
      <c r="AM45" s="50" t="s">
        <v>157</v>
      </c>
      <c r="AN45" s="51" t="s">
        <v>158</v>
      </c>
      <c r="AO45" s="50" t="s">
        <v>159</v>
      </c>
      <c r="AP45" s="50" t="s">
        <v>160</v>
      </c>
      <c r="AQ45" s="50" t="s">
        <v>161</v>
      </c>
    </row>
    <row r="46" spans="1:43" ht="12.75" x14ac:dyDescent="0.2">
      <c r="A46" s="38" t="s">
        <v>204</v>
      </c>
      <c r="B46" s="39">
        <v>4955</v>
      </c>
      <c r="C46" s="39">
        <v>4411</v>
      </c>
      <c r="D46" s="39">
        <v>5793</v>
      </c>
      <c r="E46" s="39">
        <v>7201</v>
      </c>
      <c r="F46" s="39">
        <v>7843</v>
      </c>
      <c r="G46" s="39">
        <v>7087</v>
      </c>
      <c r="H46" s="39">
        <v>8964</v>
      </c>
      <c r="I46" s="39">
        <v>10778</v>
      </c>
      <c r="J46" s="39">
        <v>12235</v>
      </c>
      <c r="K46" s="39">
        <v>11439</v>
      </c>
      <c r="L46" s="39"/>
      <c r="M46" s="39">
        <v>1458</v>
      </c>
      <c r="N46" s="39">
        <v>1766</v>
      </c>
      <c r="O46" s="39">
        <v>1861.0172940299999</v>
      </c>
      <c r="P46" s="40">
        <v>2115.9827059700001</v>
      </c>
      <c r="Q46" s="39">
        <v>1830</v>
      </c>
      <c r="R46" s="39">
        <v>2225</v>
      </c>
      <c r="S46" s="39">
        <v>1866</v>
      </c>
      <c r="T46" s="40">
        <v>1922</v>
      </c>
      <c r="U46" s="39">
        <v>1886</v>
      </c>
      <c r="V46" s="39">
        <v>1367</v>
      </c>
      <c r="W46" s="39">
        <v>1744</v>
      </c>
      <c r="X46" s="40">
        <v>2090</v>
      </c>
      <c r="Y46" s="39">
        <v>1834</v>
      </c>
      <c r="Z46" s="39">
        <v>2138</v>
      </c>
      <c r="AA46" s="39">
        <v>2425</v>
      </c>
      <c r="AB46" s="40">
        <v>2567</v>
      </c>
      <c r="AC46" s="39">
        <v>2564</v>
      </c>
      <c r="AD46" s="39">
        <v>2292</v>
      </c>
      <c r="AE46" s="39">
        <v>2876</v>
      </c>
      <c r="AF46" s="40">
        <v>3046</v>
      </c>
      <c r="AG46" s="39">
        <v>2964</v>
      </c>
      <c r="AH46" s="39">
        <v>3428</v>
      </c>
      <c r="AI46" s="39">
        <v>2929</v>
      </c>
      <c r="AJ46" s="40">
        <v>2914</v>
      </c>
      <c r="AK46" s="39">
        <v>2644</v>
      </c>
      <c r="AL46" s="39">
        <v>2656</v>
      </c>
      <c r="AM46" s="39">
        <v>3013</v>
      </c>
      <c r="AN46" s="40">
        <v>3126</v>
      </c>
      <c r="AO46" s="39">
        <v>2881</v>
      </c>
      <c r="AP46" s="39">
        <v>2700</v>
      </c>
      <c r="AQ46" s="39">
        <v>2566</v>
      </c>
    </row>
    <row r="47" spans="1:43" ht="12.75" x14ac:dyDescent="0.2">
      <c r="A47" s="38" t="s">
        <v>177</v>
      </c>
      <c r="B47" s="39">
        <v>28663</v>
      </c>
      <c r="C47" s="39">
        <v>27102</v>
      </c>
      <c r="D47" s="39">
        <v>31364</v>
      </c>
      <c r="E47" s="39">
        <v>38285</v>
      </c>
      <c r="F47" s="39">
        <v>40849</v>
      </c>
      <c r="G47" s="39">
        <v>36122</v>
      </c>
      <c r="H47" s="39">
        <v>39645</v>
      </c>
      <c r="I47" s="39">
        <v>49694</v>
      </c>
      <c r="J47" s="39">
        <v>60343</v>
      </c>
      <c r="K47" s="39">
        <v>63604</v>
      </c>
      <c r="L47" s="39"/>
      <c r="M47" s="39">
        <v>8233</v>
      </c>
      <c r="N47" s="39">
        <v>9843</v>
      </c>
      <c r="O47" s="39">
        <v>9651</v>
      </c>
      <c r="P47" s="40">
        <v>10558</v>
      </c>
      <c r="Q47" s="39">
        <v>9785</v>
      </c>
      <c r="R47" s="39">
        <v>10626</v>
      </c>
      <c r="S47" s="39">
        <v>10158</v>
      </c>
      <c r="T47" s="40">
        <v>10280</v>
      </c>
      <c r="U47" s="39">
        <v>9134</v>
      </c>
      <c r="V47" s="39">
        <v>8458</v>
      </c>
      <c r="W47" s="39">
        <v>8724</v>
      </c>
      <c r="X47" s="40">
        <v>9806</v>
      </c>
      <c r="Y47" s="39">
        <v>8773</v>
      </c>
      <c r="Z47" s="39">
        <v>9733</v>
      </c>
      <c r="AA47" s="39">
        <v>9966</v>
      </c>
      <c r="AB47" s="40">
        <v>11173</v>
      </c>
      <c r="AC47" s="39">
        <v>11088</v>
      </c>
      <c r="AD47" s="39">
        <v>11868</v>
      </c>
      <c r="AE47" s="39">
        <v>12802</v>
      </c>
      <c r="AF47" s="40">
        <v>13936</v>
      </c>
      <c r="AG47" s="39">
        <v>13868</v>
      </c>
      <c r="AH47" s="39">
        <v>15910</v>
      </c>
      <c r="AI47" s="39">
        <v>14997</v>
      </c>
      <c r="AJ47" s="40">
        <v>15568</v>
      </c>
      <c r="AK47" s="39">
        <v>14143</v>
      </c>
      <c r="AL47" s="39">
        <v>16511</v>
      </c>
      <c r="AM47" s="39">
        <v>15699</v>
      </c>
      <c r="AN47" s="40">
        <v>17251</v>
      </c>
      <c r="AO47" s="39">
        <v>15536</v>
      </c>
      <c r="AP47" s="39">
        <v>15130</v>
      </c>
      <c r="AQ47" s="39">
        <v>15242</v>
      </c>
    </row>
    <row r="48" spans="1:43" ht="12.75" x14ac:dyDescent="0.2">
      <c r="A48" s="41" t="s">
        <v>205</v>
      </c>
      <c r="B48" s="42">
        <v>17.3</v>
      </c>
      <c r="C48" s="56">
        <v>16.3</v>
      </c>
      <c r="D48" s="56">
        <v>18.5</v>
      </c>
      <c r="E48" s="56">
        <v>18.808933002481389</v>
      </c>
      <c r="F48" s="56">
        <v>19.199980415677249</v>
      </c>
      <c r="G48" s="56">
        <v>19.600000000000001</v>
      </c>
      <c r="H48" s="56">
        <v>22.6</v>
      </c>
      <c r="I48" s="56">
        <v>21.7</v>
      </c>
      <c r="J48" s="56">
        <v>20.3</v>
      </c>
      <c r="K48" s="56">
        <v>18</v>
      </c>
      <c r="L48" s="57"/>
      <c r="M48" s="56">
        <v>17.709218996720516</v>
      </c>
      <c r="N48" s="56">
        <v>17.941684445799044</v>
      </c>
      <c r="O48" s="56">
        <v>19.283155051600868</v>
      </c>
      <c r="P48" s="58">
        <v>20.041510759329419</v>
      </c>
      <c r="Q48" s="56">
        <v>18.702095043433829</v>
      </c>
      <c r="R48" s="56">
        <v>20.939205721814417</v>
      </c>
      <c r="S48" s="56">
        <v>18.369757826343768</v>
      </c>
      <c r="T48" s="58">
        <v>18.696498054474709</v>
      </c>
      <c r="U48" s="56">
        <v>20.6</v>
      </c>
      <c r="V48" s="56">
        <v>16.162213289193662</v>
      </c>
      <c r="W48" s="56">
        <v>19.990829894543786</v>
      </c>
      <c r="X48" s="58">
        <v>21.313481541913117</v>
      </c>
      <c r="Y48" s="56">
        <v>20.905049583950756</v>
      </c>
      <c r="Z48" s="56">
        <v>22</v>
      </c>
      <c r="AA48" s="56">
        <v>24.332731286373672</v>
      </c>
      <c r="AB48" s="58">
        <v>22.975029087979951</v>
      </c>
      <c r="AC48" s="56">
        <v>23.133116883116884</v>
      </c>
      <c r="AD48" s="56">
        <v>19.304010785305024</v>
      </c>
      <c r="AE48" s="56">
        <v>22.46523980628027</v>
      </c>
      <c r="AF48" s="58">
        <v>21.857060849598163</v>
      </c>
      <c r="AG48" s="56">
        <v>21.372944909143353</v>
      </c>
      <c r="AH48" s="56">
        <v>21.5</v>
      </c>
      <c r="AI48" s="56">
        <v>19.530572781222912</v>
      </c>
      <c r="AJ48" s="58">
        <v>18.717882836587872</v>
      </c>
      <c r="AK48" s="56">
        <v>18.694760658983242</v>
      </c>
      <c r="AL48" s="56">
        <v>16.086245533280845</v>
      </c>
      <c r="AM48" s="56">
        <v>19.192305242372125</v>
      </c>
      <c r="AN48" s="58">
        <v>18.120688655730103</v>
      </c>
      <c r="AO48" s="56">
        <v>18.5</v>
      </c>
      <c r="AP48" s="56">
        <v>17.84534038334435</v>
      </c>
      <c r="AQ48" s="56">
        <v>16.835061015614748</v>
      </c>
    </row>
    <row r="49" spans="1:43" ht="12.75" x14ac:dyDescent="0.2">
      <c r="A49" s="46" t="s">
        <v>165</v>
      </c>
      <c r="B49" s="32"/>
      <c r="C49" s="32"/>
      <c r="D49" s="33"/>
      <c r="E49" s="32"/>
      <c r="F49" s="32"/>
      <c r="G49" s="32"/>
      <c r="H49" s="32"/>
      <c r="I49" s="32"/>
      <c r="J49" s="32"/>
      <c r="K49" s="32"/>
      <c r="L49" s="32"/>
      <c r="M49" s="32"/>
      <c r="N49" s="32"/>
      <c r="O49" s="32"/>
      <c r="P49" s="34"/>
      <c r="Q49" s="32"/>
      <c r="R49" s="32"/>
      <c r="S49" s="32"/>
      <c r="T49" s="34"/>
      <c r="U49" s="32"/>
      <c r="V49" s="32"/>
      <c r="W49" s="32"/>
      <c r="X49" s="34"/>
      <c r="Y49" s="32"/>
      <c r="Z49" s="32"/>
      <c r="AA49" s="32"/>
      <c r="AB49" s="34"/>
      <c r="AC49" s="32"/>
      <c r="AD49" s="32"/>
      <c r="AE49" s="32"/>
      <c r="AF49" s="34"/>
      <c r="AG49" s="32"/>
      <c r="AH49" s="32"/>
      <c r="AI49" s="32"/>
      <c r="AJ49" s="34"/>
      <c r="AK49" s="32"/>
      <c r="AL49" s="32"/>
      <c r="AM49" s="32"/>
      <c r="AN49" s="34"/>
      <c r="AO49" s="32"/>
      <c r="AP49" s="32"/>
      <c r="AQ49" s="32"/>
    </row>
    <row r="50" spans="1:43" ht="12.75" x14ac:dyDescent="0.2">
      <c r="A50" s="46"/>
      <c r="B50" s="32"/>
      <c r="C50" s="32"/>
      <c r="D50" s="33"/>
      <c r="E50" s="32"/>
      <c r="F50" s="32"/>
      <c r="G50" s="32"/>
      <c r="H50" s="32"/>
      <c r="I50" s="32"/>
      <c r="J50" s="32"/>
      <c r="K50" s="32"/>
      <c r="L50" s="32"/>
      <c r="M50" s="32"/>
      <c r="N50" s="32"/>
      <c r="O50" s="32"/>
      <c r="P50" s="34"/>
      <c r="Q50" s="32"/>
      <c r="R50" s="32"/>
      <c r="S50" s="32"/>
      <c r="T50" s="34"/>
      <c r="U50" s="32"/>
      <c r="V50" s="32"/>
      <c r="W50" s="32"/>
      <c r="X50" s="34"/>
      <c r="Y50" s="32"/>
      <c r="Z50" s="32"/>
      <c r="AA50" s="32"/>
      <c r="AB50" s="34"/>
      <c r="AC50" s="32"/>
      <c r="AD50" s="32"/>
      <c r="AE50" s="32"/>
      <c r="AF50" s="34"/>
      <c r="AG50" s="32"/>
      <c r="AH50" s="32"/>
      <c r="AI50" s="32"/>
      <c r="AJ50" s="34"/>
      <c r="AK50" s="32"/>
      <c r="AL50" s="32"/>
      <c r="AM50" s="32"/>
      <c r="AN50" s="34"/>
      <c r="AO50" s="32"/>
      <c r="AP50" s="32"/>
      <c r="AQ50" s="32"/>
    </row>
    <row r="51" spans="1:43" ht="12.75" x14ac:dyDescent="0.2">
      <c r="A51" s="47" t="s">
        <v>206</v>
      </c>
      <c r="B51" s="48">
        <v>2015</v>
      </c>
      <c r="C51" s="48">
        <v>2016</v>
      </c>
      <c r="D51" s="48" t="s">
        <v>130</v>
      </c>
      <c r="E51" s="48">
        <v>2018</v>
      </c>
      <c r="F51" s="48">
        <v>2019</v>
      </c>
      <c r="G51" s="48">
        <v>2020</v>
      </c>
      <c r="H51" s="48">
        <v>2021</v>
      </c>
      <c r="I51" s="48">
        <v>2022</v>
      </c>
      <c r="J51" s="48">
        <v>2023</v>
      </c>
      <c r="K51" s="48">
        <v>2024</v>
      </c>
      <c r="L51" s="49"/>
      <c r="M51" s="50" t="s">
        <v>131</v>
      </c>
      <c r="N51" s="50" t="s">
        <v>132</v>
      </c>
      <c r="O51" s="50" t="s">
        <v>133</v>
      </c>
      <c r="P51" s="51" t="s">
        <v>134</v>
      </c>
      <c r="Q51" s="50" t="s">
        <v>135</v>
      </c>
      <c r="R51" s="50" t="s">
        <v>136</v>
      </c>
      <c r="S51" s="50" t="s">
        <v>137</v>
      </c>
      <c r="T51" s="51" t="s">
        <v>138</v>
      </c>
      <c r="U51" s="50" t="s">
        <v>139</v>
      </c>
      <c r="V51" s="50" t="s">
        <v>140</v>
      </c>
      <c r="W51" s="50" t="s">
        <v>141</v>
      </c>
      <c r="X51" s="51" t="s">
        <v>142</v>
      </c>
      <c r="Y51" s="50" t="s">
        <v>143</v>
      </c>
      <c r="Z51" s="50" t="s">
        <v>144</v>
      </c>
      <c r="AA51" s="50" t="s">
        <v>145</v>
      </c>
      <c r="AB51" s="51" t="s">
        <v>146</v>
      </c>
      <c r="AC51" s="50" t="s">
        <v>147</v>
      </c>
      <c r="AD51" s="50" t="s">
        <v>148</v>
      </c>
      <c r="AE51" s="50" t="s">
        <v>149</v>
      </c>
      <c r="AF51" s="51" t="s">
        <v>150</v>
      </c>
      <c r="AG51" s="50" t="s">
        <v>151</v>
      </c>
      <c r="AH51" s="50" t="s">
        <v>152</v>
      </c>
      <c r="AI51" s="50" t="s">
        <v>153</v>
      </c>
      <c r="AJ51" s="51" t="s">
        <v>154</v>
      </c>
      <c r="AK51" s="50" t="s">
        <v>155</v>
      </c>
      <c r="AL51" s="50" t="s">
        <v>156</v>
      </c>
      <c r="AM51" s="50" t="s">
        <v>157</v>
      </c>
      <c r="AN51" s="51" t="s">
        <v>158</v>
      </c>
      <c r="AO51" s="50" t="s">
        <v>159</v>
      </c>
      <c r="AP51" s="50" t="s">
        <v>160</v>
      </c>
      <c r="AQ51" s="50" t="s">
        <v>161</v>
      </c>
    </row>
    <row r="52" spans="1:43" ht="12.75" x14ac:dyDescent="0.2">
      <c r="A52" s="38" t="s">
        <v>207</v>
      </c>
      <c r="B52" s="39">
        <v>28418</v>
      </c>
      <c r="C52" s="39">
        <v>29984</v>
      </c>
      <c r="D52" s="39">
        <v>27547</v>
      </c>
      <c r="E52" s="39">
        <v>36155</v>
      </c>
      <c r="F52" s="39">
        <v>41037</v>
      </c>
      <c r="G52" s="39">
        <v>43886</v>
      </c>
      <c r="H52" s="39">
        <v>48583</v>
      </c>
      <c r="I52" s="39">
        <v>61780</v>
      </c>
      <c r="J52" s="39">
        <v>67784</v>
      </c>
      <c r="K52" s="39">
        <v>83589</v>
      </c>
      <c r="L52" s="39"/>
      <c r="M52" s="39">
        <v>30465</v>
      </c>
      <c r="N52" s="39">
        <v>35024</v>
      </c>
      <c r="O52" s="39">
        <v>34487</v>
      </c>
      <c r="P52" s="40">
        <v>36155</v>
      </c>
      <c r="Q52" s="39">
        <v>39662</v>
      </c>
      <c r="R52" s="39">
        <v>40148</v>
      </c>
      <c r="S52" s="39">
        <v>41525</v>
      </c>
      <c r="T52" s="40">
        <v>41037</v>
      </c>
      <c r="U52" s="39">
        <v>43689</v>
      </c>
      <c r="V52" s="39">
        <v>44324</v>
      </c>
      <c r="W52" s="39">
        <v>44634</v>
      </c>
      <c r="X52" s="40">
        <v>43886</v>
      </c>
      <c r="Y52" s="39">
        <v>46851</v>
      </c>
      <c r="Z52" s="39">
        <v>44517</v>
      </c>
      <c r="AA52" s="39">
        <v>47259</v>
      </c>
      <c r="AB52" s="40">
        <v>48583</v>
      </c>
      <c r="AC52" s="39">
        <v>52409</v>
      </c>
      <c r="AD52" s="39">
        <v>55543</v>
      </c>
      <c r="AE52" s="39">
        <v>61685</v>
      </c>
      <c r="AF52" s="40">
        <v>61780</v>
      </c>
      <c r="AG52" s="39">
        <v>65302</v>
      </c>
      <c r="AH52" s="39">
        <v>70294</v>
      </c>
      <c r="AI52" s="39">
        <v>70640</v>
      </c>
      <c r="AJ52" s="40">
        <v>67784</v>
      </c>
      <c r="AK52" s="39">
        <v>77934</v>
      </c>
      <c r="AL52" s="39">
        <v>81016</v>
      </c>
      <c r="AM52" s="39">
        <v>81565</v>
      </c>
      <c r="AN52" s="40">
        <v>83589</v>
      </c>
      <c r="AO52" s="39">
        <v>80850</v>
      </c>
      <c r="AP52" s="39">
        <v>79352</v>
      </c>
      <c r="AQ52" s="39">
        <v>81375</v>
      </c>
    </row>
    <row r="53" spans="1:43" ht="12.75" x14ac:dyDescent="0.2">
      <c r="A53" s="38" t="s">
        <v>208</v>
      </c>
      <c r="B53" s="39">
        <v>6018</v>
      </c>
      <c r="C53" s="39">
        <v>6051</v>
      </c>
      <c r="D53" s="39">
        <v>8261</v>
      </c>
      <c r="E53" s="39">
        <v>10228</v>
      </c>
      <c r="F53" s="39">
        <v>9199</v>
      </c>
      <c r="G53" s="39">
        <v>9186</v>
      </c>
      <c r="H53" s="39">
        <v>13254</v>
      </c>
      <c r="I53" s="39">
        <v>17247</v>
      </c>
      <c r="J53" s="39">
        <v>16347</v>
      </c>
      <c r="K53" s="39">
        <v>18191</v>
      </c>
      <c r="L53" s="39"/>
      <c r="M53" s="39">
        <v>9570</v>
      </c>
      <c r="N53" s="39">
        <v>10202</v>
      </c>
      <c r="O53" s="39">
        <v>9985</v>
      </c>
      <c r="P53" s="40">
        <v>10227</v>
      </c>
      <c r="Q53" s="39">
        <v>9943</v>
      </c>
      <c r="R53" s="39">
        <v>11147</v>
      </c>
      <c r="S53" s="39">
        <v>10424</v>
      </c>
      <c r="T53" s="40">
        <v>9199</v>
      </c>
      <c r="U53" s="39">
        <v>9889</v>
      </c>
      <c r="V53" s="39">
        <v>9742</v>
      </c>
      <c r="W53" s="39">
        <v>9390</v>
      </c>
      <c r="X53" s="40">
        <v>9186</v>
      </c>
      <c r="Y53" s="39">
        <v>10036</v>
      </c>
      <c r="Z53" s="39">
        <v>12820</v>
      </c>
      <c r="AA53" s="39">
        <v>13378</v>
      </c>
      <c r="AB53" s="40">
        <v>13254</v>
      </c>
      <c r="AC53" s="39">
        <v>14159</v>
      </c>
      <c r="AD53" s="39">
        <v>17249</v>
      </c>
      <c r="AE53" s="39">
        <v>19125</v>
      </c>
      <c r="AF53" s="40">
        <v>17247</v>
      </c>
      <c r="AG53" s="39">
        <v>17901</v>
      </c>
      <c r="AH53" s="39">
        <v>20771</v>
      </c>
      <c r="AI53" s="39">
        <v>19460</v>
      </c>
      <c r="AJ53" s="40">
        <v>16347</v>
      </c>
      <c r="AK53" s="39">
        <v>17038</v>
      </c>
      <c r="AL53" s="39">
        <v>20266</v>
      </c>
      <c r="AM53" s="39">
        <v>19280</v>
      </c>
      <c r="AN53" s="40">
        <v>18191</v>
      </c>
      <c r="AO53" s="39">
        <v>16841</v>
      </c>
      <c r="AP53" s="39">
        <v>19239</v>
      </c>
      <c r="AQ53" s="39">
        <v>19251</v>
      </c>
    </row>
    <row r="54" spans="1:43" ht="12.75" x14ac:dyDescent="0.2">
      <c r="A54" s="41" t="s">
        <v>209</v>
      </c>
      <c r="B54" s="53">
        <v>22400</v>
      </c>
      <c r="C54" s="53">
        <v>23933</v>
      </c>
      <c r="D54" s="53">
        <v>19286</v>
      </c>
      <c r="E54" s="53">
        <v>25927</v>
      </c>
      <c r="F54" s="53">
        <v>31838</v>
      </c>
      <c r="G54" s="53">
        <v>34700</v>
      </c>
      <c r="H54" s="53">
        <v>35329</v>
      </c>
      <c r="I54" s="53">
        <v>44533</v>
      </c>
      <c r="J54" s="53">
        <v>51437</v>
      </c>
      <c r="K54" s="53">
        <v>65398</v>
      </c>
      <c r="L54" s="54"/>
      <c r="M54" s="53">
        <v>20895</v>
      </c>
      <c r="N54" s="53">
        <v>24822</v>
      </c>
      <c r="O54" s="53">
        <v>24502</v>
      </c>
      <c r="P54" s="53">
        <v>25928</v>
      </c>
      <c r="Q54" s="53">
        <v>29719</v>
      </c>
      <c r="R54" s="53">
        <v>29001</v>
      </c>
      <c r="S54" s="53">
        <v>31101</v>
      </c>
      <c r="T54" s="53">
        <v>31838</v>
      </c>
      <c r="U54" s="53">
        <v>33800</v>
      </c>
      <c r="V54" s="53">
        <v>34582</v>
      </c>
      <c r="W54" s="53">
        <v>35244</v>
      </c>
      <c r="X54" s="55">
        <v>34700</v>
      </c>
      <c r="Y54" s="53">
        <v>36816</v>
      </c>
      <c r="Z54" s="53">
        <v>31698</v>
      </c>
      <c r="AA54" s="53">
        <v>33881</v>
      </c>
      <c r="AB54" s="55">
        <v>35329</v>
      </c>
      <c r="AC54" s="53">
        <v>38250</v>
      </c>
      <c r="AD54" s="53">
        <v>38294</v>
      </c>
      <c r="AE54" s="53">
        <v>42560</v>
      </c>
      <c r="AF54" s="55">
        <v>44534</v>
      </c>
      <c r="AG54" s="53">
        <v>47401</v>
      </c>
      <c r="AH54" s="53">
        <v>49523</v>
      </c>
      <c r="AI54" s="53">
        <v>51180</v>
      </c>
      <c r="AJ54" s="55">
        <v>51437</v>
      </c>
      <c r="AK54" s="53">
        <v>60896</v>
      </c>
      <c r="AL54" s="53">
        <v>60750</v>
      </c>
      <c r="AM54" s="53">
        <v>62285</v>
      </c>
      <c r="AN54" s="55">
        <v>65398</v>
      </c>
      <c r="AO54" s="53">
        <v>64009</v>
      </c>
      <c r="AP54" s="53">
        <v>60113</v>
      </c>
      <c r="AQ54" s="53">
        <v>62124</v>
      </c>
    </row>
    <row r="55" spans="1:43" ht="12.75" x14ac:dyDescent="0.2">
      <c r="A55" s="75"/>
      <c r="B55" s="49"/>
      <c r="C55" s="57"/>
      <c r="D55" s="57"/>
      <c r="E55" s="57"/>
      <c r="F55" s="57"/>
      <c r="G55" s="57"/>
      <c r="H55" s="57"/>
      <c r="I55" s="57"/>
      <c r="J55" s="57"/>
      <c r="K55" s="57"/>
      <c r="L55" s="57"/>
      <c r="M55" s="57"/>
      <c r="N55" s="57"/>
      <c r="O55" s="57"/>
      <c r="P55" s="76"/>
      <c r="Q55" s="57"/>
      <c r="R55" s="57"/>
      <c r="S55" s="57"/>
      <c r="T55" s="76"/>
      <c r="U55" s="57"/>
      <c r="V55" s="57"/>
      <c r="W55" s="57"/>
      <c r="X55" s="76"/>
      <c r="Y55" s="57"/>
      <c r="Z55" s="57"/>
      <c r="AA55" s="57"/>
      <c r="AB55" s="76"/>
      <c r="AC55" s="57"/>
      <c r="AD55" s="57"/>
      <c r="AE55" s="57"/>
      <c r="AF55" s="76"/>
      <c r="AG55" s="57"/>
      <c r="AH55" s="57"/>
      <c r="AI55" s="57"/>
      <c r="AJ55" s="76"/>
      <c r="AK55" s="57"/>
      <c r="AL55" s="57"/>
      <c r="AM55" s="57"/>
      <c r="AN55" s="76"/>
      <c r="AO55" s="57"/>
      <c r="AP55" s="57"/>
      <c r="AQ55" s="57"/>
    </row>
    <row r="56" spans="1:43" ht="12.75" x14ac:dyDescent="0.2">
      <c r="A56" s="47" t="s">
        <v>210</v>
      </c>
      <c r="B56" s="48" t="s">
        <v>211</v>
      </c>
      <c r="C56" s="48" t="s">
        <v>212</v>
      </c>
      <c r="D56" s="48" t="s">
        <v>213</v>
      </c>
      <c r="E56" s="48" t="s">
        <v>214</v>
      </c>
      <c r="F56" s="48" t="s">
        <v>215</v>
      </c>
      <c r="G56" s="48" t="s">
        <v>216</v>
      </c>
      <c r="H56" s="48" t="s">
        <v>217</v>
      </c>
      <c r="I56" s="48" t="s">
        <v>218</v>
      </c>
      <c r="J56" s="48" t="s">
        <v>219</v>
      </c>
      <c r="K56" s="48" t="s">
        <v>220</v>
      </c>
      <c r="L56" s="49"/>
      <c r="M56" s="50" t="s">
        <v>131</v>
      </c>
      <c r="N56" s="50" t="s">
        <v>132</v>
      </c>
      <c r="O56" s="50" t="s">
        <v>133</v>
      </c>
      <c r="P56" s="51" t="s">
        <v>134</v>
      </c>
      <c r="Q56" s="50" t="s">
        <v>135</v>
      </c>
      <c r="R56" s="50" t="s">
        <v>136</v>
      </c>
      <c r="S56" s="50" t="s">
        <v>137</v>
      </c>
      <c r="T56" s="51" t="s">
        <v>138</v>
      </c>
      <c r="U56" s="50" t="s">
        <v>139</v>
      </c>
      <c r="V56" s="50" t="s">
        <v>140</v>
      </c>
      <c r="W56" s="50" t="s">
        <v>141</v>
      </c>
      <c r="X56" s="51" t="s">
        <v>142</v>
      </c>
      <c r="Y56" s="50" t="s">
        <v>143</v>
      </c>
      <c r="Z56" s="50" t="s">
        <v>144</v>
      </c>
      <c r="AA56" s="50" t="s">
        <v>145</v>
      </c>
      <c r="AB56" s="51" t="s">
        <v>146</v>
      </c>
      <c r="AC56" s="50" t="s">
        <v>147</v>
      </c>
      <c r="AD56" s="50" t="s">
        <v>148</v>
      </c>
      <c r="AE56" s="50" t="s">
        <v>149</v>
      </c>
      <c r="AF56" s="51" t="s">
        <v>150</v>
      </c>
      <c r="AG56" s="50" t="s">
        <v>151</v>
      </c>
      <c r="AH56" s="50" t="s">
        <v>152</v>
      </c>
      <c r="AI56" s="50" t="s">
        <v>153</v>
      </c>
      <c r="AJ56" s="51" t="s">
        <v>154</v>
      </c>
      <c r="AK56" s="50" t="s">
        <v>155</v>
      </c>
      <c r="AL56" s="50" t="s">
        <v>156</v>
      </c>
      <c r="AM56" s="50" t="s">
        <v>157</v>
      </c>
      <c r="AN56" s="51" t="s">
        <v>158</v>
      </c>
      <c r="AO56" s="50" t="s">
        <v>159</v>
      </c>
      <c r="AP56" s="50" t="s">
        <v>160</v>
      </c>
      <c r="AQ56" s="50" t="s">
        <v>161</v>
      </c>
    </row>
    <row r="57" spans="1:43" ht="12.75" x14ac:dyDescent="0.2">
      <c r="A57" s="38" t="s">
        <v>221</v>
      </c>
      <c r="B57" s="39">
        <v>28663</v>
      </c>
      <c r="C57" s="39">
        <v>27102</v>
      </c>
      <c r="D57" s="39">
        <v>31364</v>
      </c>
      <c r="E57" s="39">
        <v>38285</v>
      </c>
      <c r="F57" s="39">
        <v>40848.650994699703</v>
      </c>
      <c r="G57" s="39">
        <v>36122</v>
      </c>
      <c r="H57" s="39">
        <v>39645</v>
      </c>
      <c r="I57" s="39">
        <v>49694</v>
      </c>
      <c r="J57" s="39">
        <v>60343</v>
      </c>
      <c r="K57" s="39">
        <v>63604</v>
      </c>
      <c r="L57" s="39"/>
      <c r="M57" s="39">
        <v>32186</v>
      </c>
      <c r="N57" s="39">
        <v>34151</v>
      </c>
      <c r="O57" s="39">
        <v>36191</v>
      </c>
      <c r="P57" s="40">
        <v>38285</v>
      </c>
      <c r="Q57" s="39">
        <v>39836.654848746701</v>
      </c>
      <c r="R57" s="39">
        <v>40620.661547384101</v>
      </c>
      <c r="S57" s="39">
        <v>41127.199441532801</v>
      </c>
      <c r="T57" s="40">
        <v>40848.650994699703</v>
      </c>
      <c r="U57" s="39">
        <v>40198</v>
      </c>
      <c r="V57" s="39">
        <v>38030</v>
      </c>
      <c r="W57" s="39">
        <v>36596</v>
      </c>
      <c r="X57" s="40">
        <v>36122</v>
      </c>
      <c r="Y57" s="39">
        <v>35762</v>
      </c>
      <c r="Z57" s="39">
        <v>37036</v>
      </c>
      <c r="AA57" s="39">
        <v>38278</v>
      </c>
      <c r="AB57" s="40">
        <v>39645</v>
      </c>
      <c r="AC57" s="39">
        <v>41960</v>
      </c>
      <c r="AD57" s="39">
        <v>44095</v>
      </c>
      <c r="AE57" s="39">
        <v>46930</v>
      </c>
      <c r="AF57" s="40">
        <v>49694</v>
      </c>
      <c r="AG57" s="39">
        <v>52473</v>
      </c>
      <c r="AH57" s="39">
        <v>56515</v>
      </c>
      <c r="AI57" s="39">
        <v>58711</v>
      </c>
      <c r="AJ57" s="40">
        <v>60343</v>
      </c>
      <c r="AK57" s="39">
        <v>60618</v>
      </c>
      <c r="AL57" s="39">
        <v>61219</v>
      </c>
      <c r="AM57" s="39">
        <v>61921</v>
      </c>
      <c r="AN57" s="40">
        <v>63604</v>
      </c>
      <c r="AO57" s="39">
        <v>64996</v>
      </c>
      <c r="AP57" s="39">
        <v>63616</v>
      </c>
      <c r="AQ57" s="39">
        <v>63159</v>
      </c>
    </row>
    <row r="58" spans="1:43" ht="12.75" x14ac:dyDescent="0.2">
      <c r="A58" s="38" t="s">
        <v>222</v>
      </c>
      <c r="B58" s="39">
        <v>21727</v>
      </c>
      <c r="C58" s="39">
        <v>23167</v>
      </c>
      <c r="D58" s="39">
        <v>21674</v>
      </c>
      <c r="E58" s="39">
        <v>23086</v>
      </c>
      <c r="F58" s="39">
        <v>29518</v>
      </c>
      <c r="G58" s="39">
        <v>34033</v>
      </c>
      <c r="H58" s="39">
        <v>34485</v>
      </c>
      <c r="I58" s="39">
        <v>39794</v>
      </c>
      <c r="J58" s="39">
        <v>48815</v>
      </c>
      <c r="K58" s="39">
        <v>60153</v>
      </c>
      <c r="L58" s="39"/>
      <c r="M58" s="39">
        <v>21066</v>
      </c>
      <c r="N58" s="39">
        <v>21518</v>
      </c>
      <c r="O58" s="39">
        <v>21826</v>
      </c>
      <c r="P58" s="40">
        <v>23086</v>
      </c>
      <c r="Q58" s="39">
        <v>25173</v>
      </c>
      <c r="R58" s="39">
        <v>26794</v>
      </c>
      <c r="S58" s="39">
        <v>28050</v>
      </c>
      <c r="T58" s="40">
        <v>29518</v>
      </c>
      <c r="U58" s="39">
        <v>31092</v>
      </c>
      <c r="V58" s="39">
        <v>32065</v>
      </c>
      <c r="W58" s="39">
        <v>33313</v>
      </c>
      <c r="X58" s="40">
        <v>34033</v>
      </c>
      <c r="Y58" s="39">
        <v>35029</v>
      </c>
      <c r="Z58" s="39">
        <v>34608</v>
      </c>
      <c r="AA58" s="39">
        <v>34468</v>
      </c>
      <c r="AB58" s="40">
        <v>34485</v>
      </c>
      <c r="AC58" s="39">
        <v>35195</v>
      </c>
      <c r="AD58" s="39">
        <v>35491</v>
      </c>
      <c r="AE58" s="39">
        <v>37663</v>
      </c>
      <c r="AF58" s="40">
        <v>39794</v>
      </c>
      <c r="AG58" s="39">
        <v>42208</v>
      </c>
      <c r="AH58" s="39">
        <v>44463</v>
      </c>
      <c r="AI58" s="39">
        <v>47040</v>
      </c>
      <c r="AJ58" s="40">
        <v>48815</v>
      </c>
      <c r="AK58" s="39">
        <v>52087</v>
      </c>
      <c r="AL58" s="39">
        <v>54757</v>
      </c>
      <c r="AM58" s="39">
        <v>57310</v>
      </c>
      <c r="AN58" s="40">
        <v>60153</v>
      </c>
      <c r="AO58" s="39">
        <v>62667</v>
      </c>
      <c r="AP58" s="39">
        <v>62511</v>
      </c>
      <c r="AQ58" s="39">
        <v>62786</v>
      </c>
    </row>
    <row r="59" spans="1:43" ht="12.75" x14ac:dyDescent="0.2">
      <c r="A59" s="41" t="s">
        <v>54</v>
      </c>
      <c r="B59" s="42">
        <v>1.3</v>
      </c>
      <c r="C59" s="56">
        <v>1.2</v>
      </c>
      <c r="D59" s="56">
        <v>1.4</v>
      </c>
      <c r="E59" s="56">
        <v>1.6583643766785066</v>
      </c>
      <c r="F59" s="56">
        <v>1.383855647222024</v>
      </c>
      <c r="G59" s="56">
        <v>1.1000000000000001</v>
      </c>
      <c r="H59" s="56">
        <v>1.1000000000000001</v>
      </c>
      <c r="I59" s="56">
        <v>1.2</v>
      </c>
      <c r="J59" s="56">
        <v>1.2361569189798218</v>
      </c>
      <c r="K59" s="56">
        <v>1.1000000000000001</v>
      </c>
      <c r="L59" s="57"/>
      <c r="M59" s="56">
        <v>1.5278648058482864</v>
      </c>
      <c r="N59" s="56">
        <v>1.5870898782414722</v>
      </c>
      <c r="O59" s="56">
        <v>1.6581599926692936</v>
      </c>
      <c r="P59" s="58">
        <v>1.6583643766785066</v>
      </c>
      <c r="Q59" s="56">
        <v>1.582515188843074</v>
      </c>
      <c r="R59" s="56">
        <v>1.5160357373809099</v>
      </c>
      <c r="S59" s="56">
        <v>1.4662103187712228</v>
      </c>
      <c r="T59" s="58">
        <v>1.383855647222024</v>
      </c>
      <c r="U59" s="56">
        <v>1.3</v>
      </c>
      <c r="V59" s="56">
        <v>1.1859971932013098</v>
      </c>
      <c r="W59" s="56">
        <v>1.098550115570498</v>
      </c>
      <c r="X59" s="58">
        <v>1.0613816002115595</v>
      </c>
      <c r="Y59" s="56">
        <v>1.0209255188558053</v>
      </c>
      <c r="Z59" s="56">
        <v>1.1000000000000001</v>
      </c>
      <c r="AA59" s="56">
        <v>1.1105373099686666</v>
      </c>
      <c r="AB59" s="58">
        <v>1.1498636811880039</v>
      </c>
      <c r="AC59" s="56">
        <v>1.1922148032390965</v>
      </c>
      <c r="AD59" s="56">
        <v>1.2424276577160407</v>
      </c>
      <c r="AE59" s="56">
        <v>1.2460505004911984</v>
      </c>
      <c r="AF59" s="58">
        <v>1.2487812232999951</v>
      </c>
      <c r="AG59" s="56">
        <v>1.2432003411675512</v>
      </c>
      <c r="AH59" s="56">
        <v>1.3</v>
      </c>
      <c r="AI59" s="56">
        <v>1.2481079931972789</v>
      </c>
      <c r="AJ59" s="58">
        <v>1.2361569189798218</v>
      </c>
      <c r="AK59" s="56">
        <v>1.1637836696296582</v>
      </c>
      <c r="AL59" s="56">
        <v>1.1180123089285388</v>
      </c>
      <c r="AM59" s="56">
        <v>1.0804746117606003</v>
      </c>
      <c r="AN59" s="58">
        <v>1.0573537479427459</v>
      </c>
      <c r="AO59" s="56">
        <v>1</v>
      </c>
      <c r="AP59" s="56">
        <v>1.0176608916830601</v>
      </c>
      <c r="AQ59" s="56">
        <v>1.01</v>
      </c>
    </row>
    <row r="60" spans="1:43" ht="12.75" x14ac:dyDescent="0.2">
      <c r="A60" s="46" t="s">
        <v>165</v>
      </c>
      <c r="B60" s="75"/>
      <c r="C60" s="75"/>
      <c r="D60" s="49"/>
      <c r="E60" s="75"/>
      <c r="F60" s="75"/>
      <c r="G60" s="75"/>
      <c r="H60" s="75"/>
      <c r="I60" s="75"/>
      <c r="J60" s="75"/>
      <c r="K60" s="75"/>
      <c r="L60" s="77"/>
      <c r="M60" s="75"/>
      <c r="N60" s="75"/>
      <c r="O60" s="75"/>
      <c r="P60" s="64"/>
      <c r="Q60" s="75"/>
      <c r="R60" s="75"/>
      <c r="S60" s="75"/>
      <c r="T60" s="78"/>
      <c r="U60" s="75"/>
      <c r="V60" s="75"/>
      <c r="W60" s="75"/>
      <c r="X60" s="78"/>
      <c r="Y60" s="75"/>
      <c r="Z60" s="75"/>
      <c r="AA60" s="75"/>
      <c r="AB60" s="78"/>
      <c r="AC60" s="75"/>
      <c r="AD60" s="75"/>
      <c r="AE60" s="75"/>
      <c r="AF60" s="78"/>
      <c r="AG60" s="75"/>
      <c r="AH60" s="75"/>
      <c r="AI60" s="75"/>
      <c r="AJ60" s="78"/>
      <c r="AK60" s="75"/>
      <c r="AL60" s="75"/>
      <c r="AM60" s="75"/>
      <c r="AN60" s="78"/>
      <c r="AO60" s="75"/>
      <c r="AP60" s="75"/>
      <c r="AQ60" s="75"/>
    </row>
    <row r="61" spans="1:43" ht="22.5" x14ac:dyDescent="0.2">
      <c r="A61" s="46" t="s">
        <v>223</v>
      </c>
      <c r="B61" s="75"/>
      <c r="C61" s="75"/>
      <c r="D61" s="49"/>
      <c r="E61" s="75"/>
      <c r="F61" s="75"/>
      <c r="G61" s="75"/>
      <c r="H61" s="75"/>
      <c r="I61" s="75"/>
      <c r="J61" s="75"/>
      <c r="K61" s="75"/>
      <c r="L61" s="77"/>
      <c r="M61" s="75"/>
      <c r="N61" s="75"/>
      <c r="O61" s="75"/>
      <c r="P61" s="64"/>
      <c r="Q61" s="75"/>
      <c r="R61" s="75"/>
      <c r="S61" s="75"/>
      <c r="T61" s="78"/>
      <c r="U61" s="75"/>
      <c r="V61" s="75"/>
      <c r="W61" s="75"/>
      <c r="X61" s="78"/>
      <c r="Y61" s="75"/>
      <c r="Z61" s="75"/>
      <c r="AA61" s="75"/>
      <c r="AB61" s="78"/>
      <c r="AC61" s="75"/>
      <c r="AD61" s="75"/>
      <c r="AE61" s="75"/>
      <c r="AF61" s="78"/>
      <c r="AG61" s="75"/>
      <c r="AH61" s="75"/>
      <c r="AI61" s="75"/>
      <c r="AJ61" s="78"/>
      <c r="AK61" s="75"/>
      <c r="AL61" s="75"/>
      <c r="AM61" s="75"/>
      <c r="AN61" s="78"/>
      <c r="AO61" s="75"/>
      <c r="AP61" s="75"/>
      <c r="AQ61" s="75"/>
    </row>
    <row r="62" spans="1:43" ht="22.5" x14ac:dyDescent="0.2">
      <c r="A62" s="46" t="s">
        <v>224</v>
      </c>
      <c r="B62" s="32"/>
      <c r="C62" s="32"/>
      <c r="D62" s="33"/>
      <c r="E62" s="32"/>
      <c r="F62" s="32"/>
      <c r="G62" s="32"/>
      <c r="H62" s="32"/>
      <c r="I62" s="32"/>
      <c r="J62" s="32"/>
      <c r="K62" s="32"/>
      <c r="L62" s="32"/>
      <c r="M62" s="32"/>
      <c r="N62" s="32"/>
      <c r="O62" s="32"/>
      <c r="P62" s="34"/>
      <c r="Q62" s="32"/>
      <c r="R62" s="32"/>
      <c r="S62" s="32"/>
      <c r="T62" s="34"/>
      <c r="U62" s="32"/>
      <c r="V62" s="32"/>
      <c r="W62" s="32"/>
      <c r="X62" s="34"/>
      <c r="Y62" s="32"/>
      <c r="Z62" s="32"/>
      <c r="AA62" s="32"/>
      <c r="AB62" s="34"/>
      <c r="AC62" s="32"/>
      <c r="AD62" s="32"/>
      <c r="AE62" s="32"/>
      <c r="AF62" s="34"/>
      <c r="AG62" s="32"/>
      <c r="AH62" s="32"/>
      <c r="AI62" s="32"/>
      <c r="AJ62" s="34"/>
      <c r="AK62" s="32"/>
      <c r="AL62" s="32"/>
      <c r="AM62" s="32"/>
      <c r="AN62" s="34"/>
      <c r="AO62" s="32"/>
      <c r="AP62" s="32"/>
      <c r="AQ62" s="32"/>
    </row>
    <row r="63" spans="1:43" ht="12.75" x14ac:dyDescent="0.2">
      <c r="A63" s="32"/>
      <c r="B63" s="32"/>
      <c r="C63" s="32"/>
      <c r="D63" s="33"/>
      <c r="E63" s="32"/>
      <c r="F63" s="32"/>
      <c r="G63" s="32"/>
      <c r="H63" s="32"/>
      <c r="I63" s="32"/>
      <c r="J63" s="32"/>
      <c r="K63" s="32"/>
      <c r="L63" s="32"/>
      <c r="M63" s="32"/>
      <c r="N63" s="32"/>
      <c r="O63" s="32"/>
      <c r="P63" s="34"/>
      <c r="Q63" s="32"/>
      <c r="R63" s="32"/>
      <c r="S63" s="32"/>
      <c r="T63" s="34"/>
      <c r="U63" s="32"/>
      <c r="V63" s="32"/>
      <c r="W63" s="32"/>
      <c r="X63" s="34"/>
      <c r="Y63" s="32"/>
      <c r="Z63" s="32"/>
      <c r="AA63" s="32"/>
      <c r="AB63" s="34"/>
      <c r="AC63" s="32"/>
      <c r="AD63" s="32"/>
      <c r="AE63" s="32"/>
      <c r="AF63" s="34"/>
      <c r="AG63" s="32"/>
      <c r="AH63" s="32"/>
      <c r="AI63" s="32"/>
      <c r="AJ63" s="34"/>
      <c r="AK63" s="32"/>
      <c r="AL63" s="32"/>
      <c r="AM63" s="32"/>
      <c r="AN63" s="34"/>
      <c r="AO63" s="32"/>
      <c r="AP63" s="32"/>
      <c r="AQ63" s="32"/>
    </row>
    <row r="64" spans="1:43" ht="12.75" x14ac:dyDescent="0.2">
      <c r="A64" s="47" t="s">
        <v>225</v>
      </c>
      <c r="B64" s="48" t="s">
        <v>211</v>
      </c>
      <c r="C64" s="48" t="s">
        <v>212</v>
      </c>
      <c r="D64" s="48" t="s">
        <v>213</v>
      </c>
      <c r="E64" s="48" t="s">
        <v>214</v>
      </c>
      <c r="F64" s="48" t="s">
        <v>215</v>
      </c>
      <c r="G64" s="48" t="s">
        <v>216</v>
      </c>
      <c r="H64" s="48" t="s">
        <v>217</v>
      </c>
      <c r="I64" s="48" t="s">
        <v>218</v>
      </c>
      <c r="J64" s="48" t="s">
        <v>219</v>
      </c>
      <c r="K64" s="48" t="s">
        <v>220</v>
      </c>
      <c r="L64" s="49"/>
      <c r="M64" s="50" t="s">
        <v>131</v>
      </c>
      <c r="N64" s="50" t="s">
        <v>132</v>
      </c>
      <c r="O64" s="50" t="s">
        <v>133</v>
      </c>
      <c r="P64" s="51" t="s">
        <v>134</v>
      </c>
      <c r="Q64" s="50" t="s">
        <v>135</v>
      </c>
      <c r="R64" s="50" t="s">
        <v>136</v>
      </c>
      <c r="S64" s="50" t="s">
        <v>137</v>
      </c>
      <c r="T64" s="51" t="s">
        <v>138</v>
      </c>
      <c r="U64" s="50" t="s">
        <v>139</v>
      </c>
      <c r="V64" s="50" t="s">
        <v>140</v>
      </c>
      <c r="W64" s="50" t="s">
        <v>141</v>
      </c>
      <c r="X64" s="51" t="s">
        <v>142</v>
      </c>
      <c r="Y64" s="50" t="s">
        <v>143</v>
      </c>
      <c r="Z64" s="50" t="s">
        <v>144</v>
      </c>
      <c r="AA64" s="50" t="s">
        <v>145</v>
      </c>
      <c r="AB64" s="51" t="s">
        <v>146</v>
      </c>
      <c r="AC64" s="50" t="s">
        <v>147</v>
      </c>
      <c r="AD64" s="50" t="s">
        <v>148</v>
      </c>
      <c r="AE64" s="50" t="s">
        <v>149</v>
      </c>
      <c r="AF64" s="51" t="s">
        <v>150</v>
      </c>
      <c r="AG64" s="50" t="s">
        <v>151</v>
      </c>
      <c r="AH64" s="50" t="s">
        <v>152</v>
      </c>
      <c r="AI64" s="50" t="s">
        <v>153</v>
      </c>
      <c r="AJ64" s="51" t="s">
        <v>154</v>
      </c>
      <c r="AK64" s="50" t="s">
        <v>155</v>
      </c>
      <c r="AL64" s="50" t="s">
        <v>156</v>
      </c>
      <c r="AM64" s="50" t="s">
        <v>157</v>
      </c>
      <c r="AN64" s="51" t="s">
        <v>158</v>
      </c>
      <c r="AO64" s="50" t="s">
        <v>159</v>
      </c>
      <c r="AP64" s="50" t="s">
        <v>160</v>
      </c>
      <c r="AQ64" s="50" t="s">
        <v>161</v>
      </c>
    </row>
    <row r="65" spans="1:43" ht="12.75" x14ac:dyDescent="0.2">
      <c r="A65" s="38" t="s">
        <v>226</v>
      </c>
      <c r="B65" s="39">
        <v>5175</v>
      </c>
      <c r="C65" s="39">
        <v>4548</v>
      </c>
      <c r="D65" s="39">
        <v>5930</v>
      </c>
      <c r="E65" s="39">
        <v>7385</v>
      </c>
      <c r="F65" s="39">
        <v>8136.0009848372001</v>
      </c>
      <c r="G65" s="39">
        <v>7382</v>
      </c>
      <c r="H65" s="39">
        <v>8995</v>
      </c>
      <c r="I65" s="39">
        <v>11147</v>
      </c>
      <c r="J65" s="39">
        <v>13183</v>
      </c>
      <c r="K65" s="39">
        <v>12385</v>
      </c>
      <c r="L65" s="39"/>
      <c r="M65" s="39">
        <v>6031</v>
      </c>
      <c r="N65" s="39">
        <v>6373</v>
      </c>
      <c r="O65" s="39">
        <v>6751</v>
      </c>
      <c r="P65" s="40">
        <v>7385</v>
      </c>
      <c r="Q65" s="39">
        <v>7800.0471575894999</v>
      </c>
      <c r="R65" s="39">
        <v>8252.5813732372008</v>
      </c>
      <c r="S65" s="39">
        <v>8281.6837509285997</v>
      </c>
      <c r="T65" s="40">
        <v>8136.0009848372001</v>
      </c>
      <c r="U65" s="39">
        <v>8138</v>
      </c>
      <c r="V65" s="39">
        <v>7293</v>
      </c>
      <c r="W65" s="39">
        <v>7186</v>
      </c>
      <c r="X65" s="40">
        <v>7382</v>
      </c>
      <c r="Y65" s="39">
        <v>7317</v>
      </c>
      <c r="Z65" s="39">
        <v>8082</v>
      </c>
      <c r="AA65" s="39">
        <v>8613</v>
      </c>
      <c r="AB65" s="40">
        <v>8995</v>
      </c>
      <c r="AC65" s="39">
        <v>9760</v>
      </c>
      <c r="AD65" s="39">
        <v>9958</v>
      </c>
      <c r="AE65" s="39">
        <v>10506</v>
      </c>
      <c r="AF65" s="40">
        <v>11147</v>
      </c>
      <c r="AG65" s="39">
        <v>11677</v>
      </c>
      <c r="AH65" s="39">
        <v>12709</v>
      </c>
      <c r="AI65" s="39">
        <v>13069</v>
      </c>
      <c r="AJ65" s="40">
        <v>13183</v>
      </c>
      <c r="AK65" s="39">
        <v>12782</v>
      </c>
      <c r="AL65" s="39">
        <v>12290</v>
      </c>
      <c r="AM65" s="39">
        <v>12306</v>
      </c>
      <c r="AN65" s="40">
        <v>12385</v>
      </c>
      <c r="AO65" s="39">
        <v>12713</v>
      </c>
      <c r="AP65" s="39">
        <v>12623</v>
      </c>
      <c r="AQ65" s="39">
        <v>12148</v>
      </c>
    </row>
    <row r="66" spans="1:43" ht="12.75" x14ac:dyDescent="0.2">
      <c r="A66" s="38" t="s">
        <v>222</v>
      </c>
      <c r="B66" s="39">
        <v>21727</v>
      </c>
      <c r="C66" s="39">
        <v>23167</v>
      </c>
      <c r="D66" s="39">
        <v>21674</v>
      </c>
      <c r="E66" s="39">
        <v>23086</v>
      </c>
      <c r="F66" s="39">
        <v>29518</v>
      </c>
      <c r="G66" s="39">
        <v>34033</v>
      </c>
      <c r="H66" s="39">
        <v>34485</v>
      </c>
      <c r="I66" s="39">
        <v>39794</v>
      </c>
      <c r="J66" s="39">
        <v>48815</v>
      </c>
      <c r="K66" s="39">
        <v>60153</v>
      </c>
      <c r="L66" s="39"/>
      <c r="M66" s="39">
        <v>21066</v>
      </c>
      <c r="N66" s="39">
        <v>21518</v>
      </c>
      <c r="O66" s="39">
        <v>21826</v>
      </c>
      <c r="P66" s="40">
        <v>23086</v>
      </c>
      <c r="Q66" s="39">
        <v>25173</v>
      </c>
      <c r="R66" s="39">
        <v>26794</v>
      </c>
      <c r="S66" s="39">
        <v>28050</v>
      </c>
      <c r="T66" s="40">
        <v>29518</v>
      </c>
      <c r="U66" s="39">
        <v>31092</v>
      </c>
      <c r="V66" s="39">
        <v>32065</v>
      </c>
      <c r="W66" s="39">
        <v>33313</v>
      </c>
      <c r="X66" s="40">
        <v>34033</v>
      </c>
      <c r="Y66" s="39">
        <v>35029</v>
      </c>
      <c r="Z66" s="39">
        <v>34608</v>
      </c>
      <c r="AA66" s="39">
        <v>34468</v>
      </c>
      <c r="AB66" s="40">
        <v>34485</v>
      </c>
      <c r="AC66" s="39">
        <v>35195</v>
      </c>
      <c r="AD66" s="39">
        <v>35491</v>
      </c>
      <c r="AE66" s="39">
        <v>37663</v>
      </c>
      <c r="AF66" s="40">
        <v>39794</v>
      </c>
      <c r="AG66" s="39">
        <v>42208</v>
      </c>
      <c r="AH66" s="39">
        <v>44463</v>
      </c>
      <c r="AI66" s="39">
        <v>47040</v>
      </c>
      <c r="AJ66" s="40">
        <v>48815</v>
      </c>
      <c r="AK66" s="39">
        <v>52087</v>
      </c>
      <c r="AL66" s="39">
        <v>54757</v>
      </c>
      <c r="AM66" s="39">
        <v>57310</v>
      </c>
      <c r="AN66" s="40">
        <v>60153</v>
      </c>
      <c r="AO66" s="39">
        <v>62667</v>
      </c>
      <c r="AP66" s="39">
        <v>62511</v>
      </c>
      <c r="AQ66" s="39">
        <v>62786</v>
      </c>
    </row>
    <row r="67" spans="1:43" ht="12.75" x14ac:dyDescent="0.2">
      <c r="A67" s="41" t="s">
        <v>227</v>
      </c>
      <c r="B67" s="56">
        <v>23.8</v>
      </c>
      <c r="C67" s="56">
        <v>19.600000000000001</v>
      </c>
      <c r="D67" s="56">
        <v>27.4</v>
      </c>
      <c r="E67" s="56">
        <v>32</v>
      </c>
      <c r="F67" s="56">
        <v>27.6</v>
      </c>
      <c r="G67" s="56">
        <v>21.7</v>
      </c>
      <c r="H67" s="56">
        <v>26.1</v>
      </c>
      <c r="I67" s="56">
        <v>28.011760566919637</v>
      </c>
      <c r="J67" s="56">
        <v>27</v>
      </c>
      <c r="K67" s="56">
        <v>20.6</v>
      </c>
      <c r="L67" s="57"/>
      <c r="M67" s="56">
        <v>28.629070540206968</v>
      </c>
      <c r="N67" s="56">
        <v>29.617064782972395</v>
      </c>
      <c r="O67" s="56">
        <v>30.930999725098506</v>
      </c>
      <c r="P67" s="58">
        <v>31.989084293511215</v>
      </c>
      <c r="Q67" s="56">
        <v>30.985767121874623</v>
      </c>
      <c r="R67" s="56">
        <v>30.800109626174521</v>
      </c>
      <c r="S67" s="56">
        <v>29.524719254647415</v>
      </c>
      <c r="T67" s="58">
        <v>27.562846347439528</v>
      </c>
      <c r="U67" s="56">
        <v>26.17</v>
      </c>
      <c r="V67" s="56">
        <v>22.741306720723532</v>
      </c>
      <c r="W67" s="56">
        <v>21.571158406628044</v>
      </c>
      <c r="X67" s="58">
        <v>21.7</v>
      </c>
      <c r="Y67" s="56">
        <v>20.888406748693939</v>
      </c>
      <c r="Z67" s="56">
        <v>23.4</v>
      </c>
      <c r="AA67" s="56">
        <v>24.988395033074156</v>
      </c>
      <c r="AB67" s="58">
        <v>26.1</v>
      </c>
      <c r="AC67" s="56">
        <v>27.731211819860775</v>
      </c>
      <c r="AD67" s="56">
        <v>28.057817474852779</v>
      </c>
      <c r="AE67" s="56">
        <v>27.894750816451158</v>
      </c>
      <c r="AF67" s="58">
        <v>28.011760566919637</v>
      </c>
      <c r="AG67" s="56">
        <v>27.665371493555725</v>
      </c>
      <c r="AH67" s="56">
        <v>28.6</v>
      </c>
      <c r="AI67" s="56">
        <v>27.782738095238095</v>
      </c>
      <c r="AJ67" s="58">
        <v>27.006043224418725</v>
      </c>
      <c r="AK67" s="56">
        <v>24.539712404246742</v>
      </c>
      <c r="AL67" s="56">
        <v>22.444618952827948</v>
      </c>
      <c r="AM67" s="56">
        <v>21.4726923748037</v>
      </c>
      <c r="AN67" s="58">
        <v>20.589164297707512</v>
      </c>
      <c r="AO67" s="56">
        <v>20.3</v>
      </c>
      <c r="AP67" s="56">
        <v>20.193245988705989</v>
      </c>
      <c r="AQ67" s="56">
        <v>19.349855063230656</v>
      </c>
    </row>
    <row r="68" spans="1:43" ht="12.75" x14ac:dyDescent="0.2">
      <c r="A68" s="46" t="s">
        <v>165</v>
      </c>
      <c r="B68" s="75"/>
      <c r="C68" s="75"/>
      <c r="D68" s="49"/>
      <c r="E68" s="75"/>
      <c r="F68" s="75"/>
      <c r="G68" s="75"/>
      <c r="H68" s="75"/>
      <c r="I68" s="75"/>
      <c r="J68" s="75"/>
      <c r="K68" s="75"/>
      <c r="L68" s="77"/>
      <c r="M68" s="75"/>
      <c r="N68" s="75"/>
      <c r="O68" s="75"/>
      <c r="P68" s="64"/>
      <c r="Q68" s="75"/>
      <c r="R68" s="75"/>
      <c r="S68" s="75"/>
      <c r="T68" s="78"/>
      <c r="U68" s="75"/>
      <c r="V68" s="75"/>
      <c r="W68" s="75"/>
      <c r="X68" s="78"/>
      <c r="Y68" s="75"/>
      <c r="Z68" s="75"/>
      <c r="AA68" s="75"/>
      <c r="AB68" s="78"/>
      <c r="AC68" s="75"/>
      <c r="AD68" s="75"/>
      <c r="AE68" s="75"/>
      <c r="AF68" s="78"/>
      <c r="AG68" s="75"/>
      <c r="AH68" s="75"/>
      <c r="AI68" s="75"/>
      <c r="AJ68" s="78"/>
      <c r="AK68" s="75"/>
      <c r="AL68" s="75"/>
      <c r="AM68" s="75"/>
      <c r="AN68" s="78"/>
      <c r="AO68" s="75"/>
      <c r="AP68" s="75"/>
      <c r="AQ68" s="75"/>
    </row>
    <row r="69" spans="1:43" ht="22.5" x14ac:dyDescent="0.2">
      <c r="A69" s="46" t="s">
        <v>223</v>
      </c>
      <c r="B69" s="75"/>
      <c r="C69" s="75"/>
      <c r="D69" s="49"/>
      <c r="E69" s="75"/>
      <c r="F69" s="75"/>
      <c r="G69" s="75"/>
      <c r="H69" s="75"/>
      <c r="I69" s="75"/>
      <c r="J69" s="75"/>
      <c r="K69" s="75"/>
      <c r="L69" s="77"/>
      <c r="M69" s="75"/>
      <c r="N69" s="75"/>
      <c r="O69" s="75"/>
      <c r="P69" s="64"/>
      <c r="Q69" s="75"/>
      <c r="R69" s="75"/>
      <c r="S69" s="75"/>
      <c r="T69" s="78"/>
      <c r="U69" s="75"/>
      <c r="V69" s="75"/>
      <c r="W69" s="75"/>
      <c r="X69" s="78"/>
      <c r="Y69" s="75"/>
      <c r="Z69" s="75"/>
      <c r="AA69" s="75"/>
      <c r="AB69" s="78"/>
      <c r="AC69" s="75"/>
      <c r="AD69" s="75"/>
      <c r="AE69" s="75"/>
      <c r="AF69" s="78"/>
      <c r="AG69" s="75"/>
      <c r="AH69" s="75"/>
      <c r="AI69" s="75"/>
      <c r="AJ69" s="78"/>
      <c r="AK69" s="75"/>
      <c r="AL69" s="75"/>
      <c r="AM69" s="75"/>
      <c r="AN69" s="78"/>
      <c r="AO69" s="75"/>
      <c r="AP69" s="75"/>
      <c r="AQ69" s="75"/>
    </row>
    <row r="70" spans="1:43" ht="22.5" x14ac:dyDescent="0.2">
      <c r="A70" s="46" t="s">
        <v>224</v>
      </c>
      <c r="B70" s="32"/>
      <c r="C70" s="32"/>
      <c r="D70" s="33"/>
      <c r="E70" s="32"/>
      <c r="F70" s="32"/>
      <c r="G70" s="32"/>
      <c r="H70" s="32"/>
      <c r="I70" s="32"/>
      <c r="J70" s="32"/>
      <c r="K70" s="32"/>
      <c r="L70" s="32"/>
      <c r="M70" s="32"/>
      <c r="N70" s="32"/>
      <c r="O70" s="32"/>
      <c r="P70" s="34"/>
      <c r="Q70" s="32"/>
      <c r="R70" s="32"/>
      <c r="S70" s="32"/>
      <c r="T70" s="34"/>
      <c r="U70" s="32"/>
      <c r="V70" s="32"/>
      <c r="W70" s="32"/>
      <c r="X70" s="34"/>
      <c r="Y70" s="32"/>
      <c r="Z70" s="32"/>
      <c r="AA70" s="32"/>
      <c r="AB70" s="34"/>
      <c r="AC70" s="32"/>
      <c r="AD70" s="32"/>
      <c r="AE70" s="32"/>
      <c r="AF70" s="34"/>
      <c r="AG70" s="32"/>
      <c r="AH70" s="32"/>
      <c r="AI70" s="32"/>
      <c r="AJ70" s="34"/>
      <c r="AK70" s="32"/>
      <c r="AL70" s="32"/>
      <c r="AM70" s="32"/>
      <c r="AN70" s="34"/>
      <c r="AO70" s="32"/>
      <c r="AP70" s="32"/>
      <c r="AQ70" s="32"/>
    </row>
    <row r="71" spans="1:43" ht="12.75" x14ac:dyDescent="0.2">
      <c r="A71" s="32"/>
      <c r="B71" s="32"/>
      <c r="C71" s="32"/>
      <c r="D71" s="33"/>
      <c r="E71" s="32"/>
      <c r="F71" s="32"/>
      <c r="G71" s="32"/>
      <c r="H71" s="32"/>
      <c r="I71" s="32"/>
      <c r="J71" s="32"/>
      <c r="K71" s="32"/>
      <c r="L71" s="32"/>
      <c r="M71" s="32"/>
      <c r="N71" s="32"/>
      <c r="O71" s="32"/>
      <c r="P71" s="34"/>
      <c r="Q71" s="32"/>
      <c r="R71" s="32"/>
      <c r="S71" s="32"/>
      <c r="T71" s="34"/>
      <c r="U71" s="32"/>
      <c r="V71" s="32"/>
      <c r="W71" s="32"/>
      <c r="X71" s="34"/>
      <c r="Y71" s="32"/>
      <c r="Z71" s="32"/>
      <c r="AA71" s="32"/>
      <c r="AB71" s="34"/>
      <c r="AC71" s="32"/>
      <c r="AD71" s="32"/>
      <c r="AE71" s="32"/>
      <c r="AF71" s="34"/>
      <c r="AG71" s="32"/>
      <c r="AH71" s="32"/>
      <c r="AI71" s="32"/>
      <c r="AJ71" s="34"/>
      <c r="AK71" s="32"/>
      <c r="AL71" s="32"/>
      <c r="AM71" s="32"/>
      <c r="AN71" s="34"/>
      <c r="AO71" s="32"/>
      <c r="AP71" s="32"/>
      <c r="AQ71" s="32"/>
    </row>
    <row r="72" spans="1:43" ht="12.75" x14ac:dyDescent="0.2">
      <c r="A72" s="47" t="s">
        <v>228</v>
      </c>
      <c r="B72" s="48">
        <v>2015</v>
      </c>
      <c r="C72" s="48">
        <v>2016</v>
      </c>
      <c r="D72" s="48" t="s">
        <v>130</v>
      </c>
      <c r="E72" s="48">
        <v>2018</v>
      </c>
      <c r="F72" s="48">
        <v>2019</v>
      </c>
      <c r="G72" s="48">
        <v>2020</v>
      </c>
      <c r="H72" s="48">
        <v>2021</v>
      </c>
      <c r="I72" s="48">
        <v>2022</v>
      </c>
      <c r="J72" s="48">
        <v>2023</v>
      </c>
      <c r="K72" s="48">
        <v>2024</v>
      </c>
      <c r="L72" s="49"/>
      <c r="M72" s="50" t="s">
        <v>131</v>
      </c>
      <c r="N72" s="50" t="s">
        <v>132</v>
      </c>
      <c r="O72" s="50" t="s">
        <v>133</v>
      </c>
      <c r="P72" s="51" t="s">
        <v>134</v>
      </c>
      <c r="Q72" s="50" t="s">
        <v>135</v>
      </c>
      <c r="R72" s="50" t="s">
        <v>136</v>
      </c>
      <c r="S72" s="50" t="s">
        <v>137</v>
      </c>
      <c r="T72" s="51" t="s">
        <v>138</v>
      </c>
      <c r="U72" s="50" t="s">
        <v>139</v>
      </c>
      <c r="V72" s="50" t="s">
        <v>140</v>
      </c>
      <c r="W72" s="50" t="s">
        <v>141</v>
      </c>
      <c r="X72" s="51" t="s">
        <v>142</v>
      </c>
      <c r="Y72" s="50" t="s">
        <v>143</v>
      </c>
      <c r="Z72" s="50" t="s">
        <v>144</v>
      </c>
      <c r="AA72" s="50" t="s">
        <v>145</v>
      </c>
      <c r="AB72" s="51" t="s">
        <v>146</v>
      </c>
      <c r="AC72" s="50" t="s">
        <v>147</v>
      </c>
      <c r="AD72" s="50" t="s">
        <v>148</v>
      </c>
      <c r="AE72" s="50" t="s">
        <v>149</v>
      </c>
      <c r="AF72" s="51" t="s">
        <v>150</v>
      </c>
      <c r="AG72" s="50" t="s">
        <v>151</v>
      </c>
      <c r="AH72" s="50" t="s">
        <v>152</v>
      </c>
      <c r="AI72" s="50" t="s">
        <v>153</v>
      </c>
      <c r="AJ72" s="51" t="s">
        <v>154</v>
      </c>
      <c r="AK72" s="50" t="s">
        <v>155</v>
      </c>
      <c r="AL72" s="50" t="s">
        <v>156</v>
      </c>
      <c r="AM72" s="50" t="s">
        <v>157</v>
      </c>
      <c r="AN72" s="51" t="s">
        <v>158</v>
      </c>
      <c r="AO72" s="50" t="s">
        <v>159</v>
      </c>
      <c r="AP72" s="50" t="s">
        <v>160</v>
      </c>
      <c r="AQ72" s="50" t="s">
        <v>161</v>
      </c>
    </row>
    <row r="73" spans="1:43" ht="12.75" x14ac:dyDescent="0.2">
      <c r="A73" s="38" t="s">
        <v>229</v>
      </c>
      <c r="B73" s="39">
        <v>7153</v>
      </c>
      <c r="C73" s="39">
        <v>7061</v>
      </c>
      <c r="D73" s="39">
        <v>8440</v>
      </c>
      <c r="E73" s="39">
        <v>10516</v>
      </c>
      <c r="F73" s="39">
        <v>10508</v>
      </c>
      <c r="G73" s="39">
        <v>8930</v>
      </c>
      <c r="H73" s="39">
        <v>11861</v>
      </c>
      <c r="I73" s="39">
        <v>16945</v>
      </c>
      <c r="J73" s="39">
        <v>18747</v>
      </c>
      <c r="K73" s="39">
        <v>19191</v>
      </c>
      <c r="L73" s="39"/>
      <c r="M73" s="39">
        <v>9746</v>
      </c>
      <c r="N73" s="39">
        <v>10664</v>
      </c>
      <c r="O73" s="39">
        <v>10789</v>
      </c>
      <c r="P73" s="40">
        <v>10516</v>
      </c>
      <c r="Q73" s="39">
        <v>11207</v>
      </c>
      <c r="R73" s="39">
        <v>11285</v>
      </c>
      <c r="S73" s="39">
        <v>11392</v>
      </c>
      <c r="T73" s="40">
        <v>10508</v>
      </c>
      <c r="U73" s="39">
        <v>10933</v>
      </c>
      <c r="V73" s="39">
        <v>10531</v>
      </c>
      <c r="W73" s="39">
        <v>9821</v>
      </c>
      <c r="X73" s="40">
        <v>8930</v>
      </c>
      <c r="Y73" s="39">
        <v>9808</v>
      </c>
      <c r="Z73" s="39">
        <v>10271</v>
      </c>
      <c r="AA73" s="39">
        <v>11199</v>
      </c>
      <c r="AB73" s="40">
        <v>11861</v>
      </c>
      <c r="AC73" s="39">
        <v>13245</v>
      </c>
      <c r="AD73" s="39">
        <v>15119</v>
      </c>
      <c r="AE73" s="39">
        <v>16634</v>
      </c>
      <c r="AF73" s="40">
        <v>16945</v>
      </c>
      <c r="AG73" s="39">
        <v>18930</v>
      </c>
      <c r="AH73" s="39">
        <v>20157</v>
      </c>
      <c r="AI73" s="39">
        <v>20031</v>
      </c>
      <c r="AJ73" s="40">
        <v>18747</v>
      </c>
      <c r="AK73" s="39">
        <v>20592</v>
      </c>
      <c r="AL73" s="39">
        <v>21373</v>
      </c>
      <c r="AM73" s="39">
        <v>20202</v>
      </c>
      <c r="AN73" s="40">
        <v>19191</v>
      </c>
      <c r="AO73" s="39">
        <v>18273</v>
      </c>
      <c r="AP73" s="39">
        <v>18018</v>
      </c>
      <c r="AQ73" s="39">
        <v>18262</v>
      </c>
    </row>
    <row r="74" spans="1:43" ht="12.75" x14ac:dyDescent="0.2">
      <c r="A74" s="38" t="s">
        <v>230</v>
      </c>
      <c r="B74" s="39">
        <v>6122</v>
      </c>
      <c r="C74" s="39">
        <v>6578</v>
      </c>
      <c r="D74" s="39">
        <v>6271</v>
      </c>
      <c r="E74" s="39">
        <v>8005</v>
      </c>
      <c r="F74" s="39">
        <v>7287</v>
      </c>
      <c r="G74" s="39">
        <v>6045</v>
      </c>
      <c r="H74" s="39">
        <v>7174</v>
      </c>
      <c r="I74" s="39">
        <v>9581</v>
      </c>
      <c r="J74" s="39">
        <v>10455</v>
      </c>
      <c r="K74" s="39">
        <v>12424</v>
      </c>
      <c r="L74" s="39"/>
      <c r="M74" s="39">
        <v>6909</v>
      </c>
      <c r="N74" s="39">
        <v>7898</v>
      </c>
      <c r="O74" s="39">
        <v>7821</v>
      </c>
      <c r="P74" s="40">
        <v>8005</v>
      </c>
      <c r="Q74" s="39">
        <v>8501</v>
      </c>
      <c r="R74" s="39">
        <v>8757</v>
      </c>
      <c r="S74" s="39">
        <v>8068</v>
      </c>
      <c r="T74" s="40">
        <v>7287</v>
      </c>
      <c r="U74" s="39">
        <v>7300</v>
      </c>
      <c r="V74" s="39">
        <v>6139</v>
      </c>
      <c r="W74" s="39">
        <v>6197</v>
      </c>
      <c r="X74" s="40">
        <v>6045</v>
      </c>
      <c r="Y74" s="39">
        <v>6391</v>
      </c>
      <c r="Z74" s="39">
        <v>6669</v>
      </c>
      <c r="AA74" s="39">
        <v>6765</v>
      </c>
      <c r="AB74" s="40">
        <v>7174</v>
      </c>
      <c r="AC74" s="39">
        <v>8225</v>
      </c>
      <c r="AD74" s="39">
        <v>8381</v>
      </c>
      <c r="AE74" s="39">
        <v>9174</v>
      </c>
      <c r="AF74" s="40">
        <v>9581</v>
      </c>
      <c r="AG74" s="39">
        <v>10088</v>
      </c>
      <c r="AH74" s="39">
        <v>11082</v>
      </c>
      <c r="AI74" s="39">
        <v>10832</v>
      </c>
      <c r="AJ74" s="40">
        <v>10455</v>
      </c>
      <c r="AK74" s="39">
        <v>10607</v>
      </c>
      <c r="AL74" s="39">
        <v>11271</v>
      </c>
      <c r="AM74" s="39">
        <v>10883</v>
      </c>
      <c r="AN74" s="40">
        <v>12424</v>
      </c>
      <c r="AO74" s="39">
        <v>11382</v>
      </c>
      <c r="AP74" s="39">
        <v>11790</v>
      </c>
      <c r="AQ74" s="39">
        <v>11343</v>
      </c>
    </row>
    <row r="75" spans="1:43" ht="12.75" x14ac:dyDescent="0.2">
      <c r="A75" s="38" t="s">
        <v>231</v>
      </c>
      <c r="B75" s="39">
        <v>-2214</v>
      </c>
      <c r="C75" s="39">
        <v>-2446</v>
      </c>
      <c r="D75" s="39">
        <v>-3966</v>
      </c>
      <c r="E75" s="39">
        <v>-4711</v>
      </c>
      <c r="F75" s="39">
        <v>-4050</v>
      </c>
      <c r="G75" s="39">
        <v>-3605</v>
      </c>
      <c r="H75" s="39">
        <v>-5512</v>
      </c>
      <c r="I75" s="39">
        <v>-6375</v>
      </c>
      <c r="J75" s="39">
        <v>-5902</v>
      </c>
      <c r="K75" s="39">
        <v>-5756</v>
      </c>
      <c r="L75" s="39"/>
      <c r="M75" s="39">
        <v>-4871</v>
      </c>
      <c r="N75" s="39">
        <v>-4749</v>
      </c>
      <c r="O75" s="39">
        <v>-4421</v>
      </c>
      <c r="P75" s="40">
        <v>-4711</v>
      </c>
      <c r="Q75" s="39">
        <v>-4575</v>
      </c>
      <c r="R75" s="39">
        <v>-4536</v>
      </c>
      <c r="S75" s="39">
        <v>-3701</v>
      </c>
      <c r="T75" s="40">
        <v>-4050</v>
      </c>
      <c r="U75" s="39">
        <v>-4108</v>
      </c>
      <c r="V75" s="39">
        <v>-3764</v>
      </c>
      <c r="W75" s="39">
        <v>-3431</v>
      </c>
      <c r="X75" s="40">
        <v>-3605</v>
      </c>
      <c r="Y75" s="39">
        <v>-4171</v>
      </c>
      <c r="Z75" s="39">
        <v>-4796</v>
      </c>
      <c r="AA75" s="39">
        <v>-4905</v>
      </c>
      <c r="AB75" s="40">
        <v>-5512</v>
      </c>
      <c r="AC75" s="39">
        <v>-6181</v>
      </c>
      <c r="AD75" s="39">
        <v>-6239</v>
      </c>
      <c r="AE75" s="39">
        <v>-6249</v>
      </c>
      <c r="AF75" s="40">
        <v>-6375</v>
      </c>
      <c r="AG75" s="39">
        <v>-7017</v>
      </c>
      <c r="AH75" s="39">
        <v>-7196</v>
      </c>
      <c r="AI75" s="39">
        <v>-6210</v>
      </c>
      <c r="AJ75" s="40">
        <v>-5902</v>
      </c>
      <c r="AK75" s="39">
        <v>-6213</v>
      </c>
      <c r="AL75" s="39">
        <v>-6151</v>
      </c>
      <c r="AM75" s="39">
        <v>-5314</v>
      </c>
      <c r="AN75" s="40">
        <v>-5756</v>
      </c>
      <c r="AO75" s="39">
        <v>-5564</v>
      </c>
      <c r="AP75" s="39">
        <v>-5900</v>
      </c>
      <c r="AQ75" s="39">
        <v>-5616</v>
      </c>
    </row>
    <row r="76" spans="1:43" ht="12.75" x14ac:dyDescent="0.2">
      <c r="A76" s="38" t="s">
        <v>232</v>
      </c>
      <c r="B76" s="39">
        <v>-451</v>
      </c>
      <c r="C76" s="39">
        <v>-346</v>
      </c>
      <c r="D76" s="39">
        <v>-572</v>
      </c>
      <c r="E76" s="39">
        <v>-913.44890729360009</v>
      </c>
      <c r="F76" s="39">
        <v>-591.53879033500004</v>
      </c>
      <c r="G76" s="39">
        <v>-799</v>
      </c>
      <c r="H76" s="39">
        <v>-1337</v>
      </c>
      <c r="I76" s="39">
        <v>-1586</v>
      </c>
      <c r="J76" s="39">
        <v>-1564</v>
      </c>
      <c r="K76" s="39">
        <v>-1537</v>
      </c>
      <c r="L76" s="39"/>
      <c r="M76" s="39">
        <v>-629</v>
      </c>
      <c r="N76" s="39">
        <v>-711</v>
      </c>
      <c r="O76" s="39">
        <v>-724</v>
      </c>
      <c r="P76" s="40">
        <v>-913.44890729360009</v>
      </c>
      <c r="Q76" s="39">
        <v>-785.31213207259998</v>
      </c>
      <c r="R76" s="39">
        <v>-715.36444091190003</v>
      </c>
      <c r="S76" s="39">
        <v>-638.63430398390005</v>
      </c>
      <c r="T76" s="40">
        <v>-591.53879033500004</v>
      </c>
      <c r="U76" s="39">
        <v>-688</v>
      </c>
      <c r="V76" s="39">
        <v>-822</v>
      </c>
      <c r="W76" s="39">
        <v>-766</v>
      </c>
      <c r="X76" s="40">
        <v>-799</v>
      </c>
      <c r="Y76" s="39">
        <v>-783</v>
      </c>
      <c r="Z76" s="39">
        <v>-776</v>
      </c>
      <c r="AA76" s="39">
        <v>-956</v>
      </c>
      <c r="AB76" s="40">
        <v>-1337</v>
      </c>
      <c r="AC76" s="39">
        <v>-1496</v>
      </c>
      <c r="AD76" s="39">
        <v>-1700</v>
      </c>
      <c r="AE76" s="39">
        <v>-1815</v>
      </c>
      <c r="AF76" s="40">
        <v>-1586</v>
      </c>
      <c r="AG76" s="39">
        <v>-1559</v>
      </c>
      <c r="AH76" s="39">
        <v>-1623</v>
      </c>
      <c r="AI76" s="39">
        <v>-1675</v>
      </c>
      <c r="AJ76" s="40">
        <v>-1564</v>
      </c>
      <c r="AK76" s="39">
        <v>-1466</v>
      </c>
      <c r="AL76" s="39">
        <v>-1448</v>
      </c>
      <c r="AM76" s="39">
        <v>-1376</v>
      </c>
      <c r="AN76" s="40">
        <v>-1537</v>
      </c>
      <c r="AO76" s="39">
        <v>-1362</v>
      </c>
      <c r="AP76" s="39">
        <v>-1169</v>
      </c>
      <c r="AQ76" s="39">
        <v>-1391</v>
      </c>
    </row>
    <row r="77" spans="1:43" ht="12.75" x14ac:dyDescent="0.2">
      <c r="A77" s="41" t="s">
        <v>88</v>
      </c>
      <c r="B77" s="79">
        <v>10610</v>
      </c>
      <c r="C77" s="79">
        <v>10847</v>
      </c>
      <c r="D77" s="53">
        <v>10173</v>
      </c>
      <c r="E77" s="79">
        <v>12896.551092706401</v>
      </c>
      <c r="F77" s="79">
        <v>13153.461209665</v>
      </c>
      <c r="G77" s="79">
        <v>10571</v>
      </c>
      <c r="H77" s="79">
        <v>12186</v>
      </c>
      <c r="I77" s="79">
        <v>18564</v>
      </c>
      <c r="J77" s="79">
        <v>21736</v>
      </c>
      <c r="K77" s="79">
        <v>24322</v>
      </c>
      <c r="L77" s="66"/>
      <c r="M77" s="79">
        <v>11155</v>
      </c>
      <c r="N77" s="79">
        <v>13102</v>
      </c>
      <c r="O77" s="79">
        <v>13465</v>
      </c>
      <c r="P77" s="80">
        <v>12896.551092706401</v>
      </c>
      <c r="Q77" s="79">
        <v>14347.6878679274</v>
      </c>
      <c r="R77" s="79">
        <v>14790.635559088099</v>
      </c>
      <c r="S77" s="79">
        <v>15120.365696016101</v>
      </c>
      <c r="T77" s="80">
        <v>13153.461209665</v>
      </c>
      <c r="U77" s="79">
        <v>13457</v>
      </c>
      <c r="V77" s="79">
        <v>12084</v>
      </c>
      <c r="W77" s="79">
        <v>11821</v>
      </c>
      <c r="X77" s="80">
        <v>10571</v>
      </c>
      <c r="Y77" s="79">
        <v>11245</v>
      </c>
      <c r="Z77" s="79">
        <v>11368</v>
      </c>
      <c r="AA77" s="79">
        <v>12104</v>
      </c>
      <c r="AB77" s="80">
        <v>12186</v>
      </c>
      <c r="AC77" s="79">
        <v>13793</v>
      </c>
      <c r="AD77" s="79">
        <v>15561</v>
      </c>
      <c r="AE77" s="79">
        <v>17744</v>
      </c>
      <c r="AF77" s="80">
        <v>18564</v>
      </c>
      <c r="AG77" s="79">
        <v>20442</v>
      </c>
      <c r="AH77" s="79">
        <v>22420</v>
      </c>
      <c r="AI77" s="79">
        <v>22978</v>
      </c>
      <c r="AJ77" s="80">
        <v>21736</v>
      </c>
      <c r="AK77" s="79">
        <v>23520</v>
      </c>
      <c r="AL77" s="79">
        <v>25045</v>
      </c>
      <c r="AM77" s="79">
        <v>24395</v>
      </c>
      <c r="AN77" s="80">
        <v>24322</v>
      </c>
      <c r="AO77" s="79">
        <v>22729</v>
      </c>
      <c r="AP77" s="79">
        <v>22739</v>
      </c>
      <c r="AQ77" s="79">
        <v>22598</v>
      </c>
    </row>
    <row r="78" spans="1:43" ht="12.75" x14ac:dyDescent="0.2">
      <c r="A78" s="46" t="s">
        <v>165</v>
      </c>
      <c r="B78" s="32"/>
      <c r="C78" s="32"/>
      <c r="D78" s="33"/>
      <c r="E78" s="32"/>
      <c r="F78" s="32"/>
      <c r="G78" s="32"/>
      <c r="H78" s="32"/>
      <c r="I78" s="32"/>
      <c r="J78" s="32"/>
      <c r="K78" s="32"/>
      <c r="L78" s="32"/>
      <c r="M78" s="32"/>
      <c r="N78" s="32"/>
      <c r="O78" s="32"/>
      <c r="P78" s="34"/>
      <c r="Q78" s="32"/>
      <c r="R78" s="32"/>
      <c r="S78" s="32"/>
      <c r="T78" s="34"/>
      <c r="U78" s="32"/>
      <c r="V78" s="32"/>
      <c r="W78" s="32"/>
      <c r="X78" s="34"/>
      <c r="Y78" s="32"/>
      <c r="Z78" s="32"/>
      <c r="AA78" s="32"/>
      <c r="AB78" s="34"/>
      <c r="AC78" s="32"/>
      <c r="AD78" s="32"/>
      <c r="AE78" s="32"/>
      <c r="AF78" s="34"/>
      <c r="AG78" s="32"/>
      <c r="AH78" s="32"/>
      <c r="AI78" s="32"/>
      <c r="AJ78" s="34"/>
      <c r="AK78" s="32"/>
      <c r="AL78" s="32"/>
      <c r="AM78" s="32"/>
      <c r="AN78" s="34"/>
      <c r="AO78" s="32"/>
      <c r="AP78" s="32"/>
      <c r="AQ78" s="32"/>
    </row>
    <row r="79" spans="1:43" ht="12.75" x14ac:dyDescent="0.2">
      <c r="A79" s="32"/>
      <c r="B79" s="32"/>
      <c r="C79" s="32"/>
      <c r="D79" s="33"/>
      <c r="E79" s="32"/>
      <c r="F79" s="32"/>
      <c r="G79" s="32"/>
      <c r="H79" s="32"/>
      <c r="I79" s="32"/>
      <c r="J79" s="32"/>
      <c r="K79" s="32"/>
      <c r="L79" s="32"/>
      <c r="M79" s="32"/>
      <c r="N79" s="32"/>
      <c r="O79" s="32"/>
      <c r="P79" s="34"/>
      <c r="Q79" s="32"/>
      <c r="R79" s="32"/>
      <c r="S79" s="32"/>
      <c r="T79" s="34"/>
      <c r="U79" s="32"/>
      <c r="V79" s="32"/>
      <c r="W79" s="32"/>
      <c r="X79" s="34"/>
      <c r="Y79" s="32"/>
      <c r="Z79" s="32"/>
      <c r="AA79" s="32"/>
      <c r="AB79" s="34"/>
      <c r="AC79" s="32"/>
      <c r="AD79" s="32"/>
      <c r="AE79" s="32"/>
      <c r="AF79" s="34"/>
      <c r="AG79" s="32"/>
      <c r="AH79" s="32"/>
      <c r="AI79" s="32"/>
      <c r="AJ79" s="34"/>
      <c r="AK79" s="32"/>
      <c r="AL79" s="32"/>
      <c r="AM79" s="32"/>
      <c r="AN79" s="34"/>
      <c r="AO79" s="32"/>
      <c r="AP79" s="32"/>
      <c r="AQ79" s="32"/>
    </row>
    <row r="80" spans="1:43" ht="12.75" x14ac:dyDescent="0.2">
      <c r="A80" s="47" t="s">
        <v>233</v>
      </c>
      <c r="B80" s="48" t="s">
        <v>211</v>
      </c>
      <c r="C80" s="48" t="s">
        <v>212</v>
      </c>
      <c r="D80" s="48" t="s">
        <v>213</v>
      </c>
      <c r="E80" s="48" t="s">
        <v>214</v>
      </c>
      <c r="F80" s="48" t="s">
        <v>215</v>
      </c>
      <c r="G80" s="48" t="s">
        <v>216</v>
      </c>
      <c r="H80" s="48" t="s">
        <v>217</v>
      </c>
      <c r="I80" s="48" t="s">
        <v>218</v>
      </c>
      <c r="J80" s="48" t="s">
        <v>219</v>
      </c>
      <c r="K80" s="48" t="s">
        <v>220</v>
      </c>
      <c r="L80" s="49"/>
      <c r="M80" s="50" t="s">
        <v>131</v>
      </c>
      <c r="N80" s="50" t="s">
        <v>132</v>
      </c>
      <c r="O80" s="50" t="s">
        <v>133</v>
      </c>
      <c r="P80" s="51" t="s">
        <v>134</v>
      </c>
      <c r="Q80" s="50" t="s">
        <v>135</v>
      </c>
      <c r="R80" s="50" t="s">
        <v>136</v>
      </c>
      <c r="S80" s="50" t="s">
        <v>137</v>
      </c>
      <c r="T80" s="51" t="s">
        <v>138</v>
      </c>
      <c r="U80" s="50" t="s">
        <v>139</v>
      </c>
      <c r="V80" s="50" t="s">
        <v>140</v>
      </c>
      <c r="W80" s="50" t="s">
        <v>141</v>
      </c>
      <c r="X80" s="51" t="s">
        <v>142</v>
      </c>
      <c r="Y80" s="50" t="s">
        <v>143</v>
      </c>
      <c r="Z80" s="50" t="s">
        <v>144</v>
      </c>
      <c r="AA80" s="50" t="s">
        <v>145</v>
      </c>
      <c r="AB80" s="51" t="s">
        <v>146</v>
      </c>
      <c r="AC80" s="50" t="s">
        <v>147</v>
      </c>
      <c r="AD80" s="50" t="s">
        <v>148</v>
      </c>
      <c r="AE80" s="50" t="s">
        <v>149</v>
      </c>
      <c r="AF80" s="51" t="s">
        <v>150</v>
      </c>
      <c r="AG80" s="50" t="s">
        <v>151</v>
      </c>
      <c r="AH80" s="50" t="s">
        <v>152</v>
      </c>
      <c r="AI80" s="50" t="s">
        <v>153</v>
      </c>
      <c r="AJ80" s="51" t="s">
        <v>154</v>
      </c>
      <c r="AK80" s="50" t="s">
        <v>155</v>
      </c>
      <c r="AL80" s="50" t="s">
        <v>156</v>
      </c>
      <c r="AM80" s="50" t="s">
        <v>157</v>
      </c>
      <c r="AN80" s="51" t="s">
        <v>158</v>
      </c>
      <c r="AO80" s="50" t="s">
        <v>159</v>
      </c>
      <c r="AP80" s="50" t="s">
        <v>160</v>
      </c>
      <c r="AQ80" s="50" t="s">
        <v>161</v>
      </c>
    </row>
    <row r="81" spans="1:43" ht="12.75" x14ac:dyDescent="0.2">
      <c r="A81" s="38" t="s">
        <v>221</v>
      </c>
      <c r="B81" s="39">
        <v>28663</v>
      </c>
      <c r="C81" s="39">
        <v>27102</v>
      </c>
      <c r="D81" s="39">
        <v>31364</v>
      </c>
      <c r="E81" s="39">
        <v>38285</v>
      </c>
      <c r="F81" s="39">
        <v>40848.650994699703</v>
      </c>
      <c r="G81" s="39">
        <v>36122</v>
      </c>
      <c r="H81" s="39">
        <v>39645</v>
      </c>
      <c r="I81" s="39">
        <v>49694</v>
      </c>
      <c r="J81" s="39">
        <v>60343</v>
      </c>
      <c r="K81" s="39">
        <v>63604</v>
      </c>
      <c r="L81" s="39"/>
      <c r="M81" s="39">
        <v>32186</v>
      </c>
      <c r="N81" s="39">
        <v>34151</v>
      </c>
      <c r="O81" s="39">
        <v>36191</v>
      </c>
      <c r="P81" s="40">
        <v>38285</v>
      </c>
      <c r="Q81" s="39">
        <v>39836.654848746701</v>
      </c>
      <c r="R81" s="39">
        <v>40620.661547384101</v>
      </c>
      <c r="S81" s="39">
        <v>41127.199441532801</v>
      </c>
      <c r="T81" s="40">
        <v>40848.650994699703</v>
      </c>
      <c r="U81" s="39">
        <v>40198</v>
      </c>
      <c r="V81" s="39">
        <v>38030</v>
      </c>
      <c r="W81" s="39">
        <v>36596</v>
      </c>
      <c r="X81" s="40">
        <v>36122</v>
      </c>
      <c r="Y81" s="39">
        <v>35762</v>
      </c>
      <c r="Z81" s="39">
        <v>37036</v>
      </c>
      <c r="AA81" s="39">
        <v>38278</v>
      </c>
      <c r="AB81" s="40">
        <v>39645</v>
      </c>
      <c r="AC81" s="39">
        <v>41960</v>
      </c>
      <c r="AD81" s="39">
        <v>44095</v>
      </c>
      <c r="AE81" s="39">
        <v>46930</v>
      </c>
      <c r="AF81" s="40">
        <v>49694</v>
      </c>
      <c r="AG81" s="39">
        <v>52473</v>
      </c>
      <c r="AH81" s="39">
        <v>56515</v>
      </c>
      <c r="AI81" s="39">
        <v>58711</v>
      </c>
      <c r="AJ81" s="40">
        <v>60343</v>
      </c>
      <c r="AK81" s="39">
        <v>60618</v>
      </c>
      <c r="AL81" s="39">
        <v>61219</v>
      </c>
      <c r="AM81" s="39">
        <v>61922</v>
      </c>
      <c r="AN81" s="40">
        <v>63604</v>
      </c>
      <c r="AO81" s="39">
        <v>64996</v>
      </c>
      <c r="AP81" s="39">
        <v>63616</v>
      </c>
      <c r="AQ81" s="39">
        <v>63159</v>
      </c>
    </row>
    <row r="82" spans="1:43" ht="12.75" x14ac:dyDescent="0.2">
      <c r="A82" s="38" t="s">
        <v>234</v>
      </c>
      <c r="B82" s="39">
        <v>27626</v>
      </c>
      <c r="C82" s="39">
        <v>29201</v>
      </c>
      <c r="D82" s="39">
        <v>29161</v>
      </c>
      <c r="E82" s="39">
        <v>32735</v>
      </c>
      <c r="F82" s="39">
        <v>39705</v>
      </c>
      <c r="G82" s="39">
        <v>43515</v>
      </c>
      <c r="H82" s="39">
        <v>46220</v>
      </c>
      <c r="I82" s="39">
        <v>56000</v>
      </c>
      <c r="J82" s="39">
        <v>67160</v>
      </c>
      <c r="K82" s="39">
        <v>78377</v>
      </c>
      <c r="L82" s="39"/>
      <c r="M82" s="39">
        <v>29257</v>
      </c>
      <c r="N82" s="39">
        <v>30325</v>
      </c>
      <c r="O82" s="39">
        <v>31029</v>
      </c>
      <c r="P82" s="40">
        <v>32735</v>
      </c>
      <c r="Q82" s="39">
        <v>35158</v>
      </c>
      <c r="R82" s="39">
        <v>37095</v>
      </c>
      <c r="S82" s="39">
        <v>38395</v>
      </c>
      <c r="T82" s="40">
        <v>39705</v>
      </c>
      <c r="U82" s="39">
        <v>41263</v>
      </c>
      <c r="V82" s="39">
        <v>42145</v>
      </c>
      <c r="W82" s="39">
        <v>43042</v>
      </c>
      <c r="X82" s="40">
        <v>43515</v>
      </c>
      <c r="Y82" s="39">
        <v>44678</v>
      </c>
      <c r="Z82" s="39">
        <v>44843</v>
      </c>
      <c r="AA82" s="39">
        <v>45430</v>
      </c>
      <c r="AB82" s="40">
        <v>46220</v>
      </c>
      <c r="AC82" s="39">
        <v>47924</v>
      </c>
      <c r="AD82" s="39">
        <v>49663</v>
      </c>
      <c r="AE82" s="39">
        <v>53096</v>
      </c>
      <c r="AF82" s="40">
        <v>56000</v>
      </c>
      <c r="AG82" s="39">
        <v>59344</v>
      </c>
      <c r="AH82" s="39">
        <v>62921</v>
      </c>
      <c r="AI82" s="39">
        <v>65940</v>
      </c>
      <c r="AJ82" s="40">
        <v>67160</v>
      </c>
      <c r="AK82" s="39">
        <v>70391</v>
      </c>
      <c r="AL82" s="39">
        <v>73534</v>
      </c>
      <c r="AM82" s="39">
        <v>75788</v>
      </c>
      <c r="AN82" s="40">
        <v>78377</v>
      </c>
      <c r="AO82" s="39">
        <v>80990</v>
      </c>
      <c r="AP82" s="39">
        <v>81274</v>
      </c>
      <c r="AQ82" s="39">
        <v>81346</v>
      </c>
    </row>
    <row r="83" spans="1:43" ht="12.75" x14ac:dyDescent="0.2">
      <c r="A83" s="41" t="s">
        <v>57</v>
      </c>
      <c r="B83" s="56">
        <v>1</v>
      </c>
      <c r="C83" s="56">
        <v>0.9</v>
      </c>
      <c r="D83" s="56">
        <v>1.1000000000000001</v>
      </c>
      <c r="E83" s="56">
        <v>1.1695433022758515</v>
      </c>
      <c r="F83" s="56">
        <v>1.0288037021710037</v>
      </c>
      <c r="G83" s="56">
        <v>0.83010456164540958</v>
      </c>
      <c r="H83" s="56">
        <v>0.9</v>
      </c>
      <c r="I83" s="56">
        <v>0.9</v>
      </c>
      <c r="J83" s="56">
        <v>0.89848275040574144</v>
      </c>
      <c r="K83" s="56">
        <v>0.81150082294550696</v>
      </c>
      <c r="L83" s="57"/>
      <c r="M83" s="56">
        <v>1.1001127935194996</v>
      </c>
      <c r="N83" s="56">
        <v>1.1261665292662819</v>
      </c>
      <c r="O83" s="56">
        <v>1.1663605014663703</v>
      </c>
      <c r="P83" s="58">
        <v>1.1695433022758515</v>
      </c>
      <c r="Q83" s="56">
        <v>1.1330751137364667</v>
      </c>
      <c r="R83" s="56">
        <v>1.0950441177351153</v>
      </c>
      <c r="S83" s="56">
        <v>1.0711602927863733</v>
      </c>
      <c r="T83" s="58">
        <v>1.0288296140111752</v>
      </c>
      <c r="U83" s="56">
        <v>0.97</v>
      </c>
      <c r="V83" s="56">
        <v>0.90236089690354726</v>
      </c>
      <c r="W83" s="56">
        <v>0.85023930114771618</v>
      </c>
      <c r="X83" s="58">
        <v>0.8</v>
      </c>
      <c r="Y83" s="56">
        <v>0.80043869465956397</v>
      </c>
      <c r="Z83" s="56">
        <v>0.8</v>
      </c>
      <c r="AA83" s="56">
        <v>0.84257098833370014</v>
      </c>
      <c r="AB83" s="58">
        <v>0.9</v>
      </c>
      <c r="AC83" s="56">
        <v>0.87555295885151485</v>
      </c>
      <c r="AD83" s="56">
        <v>0.88788434045466447</v>
      </c>
      <c r="AE83" s="56">
        <v>0.88387072472502637</v>
      </c>
      <c r="AF83" s="58">
        <v>0.88739285714285709</v>
      </c>
      <c r="AG83" s="56">
        <v>0.88421744405500136</v>
      </c>
      <c r="AH83" s="56">
        <v>0.89819000000000004</v>
      </c>
      <c r="AI83" s="56">
        <v>0.89037003336366394</v>
      </c>
      <c r="AJ83" s="58">
        <v>0.89848275040574144</v>
      </c>
      <c r="AK83" s="56">
        <v>0.8611612279978974</v>
      </c>
      <c r="AL83" s="56">
        <v>0.83252645034949824</v>
      </c>
      <c r="AM83" s="56">
        <v>0.81704227582202982</v>
      </c>
      <c r="AN83" s="58">
        <v>0.81150082294550696</v>
      </c>
      <c r="AO83" s="56">
        <v>0.8</v>
      </c>
      <c r="AP83" s="56">
        <v>0.8</v>
      </c>
      <c r="AQ83" s="56">
        <v>0.8</v>
      </c>
    </row>
    <row r="84" spans="1:43" ht="12.75" x14ac:dyDescent="0.2">
      <c r="A84" s="46" t="s">
        <v>165</v>
      </c>
      <c r="B84" s="75"/>
      <c r="C84" s="75"/>
      <c r="D84" s="49"/>
      <c r="E84" s="75"/>
      <c r="F84" s="75"/>
      <c r="G84" s="75"/>
      <c r="H84" s="75"/>
      <c r="I84" s="75"/>
      <c r="J84" s="75"/>
      <c r="K84" s="75"/>
      <c r="L84" s="77"/>
      <c r="M84" s="75"/>
      <c r="N84" s="75"/>
      <c r="O84" s="75"/>
      <c r="P84" s="64"/>
      <c r="Q84" s="75"/>
      <c r="R84" s="75"/>
      <c r="S84" s="75"/>
      <c r="T84" s="78"/>
      <c r="U84" s="75"/>
      <c r="V84" s="75"/>
      <c r="W84" s="75"/>
      <c r="X84" s="78"/>
      <c r="Y84" s="75"/>
      <c r="Z84" s="75"/>
      <c r="AA84" s="75"/>
      <c r="AB84" s="78"/>
      <c r="AC84" s="75"/>
      <c r="AD84" s="75"/>
      <c r="AE84" s="75"/>
      <c r="AF84" s="78"/>
      <c r="AG84" s="75"/>
      <c r="AH84" s="75"/>
      <c r="AI84" s="75"/>
      <c r="AJ84" s="78"/>
      <c r="AK84" s="75"/>
      <c r="AL84" s="75"/>
      <c r="AM84" s="75"/>
      <c r="AN84" s="78"/>
      <c r="AO84" s="75"/>
      <c r="AP84" s="75"/>
      <c r="AQ84" s="75"/>
    </row>
    <row r="85" spans="1:43" ht="12.75" x14ac:dyDescent="0.2">
      <c r="A85" s="46" t="s">
        <v>235</v>
      </c>
      <c r="B85" s="75"/>
      <c r="C85" s="75"/>
      <c r="D85" s="49"/>
      <c r="E85" s="75"/>
      <c r="F85" s="75"/>
      <c r="G85" s="75"/>
      <c r="H85" s="75"/>
      <c r="I85" s="75"/>
      <c r="J85" s="75"/>
      <c r="K85" s="75"/>
      <c r="L85" s="77"/>
      <c r="M85" s="75"/>
      <c r="N85" s="75"/>
      <c r="O85" s="75"/>
      <c r="P85" s="64"/>
      <c r="Q85" s="75"/>
      <c r="R85" s="75"/>
      <c r="S85" s="75"/>
      <c r="T85" s="78"/>
      <c r="U85" s="75"/>
      <c r="V85" s="75"/>
      <c r="W85" s="75"/>
      <c r="X85" s="78"/>
      <c r="Y85" s="75"/>
      <c r="Z85" s="75"/>
      <c r="AA85" s="75"/>
      <c r="AB85" s="78"/>
      <c r="AC85" s="75"/>
      <c r="AD85" s="75"/>
      <c r="AE85" s="75"/>
      <c r="AF85" s="78"/>
      <c r="AG85" s="75"/>
      <c r="AH85" s="75"/>
      <c r="AI85" s="75"/>
      <c r="AJ85" s="78"/>
      <c r="AK85" s="75"/>
      <c r="AL85" s="75"/>
      <c r="AM85" s="75"/>
      <c r="AN85" s="78"/>
      <c r="AO85" s="75"/>
      <c r="AP85" s="75"/>
      <c r="AQ85" s="75"/>
    </row>
    <row r="86" spans="1:43" ht="12.75" x14ac:dyDescent="0.2">
      <c r="A86" s="46" t="s">
        <v>236</v>
      </c>
      <c r="B86" s="32"/>
      <c r="C86" s="32"/>
      <c r="D86" s="33"/>
      <c r="E86" s="32"/>
      <c r="F86" s="32"/>
      <c r="G86" s="32"/>
      <c r="H86" s="32"/>
      <c r="I86" s="32"/>
      <c r="J86" s="32"/>
      <c r="K86" s="32"/>
      <c r="L86" s="32"/>
      <c r="M86" s="32"/>
      <c r="N86" s="32"/>
      <c r="O86" s="32"/>
      <c r="P86" s="34"/>
      <c r="Q86" s="32"/>
      <c r="R86" s="32"/>
      <c r="S86" s="32"/>
      <c r="T86" s="34"/>
      <c r="U86" s="32"/>
      <c r="V86" s="32"/>
      <c r="W86" s="32"/>
      <c r="X86" s="34"/>
      <c r="Y86" s="32"/>
      <c r="Z86" s="32"/>
      <c r="AA86" s="32"/>
      <c r="AB86" s="34"/>
      <c r="AC86" s="32"/>
      <c r="AD86" s="32"/>
      <c r="AE86" s="32"/>
      <c r="AF86" s="34"/>
      <c r="AG86" s="32"/>
      <c r="AH86" s="32"/>
      <c r="AI86" s="32"/>
      <c r="AJ86" s="34"/>
      <c r="AK86" s="32"/>
      <c r="AL86" s="32"/>
      <c r="AM86" s="32"/>
      <c r="AN86" s="34"/>
      <c r="AO86" s="32"/>
      <c r="AP86" s="32"/>
      <c r="AQ86" s="32"/>
    </row>
    <row r="87" spans="1:43" ht="12.75" x14ac:dyDescent="0.2">
      <c r="A87" s="32"/>
      <c r="B87" s="32"/>
      <c r="C87" s="32"/>
      <c r="D87" s="33"/>
      <c r="E87" s="32"/>
      <c r="F87" s="32"/>
      <c r="G87" s="32"/>
      <c r="H87" s="32"/>
      <c r="I87" s="32"/>
      <c r="J87" s="32"/>
      <c r="K87" s="32"/>
      <c r="L87" s="32"/>
      <c r="M87" s="32"/>
      <c r="N87" s="32"/>
      <c r="O87" s="32"/>
      <c r="P87" s="34"/>
      <c r="Q87" s="32"/>
      <c r="R87" s="32"/>
      <c r="S87" s="32"/>
      <c r="T87" s="34"/>
      <c r="U87" s="32"/>
      <c r="V87" s="32"/>
      <c r="W87" s="32"/>
      <c r="X87" s="34"/>
      <c r="Y87" s="32"/>
      <c r="Z87" s="32"/>
      <c r="AA87" s="32"/>
      <c r="AB87" s="34"/>
      <c r="AC87" s="32"/>
      <c r="AD87" s="32"/>
      <c r="AE87" s="32"/>
      <c r="AF87" s="34"/>
      <c r="AG87" s="32"/>
      <c r="AH87" s="32"/>
      <c r="AI87" s="32"/>
      <c r="AJ87" s="34"/>
      <c r="AK87" s="32"/>
      <c r="AL87" s="32"/>
      <c r="AM87" s="32"/>
      <c r="AN87" s="34"/>
      <c r="AO87" s="32"/>
      <c r="AP87" s="32"/>
      <c r="AQ87" s="32"/>
    </row>
    <row r="88" spans="1:43" ht="22.5" x14ac:dyDescent="0.2">
      <c r="A88" s="47" t="s">
        <v>237</v>
      </c>
      <c r="B88" s="48">
        <v>2015</v>
      </c>
      <c r="C88" s="48">
        <v>2016</v>
      </c>
      <c r="D88" s="48" t="s">
        <v>130</v>
      </c>
      <c r="E88" s="48">
        <v>2018</v>
      </c>
      <c r="F88" s="48">
        <v>2019</v>
      </c>
      <c r="G88" s="48">
        <v>2020</v>
      </c>
      <c r="H88" s="48">
        <v>2021</v>
      </c>
      <c r="I88" s="48">
        <v>2022</v>
      </c>
      <c r="J88" s="48">
        <v>2023</v>
      </c>
      <c r="K88" s="48">
        <v>2024</v>
      </c>
      <c r="L88" s="49"/>
      <c r="M88" s="50" t="s">
        <v>131</v>
      </c>
      <c r="N88" s="50" t="s">
        <v>132</v>
      </c>
      <c r="O88" s="50" t="s">
        <v>133</v>
      </c>
      <c r="P88" s="51" t="s">
        <v>134</v>
      </c>
      <c r="Q88" s="50" t="s">
        <v>135</v>
      </c>
      <c r="R88" s="50" t="s">
        <v>136</v>
      </c>
      <c r="S88" s="50" t="s">
        <v>137</v>
      </c>
      <c r="T88" s="51" t="s">
        <v>138</v>
      </c>
      <c r="U88" s="50" t="s">
        <v>139</v>
      </c>
      <c r="V88" s="50" t="s">
        <v>140</v>
      </c>
      <c r="W88" s="50" t="s">
        <v>141</v>
      </c>
      <c r="X88" s="51" t="s">
        <v>142</v>
      </c>
      <c r="Y88" s="50" t="s">
        <v>143</v>
      </c>
      <c r="Z88" s="50" t="s">
        <v>144</v>
      </c>
      <c r="AA88" s="50" t="s">
        <v>145</v>
      </c>
      <c r="AB88" s="51" t="s">
        <v>146</v>
      </c>
      <c r="AC88" s="50" t="s">
        <v>147</v>
      </c>
      <c r="AD88" s="50" t="s">
        <v>148</v>
      </c>
      <c r="AE88" s="50" t="s">
        <v>149</v>
      </c>
      <c r="AF88" s="51" t="s">
        <v>150</v>
      </c>
      <c r="AG88" s="50" t="s">
        <v>151</v>
      </c>
      <c r="AH88" s="50" t="s">
        <v>152</v>
      </c>
      <c r="AI88" s="50" t="s">
        <v>153</v>
      </c>
      <c r="AJ88" s="51" t="s">
        <v>154</v>
      </c>
      <c r="AK88" s="50" t="s">
        <v>155</v>
      </c>
      <c r="AL88" s="50" t="s">
        <v>156</v>
      </c>
      <c r="AM88" s="50" t="s">
        <v>157</v>
      </c>
      <c r="AN88" s="51" t="s">
        <v>158</v>
      </c>
      <c r="AO88" s="50" t="s">
        <v>159</v>
      </c>
      <c r="AP88" s="50" t="s">
        <v>160</v>
      </c>
      <c r="AQ88" s="50" t="s">
        <v>161</v>
      </c>
    </row>
    <row r="89" spans="1:43" ht="12.75" x14ac:dyDescent="0.2">
      <c r="A89" s="38" t="s">
        <v>238</v>
      </c>
      <c r="B89" s="39">
        <v>7471</v>
      </c>
      <c r="C89" s="39">
        <v>8120</v>
      </c>
      <c r="D89" s="39">
        <v>7239</v>
      </c>
      <c r="E89" s="39">
        <v>7080</v>
      </c>
      <c r="F89" s="39">
        <v>9025</v>
      </c>
      <c r="G89" s="39">
        <v>10960</v>
      </c>
      <c r="H89" s="39">
        <v>9545</v>
      </c>
      <c r="I89" s="39">
        <v>11025</v>
      </c>
      <c r="J89" s="39">
        <v>14225</v>
      </c>
      <c r="K89" s="39">
        <v>22219</v>
      </c>
      <c r="L89" s="39"/>
      <c r="M89" s="39">
        <v>4805</v>
      </c>
      <c r="N89" s="39">
        <v>7286</v>
      </c>
      <c r="O89" s="39">
        <v>7095</v>
      </c>
      <c r="P89" s="40">
        <v>7080</v>
      </c>
      <c r="Q89" s="39">
        <v>9035</v>
      </c>
      <c r="R89" s="39">
        <v>9111</v>
      </c>
      <c r="S89" s="39">
        <v>9267</v>
      </c>
      <c r="T89" s="40">
        <v>9025</v>
      </c>
      <c r="U89" s="39">
        <v>9089</v>
      </c>
      <c r="V89" s="39">
        <v>11198</v>
      </c>
      <c r="W89" s="39">
        <v>10688</v>
      </c>
      <c r="X89" s="40">
        <v>10960</v>
      </c>
      <c r="Y89" s="39">
        <v>10610</v>
      </c>
      <c r="Z89" s="39">
        <v>10669</v>
      </c>
      <c r="AA89" s="39">
        <v>10581</v>
      </c>
      <c r="AB89" s="40">
        <v>9545</v>
      </c>
      <c r="AC89" s="39">
        <v>9434</v>
      </c>
      <c r="AD89" s="39">
        <v>9631</v>
      </c>
      <c r="AE89" s="39">
        <v>10792</v>
      </c>
      <c r="AF89" s="40">
        <v>11025</v>
      </c>
      <c r="AG89" s="39">
        <v>11936</v>
      </c>
      <c r="AH89" s="39">
        <v>14320</v>
      </c>
      <c r="AI89" s="39">
        <v>14038</v>
      </c>
      <c r="AJ89" s="40">
        <v>14225</v>
      </c>
      <c r="AK89" s="39">
        <v>20132</v>
      </c>
      <c r="AL89" s="39">
        <v>22648</v>
      </c>
      <c r="AM89" s="39">
        <v>22655</v>
      </c>
      <c r="AN89" s="40">
        <v>22219</v>
      </c>
      <c r="AO89" s="39">
        <v>21539</v>
      </c>
      <c r="AP89" s="39">
        <v>21517</v>
      </c>
      <c r="AQ89" s="39">
        <v>21730</v>
      </c>
    </row>
    <row r="90" spans="1:43" ht="12.75" x14ac:dyDescent="0.2">
      <c r="A90" s="38" t="s">
        <v>239</v>
      </c>
      <c r="B90" s="39">
        <v>-461</v>
      </c>
      <c r="C90" s="39">
        <v>-481</v>
      </c>
      <c r="D90" s="39">
        <v>-1808</v>
      </c>
      <c r="E90" s="39">
        <v>-5872</v>
      </c>
      <c r="F90" s="39">
        <v>-8540</v>
      </c>
      <c r="G90" s="39">
        <v>-15053</v>
      </c>
      <c r="H90" s="39">
        <v>-10792</v>
      </c>
      <c r="I90" s="39">
        <v>-7326</v>
      </c>
      <c r="J90" s="39">
        <v>-6401</v>
      </c>
      <c r="K90" s="39">
        <v>-7179</v>
      </c>
      <c r="L90" s="39"/>
      <c r="M90" s="39">
        <v>-2255</v>
      </c>
      <c r="N90" s="39">
        <v>-4259</v>
      </c>
      <c r="O90" s="39">
        <v>-3949</v>
      </c>
      <c r="P90" s="40">
        <v>-5872</v>
      </c>
      <c r="Q90" s="39">
        <v>-5371</v>
      </c>
      <c r="R90" s="39">
        <v>-4883</v>
      </c>
      <c r="S90" s="39">
        <v>-6814</v>
      </c>
      <c r="T90" s="40">
        <v>-8540</v>
      </c>
      <c r="U90" s="39">
        <v>-10225</v>
      </c>
      <c r="V90" s="39">
        <v>-13005</v>
      </c>
      <c r="W90" s="39">
        <v>-14250</v>
      </c>
      <c r="X90" s="40">
        <v>-15053</v>
      </c>
      <c r="Y90" s="39">
        <v>-16191</v>
      </c>
      <c r="Z90" s="39">
        <v>-10931</v>
      </c>
      <c r="AA90" s="39">
        <v>-11745</v>
      </c>
      <c r="AB90" s="40">
        <v>-10792</v>
      </c>
      <c r="AC90" s="39">
        <v>-11207</v>
      </c>
      <c r="AD90" s="39">
        <v>-10380</v>
      </c>
      <c r="AE90" s="39">
        <v>-11879</v>
      </c>
      <c r="AF90" s="40">
        <v>-7326</v>
      </c>
      <c r="AG90" s="39">
        <v>-4587</v>
      </c>
      <c r="AH90" s="39">
        <v>-4949</v>
      </c>
      <c r="AI90" s="39">
        <v>-6330</v>
      </c>
      <c r="AJ90" s="40">
        <v>-6401</v>
      </c>
      <c r="AK90" s="39">
        <v>-13879</v>
      </c>
      <c r="AL90" s="39">
        <v>-6598</v>
      </c>
      <c r="AM90" s="39">
        <v>-7129</v>
      </c>
      <c r="AN90" s="40">
        <v>-7179</v>
      </c>
      <c r="AO90" s="39">
        <v>-9107</v>
      </c>
      <c r="AP90" s="39">
        <v>-7659</v>
      </c>
      <c r="AQ90" s="39">
        <v>-10050</v>
      </c>
    </row>
    <row r="91" spans="1:43" ht="12.75" x14ac:dyDescent="0.2">
      <c r="A91" s="38" t="s">
        <v>240</v>
      </c>
      <c r="B91" s="59">
        <v>-4591</v>
      </c>
      <c r="C91" s="39">
        <v>-5653</v>
      </c>
      <c r="D91" s="39">
        <v>-7</v>
      </c>
      <c r="E91" s="39" t="s">
        <v>195</v>
      </c>
      <c r="F91" s="39">
        <v>0</v>
      </c>
      <c r="G91" s="39">
        <v>-44</v>
      </c>
      <c r="H91" s="39">
        <v>-58</v>
      </c>
      <c r="I91" s="39">
        <v>-8</v>
      </c>
      <c r="J91" s="39" t="s">
        <v>195</v>
      </c>
      <c r="K91" s="39">
        <v>-68</v>
      </c>
      <c r="L91" s="39"/>
      <c r="M91" s="39" t="s">
        <v>195</v>
      </c>
      <c r="N91" s="39" t="s">
        <v>195</v>
      </c>
      <c r="O91" s="39" t="s">
        <v>195</v>
      </c>
      <c r="P91" s="40" t="s">
        <v>195</v>
      </c>
      <c r="Q91" s="39">
        <v>-20</v>
      </c>
      <c r="R91" s="39">
        <v>-4.1180000000000003</v>
      </c>
      <c r="S91" s="39">
        <v>-28</v>
      </c>
      <c r="T91" s="40">
        <v>0</v>
      </c>
      <c r="U91" s="39">
        <v>-55</v>
      </c>
      <c r="V91" s="39">
        <v>-12</v>
      </c>
      <c r="W91" s="39">
        <v>-76</v>
      </c>
      <c r="X91" s="40">
        <v>-44</v>
      </c>
      <c r="Y91" s="39">
        <v>-166</v>
      </c>
      <c r="Z91" s="39">
        <v>-61</v>
      </c>
      <c r="AA91" s="39">
        <v>-27</v>
      </c>
      <c r="AB91" s="40">
        <v>-58</v>
      </c>
      <c r="AC91" s="39">
        <v>-71</v>
      </c>
      <c r="AD91" s="39">
        <v>-126</v>
      </c>
      <c r="AE91" s="39">
        <v>-458</v>
      </c>
      <c r="AF91" s="40">
        <v>-8</v>
      </c>
      <c r="AG91" s="39">
        <v>-67</v>
      </c>
      <c r="AH91" s="39">
        <v>-272</v>
      </c>
      <c r="AI91" s="39">
        <v>-65</v>
      </c>
      <c r="AJ91" s="40" t="s">
        <v>195</v>
      </c>
      <c r="AK91" s="39">
        <v>-141</v>
      </c>
      <c r="AL91" s="39">
        <v>-161</v>
      </c>
      <c r="AM91" s="39" t="s">
        <v>195</v>
      </c>
      <c r="AN91" s="40">
        <v>-68</v>
      </c>
      <c r="AO91" s="39">
        <v>-85</v>
      </c>
      <c r="AP91" s="39">
        <v>-2</v>
      </c>
      <c r="AQ91" s="39">
        <v>-4</v>
      </c>
    </row>
    <row r="92" spans="1:43" ht="12.75" x14ac:dyDescent="0.2">
      <c r="A92" s="38" t="s">
        <v>241</v>
      </c>
      <c r="B92" s="59"/>
      <c r="C92" s="39"/>
      <c r="D92" s="39"/>
      <c r="E92" s="39"/>
      <c r="F92" s="39">
        <v>-1.8277108099999999</v>
      </c>
      <c r="G92" s="39" t="s">
        <v>195</v>
      </c>
      <c r="H92" s="39" t="s">
        <v>195</v>
      </c>
      <c r="I92" s="39" t="s">
        <v>195</v>
      </c>
      <c r="J92" s="39" t="s">
        <v>195</v>
      </c>
      <c r="K92" s="39">
        <v>-194</v>
      </c>
      <c r="L92" s="39"/>
      <c r="M92" s="39"/>
      <c r="N92" s="39"/>
      <c r="O92" s="39"/>
      <c r="P92" s="40"/>
      <c r="Q92" s="39">
        <v>-3</v>
      </c>
      <c r="R92" s="39">
        <v>-6.8019999999999996</v>
      </c>
      <c r="S92" s="39">
        <v>-9</v>
      </c>
      <c r="T92" s="40">
        <v>-1.8277108099999999</v>
      </c>
      <c r="U92" s="39">
        <v>0</v>
      </c>
      <c r="V92" s="39">
        <v>0</v>
      </c>
      <c r="W92" s="39" t="s">
        <v>195</v>
      </c>
      <c r="X92" s="40" t="s">
        <v>195</v>
      </c>
      <c r="Y92" s="39">
        <v>0</v>
      </c>
      <c r="Z92" s="39" t="s">
        <v>195</v>
      </c>
      <c r="AA92" s="39" t="s">
        <v>195</v>
      </c>
      <c r="AB92" s="40" t="s">
        <v>195</v>
      </c>
      <c r="AC92" s="39" t="s">
        <v>195</v>
      </c>
      <c r="AD92" s="39" t="s">
        <v>195</v>
      </c>
      <c r="AE92" s="39" t="s">
        <v>195</v>
      </c>
      <c r="AF92" s="40" t="s">
        <v>195</v>
      </c>
      <c r="AG92" s="39" t="s">
        <v>195</v>
      </c>
      <c r="AH92" s="39" t="s">
        <v>195</v>
      </c>
      <c r="AI92" s="39" t="s">
        <v>195</v>
      </c>
      <c r="AJ92" s="40" t="s">
        <v>195</v>
      </c>
      <c r="AK92" s="39">
        <v>-36</v>
      </c>
      <c r="AL92" s="39">
        <v>-88</v>
      </c>
      <c r="AM92" s="39">
        <v>-373</v>
      </c>
      <c r="AN92" s="40">
        <v>-194</v>
      </c>
      <c r="AO92" s="39">
        <v>-30</v>
      </c>
      <c r="AP92" s="39">
        <v>-572</v>
      </c>
      <c r="AQ92" s="39">
        <v>-588</v>
      </c>
    </row>
    <row r="93" spans="1:43" ht="12.75" x14ac:dyDescent="0.2">
      <c r="A93" s="41" t="s">
        <v>242</v>
      </c>
      <c r="B93" s="53">
        <v>2419</v>
      </c>
      <c r="C93" s="53">
        <v>1986</v>
      </c>
      <c r="D93" s="53">
        <v>5424</v>
      </c>
      <c r="E93" s="53">
        <v>1208</v>
      </c>
      <c r="F93" s="53">
        <v>483.17228919000001</v>
      </c>
      <c r="G93" s="53">
        <v>-4137</v>
      </c>
      <c r="H93" s="53">
        <v>-1304</v>
      </c>
      <c r="I93" s="53">
        <v>3691</v>
      </c>
      <c r="J93" s="53">
        <v>7824</v>
      </c>
      <c r="K93" s="53">
        <v>14778</v>
      </c>
      <c r="L93" s="54"/>
      <c r="M93" s="53">
        <v>2550</v>
      </c>
      <c r="N93" s="53">
        <v>3027</v>
      </c>
      <c r="O93" s="53">
        <v>3146</v>
      </c>
      <c r="P93" s="55">
        <v>1208</v>
      </c>
      <c r="Q93" s="53">
        <v>3641</v>
      </c>
      <c r="R93" s="53">
        <v>4217.08</v>
      </c>
      <c r="S93" s="53">
        <v>2416</v>
      </c>
      <c r="T93" s="55">
        <v>483.17228919000001</v>
      </c>
      <c r="U93" s="53">
        <v>-1191</v>
      </c>
      <c r="V93" s="53">
        <v>-1819</v>
      </c>
      <c r="W93" s="53">
        <v>-3638</v>
      </c>
      <c r="X93" s="55">
        <v>-4137</v>
      </c>
      <c r="Y93" s="53">
        <v>-5747</v>
      </c>
      <c r="Z93" s="53">
        <v>-322</v>
      </c>
      <c r="AA93" s="53">
        <v>-1191</v>
      </c>
      <c r="AB93" s="55">
        <v>-1304</v>
      </c>
      <c r="AC93" s="53">
        <v>-1844</v>
      </c>
      <c r="AD93" s="53">
        <v>-876</v>
      </c>
      <c r="AE93" s="53">
        <v>-1545</v>
      </c>
      <c r="AF93" s="55">
        <v>3691</v>
      </c>
      <c r="AG93" s="53">
        <v>7281</v>
      </c>
      <c r="AH93" s="53">
        <v>9099</v>
      </c>
      <c r="AI93" s="53">
        <v>7643</v>
      </c>
      <c r="AJ93" s="55">
        <v>7824</v>
      </c>
      <c r="AK93" s="53">
        <v>6076</v>
      </c>
      <c r="AL93" s="53">
        <v>15801</v>
      </c>
      <c r="AM93" s="53">
        <v>15152</v>
      </c>
      <c r="AN93" s="55">
        <v>14778</v>
      </c>
      <c r="AO93" s="53">
        <v>12317</v>
      </c>
      <c r="AP93" s="53">
        <v>13284</v>
      </c>
      <c r="AQ93" s="53">
        <v>11088</v>
      </c>
    </row>
    <row r="94" spans="1:43" ht="12.75" x14ac:dyDescent="0.2">
      <c r="A94" s="38" t="s">
        <v>243</v>
      </c>
      <c r="B94" s="39">
        <v>14929</v>
      </c>
      <c r="C94" s="39">
        <v>15813</v>
      </c>
      <c r="D94" s="39">
        <v>12047</v>
      </c>
      <c r="E94" s="39">
        <v>18847</v>
      </c>
      <c r="F94" s="39">
        <v>22813</v>
      </c>
      <c r="G94" s="39">
        <v>23739</v>
      </c>
      <c r="H94" s="39">
        <v>25785</v>
      </c>
      <c r="I94" s="39">
        <v>33508</v>
      </c>
      <c r="J94" s="39">
        <v>37210</v>
      </c>
      <c r="K94" s="39">
        <v>43180</v>
      </c>
      <c r="L94" s="39"/>
      <c r="M94" s="39">
        <v>16090</v>
      </c>
      <c r="N94" s="39">
        <v>17537</v>
      </c>
      <c r="O94" s="39">
        <v>17406</v>
      </c>
      <c r="P94" s="40">
        <v>18847</v>
      </c>
      <c r="Q94" s="39">
        <v>20685</v>
      </c>
      <c r="R94" s="39">
        <v>19889</v>
      </c>
      <c r="S94" s="39">
        <v>21834</v>
      </c>
      <c r="T94" s="40">
        <v>22813</v>
      </c>
      <c r="U94" s="39">
        <v>24712</v>
      </c>
      <c r="V94" s="39">
        <v>23383</v>
      </c>
      <c r="W94" s="39">
        <v>24556</v>
      </c>
      <c r="X94" s="40">
        <v>23739</v>
      </c>
      <c r="Y94" s="39">
        <v>26206</v>
      </c>
      <c r="Z94" s="39">
        <v>21028</v>
      </c>
      <c r="AA94" s="39">
        <v>23301</v>
      </c>
      <c r="AB94" s="40">
        <v>25785</v>
      </c>
      <c r="AC94" s="39">
        <v>28817</v>
      </c>
      <c r="AD94" s="39">
        <v>28663</v>
      </c>
      <c r="AE94" s="39">
        <v>31766</v>
      </c>
      <c r="AF94" s="40">
        <v>33508</v>
      </c>
      <c r="AG94" s="39">
        <v>35464</v>
      </c>
      <c r="AH94" s="39">
        <v>35205</v>
      </c>
      <c r="AI94" s="39">
        <v>37143</v>
      </c>
      <c r="AJ94" s="40">
        <v>37210</v>
      </c>
      <c r="AK94" s="39">
        <v>40764</v>
      </c>
      <c r="AL94" s="39">
        <v>38104</v>
      </c>
      <c r="AM94" s="39">
        <v>39630</v>
      </c>
      <c r="AN94" s="40">
        <v>43180</v>
      </c>
      <c r="AO94" s="39">
        <v>42470</v>
      </c>
      <c r="AP94" s="39">
        <v>38596</v>
      </c>
      <c r="AQ94" s="39">
        <v>40394</v>
      </c>
    </row>
    <row r="95" spans="1:43" ht="12.75" x14ac:dyDescent="0.2">
      <c r="A95" s="75" t="s">
        <v>244</v>
      </c>
      <c r="B95" s="81">
        <v>16.2</v>
      </c>
      <c r="C95" s="81">
        <v>12.6</v>
      </c>
      <c r="D95" s="82">
        <v>45</v>
      </c>
      <c r="E95" s="81">
        <v>6.4095081445322863</v>
      </c>
      <c r="F95" s="81">
        <v>2.1179690930171398</v>
      </c>
      <c r="G95" s="81">
        <v>-17.425550735015374</v>
      </c>
      <c r="H95" s="81">
        <v>-5.0999999999999996</v>
      </c>
      <c r="I95" s="81">
        <v>11.015608678783501</v>
      </c>
      <c r="J95" s="81">
        <v>21.026605751142199</v>
      </c>
      <c r="K95" s="81">
        <v>34.224177860120399</v>
      </c>
      <c r="L95" s="81"/>
      <c r="M95" s="81">
        <v>15.848353014294592</v>
      </c>
      <c r="N95" s="81">
        <v>17.260648913725266</v>
      </c>
      <c r="O95" s="81">
        <v>18.074227277950133</v>
      </c>
      <c r="P95" s="83">
        <v>6.4095081445322863</v>
      </c>
      <c r="Q95" s="81">
        <v>17.602127145274356</v>
      </c>
      <c r="R95" s="81">
        <v>21.203077077781689</v>
      </c>
      <c r="S95" s="81">
        <v>11.065310982870752</v>
      </c>
      <c r="T95" s="83">
        <v>2.1179690930171398</v>
      </c>
      <c r="U95" s="81">
        <v>-4.82</v>
      </c>
      <c r="V95" s="81">
        <v>-7.7791557969464993</v>
      </c>
      <c r="W95" s="81">
        <v>-14.815116468480207</v>
      </c>
      <c r="X95" s="83">
        <v>-17.425550735015374</v>
      </c>
      <c r="Y95" s="81">
        <v>-21.930092345264445</v>
      </c>
      <c r="Z95" s="81">
        <v>-1.5</v>
      </c>
      <c r="AA95" s="81">
        <v>-5.1111492575744597</v>
      </c>
      <c r="AB95" s="83">
        <v>-5.0999999999999996</v>
      </c>
      <c r="AC95" s="81">
        <v>-6.3990005899295603</v>
      </c>
      <c r="AD95" s="81">
        <v>-3.0562048634127601</v>
      </c>
      <c r="AE95" s="81">
        <v>-4.8635376333931397</v>
      </c>
      <c r="AF95" s="83">
        <v>11.015608678783501</v>
      </c>
      <c r="AG95" s="81">
        <v>20.530100098688798</v>
      </c>
      <c r="AH95" s="81">
        <v>25.846</v>
      </c>
      <c r="AI95" s="81">
        <v>20.576674563859601</v>
      </c>
      <c r="AJ95" s="83">
        <v>21.026605751142199</v>
      </c>
      <c r="AK95" s="81">
        <v>14.905308605632399</v>
      </c>
      <c r="AL95" s="81">
        <v>-41.47071173630065</v>
      </c>
      <c r="AM95" s="81">
        <v>-38.233661367650768</v>
      </c>
      <c r="AN95" s="83">
        <v>-34.224177860120427</v>
      </c>
      <c r="AO95" s="81">
        <v>-29</v>
      </c>
      <c r="AP95" s="81">
        <v>-34.418074411856153</v>
      </c>
      <c r="AQ95" s="81">
        <v>-27.44962123087587</v>
      </c>
    </row>
    <row r="96" spans="1:43" ht="12.75" x14ac:dyDescent="0.2">
      <c r="A96" s="38" t="s">
        <v>245</v>
      </c>
      <c r="B96" s="39">
        <v>6566</v>
      </c>
      <c r="C96" s="39">
        <v>5765</v>
      </c>
      <c r="D96" s="39">
        <v>7183</v>
      </c>
      <c r="E96" s="39">
        <v>8753</v>
      </c>
      <c r="F96" s="39">
        <v>10114</v>
      </c>
      <c r="G96" s="39">
        <v>9128</v>
      </c>
      <c r="H96" s="39">
        <v>10740</v>
      </c>
      <c r="I96" s="39">
        <v>13276</v>
      </c>
      <c r="J96" s="39">
        <v>15846</v>
      </c>
      <c r="K96" s="39">
        <v>15827</v>
      </c>
      <c r="L96" s="39"/>
      <c r="M96" s="39">
        <v>7284</v>
      </c>
      <c r="N96" s="39">
        <v>7655</v>
      </c>
      <c r="O96" s="39">
        <v>8110</v>
      </c>
      <c r="P96" s="40">
        <v>8753</v>
      </c>
      <c r="Q96" s="39">
        <v>9322.9659393982001</v>
      </c>
      <c r="R96" s="39">
        <v>9901.7304271999001</v>
      </c>
      <c r="S96" s="39">
        <v>10125</v>
      </c>
      <c r="T96" s="40">
        <v>10114</v>
      </c>
      <c r="U96" s="39">
        <v>10084</v>
      </c>
      <c r="V96" s="39">
        <v>9212</v>
      </c>
      <c r="W96" s="39">
        <v>8977</v>
      </c>
      <c r="X96" s="40">
        <v>9128</v>
      </c>
      <c r="Y96" s="39">
        <v>9004</v>
      </c>
      <c r="Z96" s="39">
        <v>9738</v>
      </c>
      <c r="AA96" s="39">
        <v>10307</v>
      </c>
      <c r="AB96" s="40">
        <v>10740</v>
      </c>
      <c r="AC96" s="39">
        <v>11589</v>
      </c>
      <c r="AD96" s="39">
        <v>11863</v>
      </c>
      <c r="AE96" s="39">
        <v>12475</v>
      </c>
      <c r="AF96" s="40">
        <v>13276</v>
      </c>
      <c r="AG96" s="39">
        <v>13975</v>
      </c>
      <c r="AH96" s="39">
        <v>15163</v>
      </c>
      <c r="AI96" s="39">
        <v>15699</v>
      </c>
      <c r="AJ96" s="40">
        <v>15846</v>
      </c>
      <c r="AK96" s="39">
        <v>15482</v>
      </c>
      <c r="AL96" s="39">
        <v>15135</v>
      </c>
      <c r="AM96" s="39">
        <v>15618</v>
      </c>
      <c r="AN96" s="40">
        <v>15827</v>
      </c>
      <c r="AO96" s="39">
        <v>16260</v>
      </c>
      <c r="AP96" s="39">
        <v>16153</v>
      </c>
      <c r="AQ96" s="39">
        <v>15274</v>
      </c>
    </row>
    <row r="97" spans="1:43" ht="12.75" x14ac:dyDescent="0.2">
      <c r="A97" s="41" t="s">
        <v>82</v>
      </c>
      <c r="B97" s="42">
        <v>0.37</v>
      </c>
      <c r="C97" s="84">
        <v>0.34</v>
      </c>
      <c r="D97" s="84">
        <v>0.76</v>
      </c>
      <c r="E97" s="84">
        <v>0.13800982520278762</v>
      </c>
      <c r="F97" s="84">
        <v>0.05</v>
      </c>
      <c r="G97" s="84">
        <v>-0.45322085889570551</v>
      </c>
      <c r="H97" s="84">
        <v>-0.12</v>
      </c>
      <c r="I97" s="84">
        <v>0.27802048809882496</v>
      </c>
      <c r="J97" s="84">
        <v>0.49381469325927796</v>
      </c>
      <c r="K97" s="84">
        <v>0.93377985593327439</v>
      </c>
      <c r="L97" s="85"/>
      <c r="M97" s="84">
        <v>0.35013044075243716</v>
      </c>
      <c r="N97" s="84">
        <v>0.39542782495101242</v>
      </c>
      <c r="O97" s="84">
        <v>0.38791615289765724</v>
      </c>
      <c r="P97" s="86">
        <v>0.13800982520278762</v>
      </c>
      <c r="Q97" s="84">
        <v>0.39054095270405198</v>
      </c>
      <c r="R97" s="84">
        <v>0.42589323462248035</v>
      </c>
      <c r="S97" s="84">
        <v>0.24</v>
      </c>
      <c r="T97" s="86">
        <v>0.05</v>
      </c>
      <c r="U97" s="84">
        <v>-0.12</v>
      </c>
      <c r="V97" s="84">
        <v>-0.19745983499782893</v>
      </c>
      <c r="W97" s="84">
        <v>-0.40525788125208867</v>
      </c>
      <c r="X97" s="86">
        <v>-0.45322085889570551</v>
      </c>
      <c r="Y97" s="84">
        <v>-0.64</v>
      </c>
      <c r="Z97" s="84">
        <v>-0.03</v>
      </c>
      <c r="AA97" s="84">
        <v>-0.115552537110701</v>
      </c>
      <c r="AB97" s="86">
        <v>-0.12</v>
      </c>
      <c r="AC97" s="84">
        <v>-0.15911640348606437</v>
      </c>
      <c r="AD97" s="84">
        <v>-7.3843041389193287E-2</v>
      </c>
      <c r="AE97" s="84">
        <v>-0.12384769539078157</v>
      </c>
      <c r="AF97" s="86">
        <v>0.27802048809882496</v>
      </c>
      <c r="AG97" s="84">
        <v>0.5210017889087657</v>
      </c>
      <c r="AH97" s="84">
        <v>0.6</v>
      </c>
      <c r="AI97" s="84">
        <v>0.48684629594241674</v>
      </c>
      <c r="AJ97" s="86">
        <v>0.49381469325927796</v>
      </c>
      <c r="AK97" s="84">
        <v>0.39245575507040437</v>
      </c>
      <c r="AL97" s="84">
        <v>1.0440700363396103</v>
      </c>
      <c r="AM97" s="84">
        <v>0.97016263285952109</v>
      </c>
      <c r="AN97" s="86">
        <v>0.93377985593327439</v>
      </c>
      <c r="AO97" s="84" t="s">
        <v>246</v>
      </c>
      <c r="AP97" s="84">
        <v>0.82248777165500586</v>
      </c>
      <c r="AQ97" s="84">
        <v>0.7259395050412466</v>
      </c>
    </row>
    <row r="98" spans="1:43" ht="12.75" x14ac:dyDescent="0.2">
      <c r="A98" s="46" t="s">
        <v>169</v>
      </c>
      <c r="B98" s="32"/>
      <c r="C98" s="32"/>
      <c r="D98" s="33"/>
      <c r="E98" s="32"/>
      <c r="F98" s="32"/>
      <c r="G98" s="32"/>
      <c r="H98" s="32"/>
      <c r="I98" s="32"/>
      <c r="J98" s="32"/>
      <c r="K98" s="32"/>
      <c r="L98" s="32"/>
      <c r="M98" s="32"/>
      <c r="N98" s="32"/>
      <c r="O98" s="32"/>
      <c r="P98" s="34"/>
      <c r="Q98" s="32"/>
      <c r="R98" s="32"/>
      <c r="S98" s="32"/>
      <c r="T98" s="34"/>
      <c r="U98" s="32"/>
      <c r="V98" s="32"/>
      <c r="W98" s="32"/>
      <c r="X98" s="34"/>
      <c r="Y98" s="32"/>
      <c r="Z98" s="32"/>
      <c r="AA98" s="32"/>
      <c r="AB98" s="34"/>
      <c r="AC98" s="32"/>
      <c r="AD98" s="32"/>
      <c r="AE98" s="32"/>
      <c r="AF98" s="34"/>
      <c r="AG98" s="32"/>
      <c r="AH98" s="32"/>
      <c r="AI98" s="32"/>
      <c r="AJ98" s="34"/>
      <c r="AK98" s="32"/>
      <c r="AL98" s="32"/>
      <c r="AM98" s="32"/>
      <c r="AN98" s="34"/>
      <c r="AO98" s="32"/>
      <c r="AP98" s="32"/>
      <c r="AQ98" s="32"/>
    </row>
    <row r="99" spans="1:43" ht="12.75" x14ac:dyDescent="0.2">
      <c r="A99" s="32"/>
      <c r="B99" s="32"/>
      <c r="C99" s="32"/>
      <c r="D99" s="33"/>
      <c r="E99" s="32"/>
      <c r="F99" s="32"/>
      <c r="G99" s="32"/>
      <c r="H99" s="32"/>
      <c r="I99" s="32"/>
      <c r="J99" s="32"/>
      <c r="K99" s="32"/>
      <c r="L99" s="32"/>
      <c r="M99" s="32"/>
      <c r="N99" s="32"/>
      <c r="O99" s="32"/>
      <c r="P99" s="34"/>
      <c r="Q99" s="32"/>
      <c r="R99" s="32"/>
      <c r="S99" s="32"/>
      <c r="T99" s="34"/>
      <c r="U99" s="32"/>
      <c r="V99" s="32"/>
      <c r="W99" s="32"/>
      <c r="X99" s="34"/>
      <c r="Y99" s="32"/>
      <c r="Z99" s="32"/>
      <c r="AA99" s="32"/>
      <c r="AB99" s="34"/>
      <c r="AC99" s="32"/>
      <c r="AD99" s="32"/>
      <c r="AE99" s="32"/>
      <c r="AF99" s="34"/>
      <c r="AG99" s="32"/>
      <c r="AH99" s="32"/>
      <c r="AI99" s="32"/>
      <c r="AJ99" s="34"/>
      <c r="AK99" s="32"/>
      <c r="AL99" s="32"/>
      <c r="AM99" s="32"/>
      <c r="AN99" s="34"/>
      <c r="AO99" s="32"/>
      <c r="AP99" s="32"/>
      <c r="AQ99" s="32"/>
    </row>
    <row r="100" spans="1:43" ht="12.75" x14ac:dyDescent="0.2">
      <c r="A100" s="47" t="s">
        <v>247</v>
      </c>
      <c r="B100" s="48">
        <v>2015</v>
      </c>
      <c r="C100" s="48">
        <v>2016</v>
      </c>
      <c r="D100" s="48" t="s">
        <v>130</v>
      </c>
      <c r="E100" s="48">
        <v>2018</v>
      </c>
      <c r="F100" s="48">
        <v>2019</v>
      </c>
      <c r="G100" s="48">
        <v>2020</v>
      </c>
      <c r="H100" s="48">
        <v>2021</v>
      </c>
      <c r="I100" s="48">
        <v>2022</v>
      </c>
      <c r="J100" s="48">
        <v>2023</v>
      </c>
      <c r="K100" s="48">
        <v>2024</v>
      </c>
      <c r="L100" s="49"/>
      <c r="M100" s="50" t="s">
        <v>131</v>
      </c>
      <c r="N100" s="50" t="s">
        <v>132</v>
      </c>
      <c r="O100" s="50" t="s">
        <v>133</v>
      </c>
      <c r="P100" s="51" t="s">
        <v>134</v>
      </c>
      <c r="Q100" s="50" t="s">
        <v>135</v>
      </c>
      <c r="R100" s="50" t="s">
        <v>136</v>
      </c>
      <c r="S100" s="50" t="s">
        <v>137</v>
      </c>
      <c r="T100" s="51" t="s">
        <v>138</v>
      </c>
      <c r="U100" s="50" t="s">
        <v>139</v>
      </c>
      <c r="V100" s="50" t="s">
        <v>140</v>
      </c>
      <c r="W100" s="50" t="s">
        <v>141</v>
      </c>
      <c r="X100" s="51" t="s">
        <v>142</v>
      </c>
      <c r="Y100" s="50" t="s">
        <v>143</v>
      </c>
      <c r="Z100" s="50" t="s">
        <v>144</v>
      </c>
      <c r="AA100" s="50" t="s">
        <v>145</v>
      </c>
      <c r="AB100" s="51" t="s">
        <v>146</v>
      </c>
      <c r="AC100" s="50" t="s">
        <v>147</v>
      </c>
      <c r="AD100" s="50" t="s">
        <v>148</v>
      </c>
      <c r="AE100" s="50" t="s">
        <v>149</v>
      </c>
      <c r="AF100" s="51" t="s">
        <v>150</v>
      </c>
      <c r="AG100" s="50" t="s">
        <v>151</v>
      </c>
      <c r="AH100" s="50" t="s">
        <v>152</v>
      </c>
      <c r="AI100" s="50" t="s">
        <v>153</v>
      </c>
      <c r="AJ100" s="51" t="s">
        <v>154</v>
      </c>
      <c r="AK100" s="50" t="s">
        <v>155</v>
      </c>
      <c r="AL100" s="50" t="s">
        <v>156</v>
      </c>
      <c r="AM100" s="50" t="s">
        <v>157</v>
      </c>
      <c r="AN100" s="51" t="s">
        <v>158</v>
      </c>
      <c r="AO100" s="50" t="s">
        <v>159</v>
      </c>
      <c r="AP100" s="50" t="s">
        <v>160</v>
      </c>
      <c r="AQ100" s="50" t="s">
        <v>161</v>
      </c>
    </row>
    <row r="101" spans="1:43" ht="12.75" x14ac:dyDescent="0.2">
      <c r="A101" s="38" t="s">
        <v>243</v>
      </c>
      <c r="B101" s="39">
        <v>14929</v>
      </c>
      <c r="C101" s="39">
        <v>15813</v>
      </c>
      <c r="D101" s="39">
        <v>12047</v>
      </c>
      <c r="E101" s="39">
        <v>18847</v>
      </c>
      <c r="F101" s="39">
        <v>22813</v>
      </c>
      <c r="G101" s="39">
        <v>23739</v>
      </c>
      <c r="H101" s="39">
        <v>25785</v>
      </c>
      <c r="I101" s="39">
        <v>33508</v>
      </c>
      <c r="J101" s="39">
        <v>37210</v>
      </c>
      <c r="K101" s="39">
        <v>43180</v>
      </c>
      <c r="L101" s="39"/>
      <c r="M101" s="39">
        <v>16090</v>
      </c>
      <c r="N101" s="39">
        <v>17537</v>
      </c>
      <c r="O101" s="39">
        <v>17406</v>
      </c>
      <c r="P101" s="40">
        <v>18847</v>
      </c>
      <c r="Q101" s="39">
        <v>20685</v>
      </c>
      <c r="R101" s="39">
        <v>19889</v>
      </c>
      <c r="S101" s="39">
        <v>21834</v>
      </c>
      <c r="T101" s="40">
        <v>22813</v>
      </c>
      <c r="U101" s="39">
        <v>24712</v>
      </c>
      <c r="V101" s="39">
        <v>23383</v>
      </c>
      <c r="W101" s="39">
        <v>24556</v>
      </c>
      <c r="X101" s="40">
        <v>23739</v>
      </c>
      <c r="Y101" s="39">
        <v>26206</v>
      </c>
      <c r="Z101" s="39">
        <v>21028</v>
      </c>
      <c r="AA101" s="39">
        <v>23301</v>
      </c>
      <c r="AB101" s="40">
        <v>25785</v>
      </c>
      <c r="AC101" s="39">
        <v>28817</v>
      </c>
      <c r="AD101" s="39">
        <v>28663</v>
      </c>
      <c r="AE101" s="39">
        <v>31766</v>
      </c>
      <c r="AF101" s="40">
        <v>33508</v>
      </c>
      <c r="AG101" s="39">
        <v>35464</v>
      </c>
      <c r="AH101" s="39">
        <v>35205</v>
      </c>
      <c r="AI101" s="39">
        <v>37143</v>
      </c>
      <c r="AJ101" s="40">
        <v>37210</v>
      </c>
      <c r="AK101" s="39">
        <v>40764</v>
      </c>
      <c r="AL101" s="39">
        <v>38104</v>
      </c>
      <c r="AM101" s="39">
        <v>39630</v>
      </c>
      <c r="AN101" s="40">
        <v>43180</v>
      </c>
      <c r="AO101" s="39">
        <v>42470</v>
      </c>
      <c r="AP101" s="39">
        <v>38596</v>
      </c>
      <c r="AQ101" s="39">
        <v>40394</v>
      </c>
    </row>
    <row r="102" spans="1:43" ht="12.75" x14ac:dyDescent="0.2">
      <c r="A102" s="38" t="s">
        <v>207</v>
      </c>
      <c r="B102" s="39">
        <v>28418</v>
      </c>
      <c r="C102" s="39">
        <v>29984</v>
      </c>
      <c r="D102" s="39">
        <v>27547</v>
      </c>
      <c r="E102" s="39">
        <v>36155</v>
      </c>
      <c r="F102" s="39">
        <v>41037</v>
      </c>
      <c r="G102" s="39">
        <v>43886</v>
      </c>
      <c r="H102" s="39">
        <v>48583</v>
      </c>
      <c r="I102" s="39">
        <v>61780</v>
      </c>
      <c r="J102" s="39">
        <v>67784</v>
      </c>
      <c r="K102" s="39">
        <v>83589</v>
      </c>
      <c r="L102" s="39"/>
      <c r="M102" s="39">
        <v>30465</v>
      </c>
      <c r="N102" s="39">
        <v>35024</v>
      </c>
      <c r="O102" s="39">
        <v>34487</v>
      </c>
      <c r="P102" s="40">
        <v>36155</v>
      </c>
      <c r="Q102" s="39">
        <v>39662</v>
      </c>
      <c r="R102" s="39">
        <v>40148</v>
      </c>
      <c r="S102" s="39">
        <v>41525</v>
      </c>
      <c r="T102" s="40">
        <v>41037</v>
      </c>
      <c r="U102" s="39">
        <v>43689</v>
      </c>
      <c r="V102" s="39">
        <v>44324</v>
      </c>
      <c r="W102" s="39">
        <v>44634</v>
      </c>
      <c r="X102" s="40">
        <v>43886</v>
      </c>
      <c r="Y102" s="39">
        <v>46851</v>
      </c>
      <c r="Z102" s="39">
        <v>44517</v>
      </c>
      <c r="AA102" s="39">
        <v>47259</v>
      </c>
      <c r="AB102" s="40">
        <v>48583</v>
      </c>
      <c r="AC102" s="39">
        <v>52409</v>
      </c>
      <c r="AD102" s="39">
        <v>55543</v>
      </c>
      <c r="AE102" s="39">
        <v>61685</v>
      </c>
      <c r="AF102" s="40">
        <v>61780</v>
      </c>
      <c r="AG102" s="39">
        <v>65302</v>
      </c>
      <c r="AH102" s="39">
        <v>70294</v>
      </c>
      <c r="AI102" s="39">
        <v>70640</v>
      </c>
      <c r="AJ102" s="40">
        <v>67784</v>
      </c>
      <c r="AK102" s="39">
        <v>77934</v>
      </c>
      <c r="AL102" s="39">
        <v>81016</v>
      </c>
      <c r="AM102" s="39">
        <v>81565</v>
      </c>
      <c r="AN102" s="40">
        <v>83589</v>
      </c>
      <c r="AO102" s="39">
        <v>80850</v>
      </c>
      <c r="AP102" s="39">
        <v>79352</v>
      </c>
      <c r="AQ102" s="39">
        <v>81375</v>
      </c>
    </row>
    <row r="103" spans="1:43" ht="12.75" x14ac:dyDescent="0.2">
      <c r="A103" s="41" t="s">
        <v>248</v>
      </c>
      <c r="B103" s="42">
        <v>52.5</v>
      </c>
      <c r="C103" s="56">
        <v>52.7</v>
      </c>
      <c r="D103" s="56">
        <v>43.7</v>
      </c>
      <c r="E103" s="56">
        <v>52.128336329691606</v>
      </c>
      <c r="F103" s="56">
        <v>55.591295660014126</v>
      </c>
      <c r="G103" s="56">
        <v>54.096978535295989</v>
      </c>
      <c r="H103" s="56">
        <v>53.07</v>
      </c>
      <c r="I103" s="56">
        <v>54.235998705082558</v>
      </c>
      <c r="J103" s="56">
        <v>54.894150623294237</v>
      </c>
      <c r="K103" s="56">
        <v>51.658750762678409</v>
      </c>
      <c r="L103" s="57"/>
      <c r="M103" s="56">
        <v>52.814705399638925</v>
      </c>
      <c r="N103" s="56">
        <v>50.071379625399729</v>
      </c>
      <c r="O103" s="56">
        <v>50.471192043378664</v>
      </c>
      <c r="P103" s="58">
        <v>52.128336329691606</v>
      </c>
      <c r="Q103" s="56">
        <v>52.153194493469826</v>
      </c>
      <c r="R103" s="56">
        <v>49.539204941715653</v>
      </c>
      <c r="S103" s="56">
        <v>52.580373269114986</v>
      </c>
      <c r="T103" s="58">
        <v>55.591295660014126</v>
      </c>
      <c r="U103" s="56">
        <v>56.64</v>
      </c>
      <c r="V103" s="56">
        <v>52.75352509870276</v>
      </c>
      <c r="W103" s="56">
        <v>55.016355244880586</v>
      </c>
      <c r="X103" s="58">
        <v>54.096978535295989</v>
      </c>
      <c r="Y103" s="56">
        <v>55.933578075642451</v>
      </c>
      <c r="Z103" s="56">
        <v>47.2</v>
      </c>
      <c r="AA103" s="56">
        <v>49.30492372146167</v>
      </c>
      <c r="AB103" s="58">
        <v>53.07</v>
      </c>
      <c r="AC103" s="56">
        <v>54.983781721045602</v>
      </c>
      <c r="AD103" s="56">
        <v>51.604133659801242</v>
      </c>
      <c r="AE103" s="56">
        <v>51.499578496854937</v>
      </c>
      <c r="AF103" s="58">
        <v>54.235998705082558</v>
      </c>
      <c r="AG103" s="56">
        <v>54.308377869316885</v>
      </c>
      <c r="AH103" s="56">
        <v>50</v>
      </c>
      <c r="AI103" s="56">
        <v>52.58136209849804</v>
      </c>
      <c r="AJ103" s="58">
        <v>54.894150623294237</v>
      </c>
      <c r="AK103" s="56">
        <v>52.306468376682538</v>
      </c>
      <c r="AL103" s="56">
        <v>47.0326849017478</v>
      </c>
      <c r="AM103" s="56">
        <v>48.586420812593481</v>
      </c>
      <c r="AN103" s="58">
        <v>51.658750762678409</v>
      </c>
      <c r="AO103" s="56">
        <v>52.5</v>
      </c>
      <c r="AP103" s="56">
        <v>48.639588663028817</v>
      </c>
      <c r="AQ103" s="56">
        <v>49.639324116743474</v>
      </c>
    </row>
    <row r="104" spans="1:43" ht="12.75" x14ac:dyDescent="0.2">
      <c r="A104" s="46" t="s">
        <v>165</v>
      </c>
      <c r="B104" s="61"/>
      <c r="C104" s="61"/>
      <c r="D104" s="61"/>
      <c r="E104" s="61"/>
      <c r="F104" s="61"/>
      <c r="G104" s="61"/>
      <c r="H104" s="61"/>
      <c r="I104" s="61"/>
      <c r="J104" s="61"/>
      <c r="K104" s="61"/>
      <c r="L104" s="61"/>
      <c r="M104" s="61"/>
      <c r="N104" s="61"/>
      <c r="O104" s="61"/>
      <c r="P104" s="34"/>
      <c r="Q104" s="61"/>
      <c r="R104" s="61"/>
      <c r="S104" s="61"/>
      <c r="T104" s="87"/>
      <c r="U104" s="61"/>
      <c r="V104" s="61"/>
      <c r="W104" s="61"/>
      <c r="X104" s="87"/>
      <c r="Y104" s="61"/>
      <c r="Z104" s="61"/>
      <c r="AA104" s="61"/>
      <c r="AB104" s="87"/>
      <c r="AC104" s="61"/>
      <c r="AD104" s="61"/>
      <c r="AE104" s="61"/>
      <c r="AF104" s="87"/>
      <c r="AG104" s="61"/>
      <c r="AH104" s="61"/>
      <c r="AI104" s="61"/>
      <c r="AJ104" s="87"/>
      <c r="AK104" s="61"/>
      <c r="AL104" s="61"/>
      <c r="AM104" s="61"/>
      <c r="AN104" s="87"/>
      <c r="AO104" s="61"/>
      <c r="AP104" s="61"/>
      <c r="AQ104" s="61"/>
    </row>
    <row r="105" spans="1:43" ht="12.75" x14ac:dyDescent="0.2">
      <c r="A105" s="32"/>
      <c r="B105" s="32"/>
      <c r="C105" s="32"/>
      <c r="D105" s="33"/>
      <c r="E105" s="32"/>
      <c r="F105" s="32"/>
      <c r="G105" s="32"/>
      <c r="H105" s="32"/>
      <c r="I105" s="32"/>
      <c r="J105" s="32"/>
      <c r="K105" s="32"/>
      <c r="L105" s="32"/>
      <c r="M105" s="32"/>
      <c r="N105" s="32"/>
      <c r="O105" s="32"/>
      <c r="P105" s="34"/>
      <c r="Q105" s="32"/>
      <c r="R105" s="32"/>
      <c r="S105" s="32"/>
      <c r="T105" s="34"/>
      <c r="U105" s="32"/>
      <c r="V105" s="32"/>
      <c r="W105" s="32"/>
      <c r="X105" s="34"/>
      <c r="Y105" s="32"/>
      <c r="Z105" s="32"/>
      <c r="AA105" s="32"/>
      <c r="AB105" s="34"/>
      <c r="AC105" s="32"/>
      <c r="AD105" s="32"/>
      <c r="AE105" s="32"/>
      <c r="AF105" s="34"/>
      <c r="AG105" s="32"/>
      <c r="AH105" s="32"/>
      <c r="AI105" s="32"/>
      <c r="AJ105" s="34"/>
      <c r="AK105" s="32"/>
      <c r="AL105" s="32"/>
      <c r="AM105" s="32"/>
      <c r="AN105" s="34"/>
      <c r="AO105" s="32"/>
      <c r="AP105" s="32"/>
      <c r="AQ105" s="32"/>
    </row>
    <row r="106" spans="1:43" ht="12.75" x14ac:dyDescent="0.2">
      <c r="A106" s="47" t="s">
        <v>121</v>
      </c>
      <c r="B106" s="48" t="s">
        <v>211</v>
      </c>
      <c r="C106" s="48" t="s">
        <v>212</v>
      </c>
      <c r="D106" s="48" t="s">
        <v>213</v>
      </c>
      <c r="E106" s="48">
        <v>2018</v>
      </c>
      <c r="F106" s="48" t="s">
        <v>215</v>
      </c>
      <c r="G106" s="48" t="s">
        <v>216</v>
      </c>
      <c r="H106" s="48" t="s">
        <v>217</v>
      </c>
      <c r="I106" s="48" t="s">
        <v>218</v>
      </c>
      <c r="J106" s="48" t="s">
        <v>219</v>
      </c>
      <c r="K106" s="48" t="s">
        <v>220</v>
      </c>
      <c r="L106" s="49"/>
      <c r="M106" s="50" t="s">
        <v>131</v>
      </c>
      <c r="N106" s="50" t="s">
        <v>132</v>
      </c>
      <c r="O106" s="50" t="s">
        <v>133</v>
      </c>
      <c r="P106" s="51" t="s">
        <v>134</v>
      </c>
      <c r="Q106" s="50" t="s">
        <v>135</v>
      </c>
      <c r="R106" s="50" t="s">
        <v>136</v>
      </c>
      <c r="S106" s="50" t="s">
        <v>137</v>
      </c>
      <c r="T106" s="51" t="s">
        <v>138</v>
      </c>
      <c r="U106" s="50" t="s">
        <v>139</v>
      </c>
      <c r="V106" s="50" t="s">
        <v>140</v>
      </c>
      <c r="W106" s="50" t="s">
        <v>141</v>
      </c>
      <c r="X106" s="51" t="s">
        <v>142</v>
      </c>
      <c r="Y106" s="50" t="s">
        <v>143</v>
      </c>
      <c r="Z106" s="50" t="s">
        <v>144</v>
      </c>
      <c r="AA106" s="50" t="s">
        <v>145</v>
      </c>
      <c r="AB106" s="51" t="s">
        <v>146</v>
      </c>
      <c r="AC106" s="50" t="s">
        <v>147</v>
      </c>
      <c r="AD106" s="50" t="s">
        <v>148</v>
      </c>
      <c r="AE106" s="50" t="s">
        <v>149</v>
      </c>
      <c r="AF106" s="51" t="s">
        <v>150</v>
      </c>
      <c r="AG106" s="50" t="s">
        <v>151</v>
      </c>
      <c r="AH106" s="50" t="s">
        <v>152</v>
      </c>
      <c r="AI106" s="50" t="s">
        <v>153</v>
      </c>
      <c r="AJ106" s="51" t="s">
        <v>154</v>
      </c>
      <c r="AK106" s="50" t="s">
        <v>155</v>
      </c>
      <c r="AL106" s="50" t="s">
        <v>156</v>
      </c>
      <c r="AM106" s="50" t="s">
        <v>157</v>
      </c>
      <c r="AN106" s="51" t="s">
        <v>158</v>
      </c>
      <c r="AO106" s="50" t="s">
        <v>159</v>
      </c>
      <c r="AP106" s="50" t="s">
        <v>160</v>
      </c>
      <c r="AQ106" s="50" t="s">
        <v>161</v>
      </c>
    </row>
    <row r="107" spans="1:43" ht="12.75" x14ac:dyDescent="0.2">
      <c r="A107" s="38" t="s">
        <v>249</v>
      </c>
      <c r="B107" s="39">
        <v>3571</v>
      </c>
      <c r="C107" s="39">
        <v>3231</v>
      </c>
      <c r="D107" s="39">
        <v>4298</v>
      </c>
      <c r="E107" s="39">
        <v>5430</v>
      </c>
      <c r="F107" s="39">
        <v>5874</v>
      </c>
      <c r="G107" s="39">
        <v>5399</v>
      </c>
      <c r="H107" s="39">
        <v>7058</v>
      </c>
      <c r="I107" s="39">
        <v>8397</v>
      </c>
      <c r="J107" s="39">
        <v>9431</v>
      </c>
      <c r="K107" s="39">
        <v>8731</v>
      </c>
      <c r="L107" s="39"/>
      <c r="M107" s="39">
        <v>4328</v>
      </c>
      <c r="N107" s="39">
        <v>4569</v>
      </c>
      <c r="O107" s="39">
        <v>4912.0172940299999</v>
      </c>
      <c r="P107" s="40">
        <v>5430</v>
      </c>
      <c r="Q107" s="39">
        <v>5723</v>
      </c>
      <c r="R107" s="39">
        <v>6082</v>
      </c>
      <c r="S107" s="39">
        <v>6010.9827059700001</v>
      </c>
      <c r="T107" s="40">
        <v>5874</v>
      </c>
      <c r="U107" s="39">
        <v>5922</v>
      </c>
      <c r="V107" s="39">
        <v>5270</v>
      </c>
      <c r="W107" s="39">
        <v>5251</v>
      </c>
      <c r="X107" s="40">
        <v>5399</v>
      </c>
      <c r="Y107" s="39">
        <v>5366</v>
      </c>
      <c r="Z107" s="39">
        <v>6031</v>
      </c>
      <c r="AA107" s="39">
        <v>6637</v>
      </c>
      <c r="AB107" s="40">
        <v>7058</v>
      </c>
      <c r="AC107" s="39">
        <v>7669</v>
      </c>
      <c r="AD107" s="39">
        <v>7747</v>
      </c>
      <c r="AE107" s="39">
        <v>8060</v>
      </c>
      <c r="AF107" s="40">
        <v>8397</v>
      </c>
      <c r="AG107" s="39">
        <v>8690</v>
      </c>
      <c r="AH107" s="39">
        <v>9565</v>
      </c>
      <c r="AI107" s="39">
        <v>9561</v>
      </c>
      <c r="AJ107" s="40">
        <v>9431</v>
      </c>
      <c r="AK107" s="39">
        <v>9149</v>
      </c>
      <c r="AL107" s="39">
        <v>8546</v>
      </c>
      <c r="AM107" s="39">
        <v>8629</v>
      </c>
      <c r="AN107" s="40">
        <v>8731</v>
      </c>
      <c r="AO107" s="39">
        <v>8923</v>
      </c>
      <c r="AP107" s="39">
        <v>8979</v>
      </c>
      <c r="AQ107" s="39">
        <v>8616</v>
      </c>
    </row>
    <row r="108" spans="1:43" ht="12.75" x14ac:dyDescent="0.2">
      <c r="A108" s="38" t="s">
        <v>250</v>
      </c>
      <c r="B108" s="39">
        <v>14306</v>
      </c>
      <c r="C108" s="39">
        <v>15324</v>
      </c>
      <c r="D108" s="39">
        <v>14772</v>
      </c>
      <c r="E108" s="39">
        <v>16346.2</v>
      </c>
      <c r="F108" s="39">
        <v>20762.2</v>
      </c>
      <c r="G108" s="39">
        <v>23790</v>
      </c>
      <c r="H108" s="39">
        <v>23960</v>
      </c>
      <c r="I108" s="39">
        <v>29572</v>
      </c>
      <c r="J108" s="39">
        <v>35233</v>
      </c>
      <c r="K108" s="39">
        <v>39374</v>
      </c>
      <c r="L108" s="39"/>
      <c r="M108" s="39">
        <v>14818</v>
      </c>
      <c r="N108" s="39">
        <v>14848</v>
      </c>
      <c r="O108" s="39">
        <v>15089.8</v>
      </c>
      <c r="P108" s="40">
        <v>16346.2</v>
      </c>
      <c r="Q108" s="39">
        <v>18064.2</v>
      </c>
      <c r="R108" s="39">
        <v>18823.2</v>
      </c>
      <c r="S108" s="39">
        <v>19681.8</v>
      </c>
      <c r="T108" s="40">
        <v>20762.2</v>
      </c>
      <c r="U108" s="39">
        <v>21934</v>
      </c>
      <c r="V108" s="39">
        <v>22474</v>
      </c>
      <c r="W108" s="39">
        <v>23408</v>
      </c>
      <c r="X108" s="40">
        <v>23790</v>
      </c>
      <c r="Y108" s="39">
        <v>24469</v>
      </c>
      <c r="Z108" s="39">
        <v>23733</v>
      </c>
      <c r="AA108" s="39">
        <v>23716</v>
      </c>
      <c r="AB108" s="40">
        <v>23960</v>
      </c>
      <c r="AC108" s="39">
        <v>24972</v>
      </c>
      <c r="AD108" s="39">
        <v>25460</v>
      </c>
      <c r="AE108" s="39">
        <v>27617</v>
      </c>
      <c r="AF108" s="40">
        <v>29572</v>
      </c>
      <c r="AG108" s="39">
        <v>31423</v>
      </c>
      <c r="AH108" s="39">
        <v>32612</v>
      </c>
      <c r="AI108" s="39">
        <v>34221</v>
      </c>
      <c r="AJ108" s="40">
        <v>35233</v>
      </c>
      <c r="AK108" s="39">
        <v>36703</v>
      </c>
      <c r="AL108" s="39">
        <v>37246</v>
      </c>
      <c r="AM108" s="39">
        <v>38151</v>
      </c>
      <c r="AN108" s="40">
        <v>39374</v>
      </c>
      <c r="AO108" s="39">
        <v>40430</v>
      </c>
      <c r="AP108" s="39">
        <v>40073</v>
      </c>
      <c r="AQ108" s="39">
        <v>40609</v>
      </c>
    </row>
    <row r="109" spans="1:43" ht="12.75" x14ac:dyDescent="0.2">
      <c r="A109" s="41" t="s">
        <v>251</v>
      </c>
      <c r="B109" s="42">
        <v>23.9</v>
      </c>
      <c r="C109" s="56">
        <v>20.399999999999999</v>
      </c>
      <c r="D109" s="56">
        <v>29.1</v>
      </c>
      <c r="E109" s="56">
        <v>33.218729735351332</v>
      </c>
      <c r="F109" s="56">
        <v>28.291799520282051</v>
      </c>
      <c r="G109" s="56">
        <v>22.694409415720891</v>
      </c>
      <c r="H109" s="56">
        <v>29.5</v>
      </c>
      <c r="I109" s="56">
        <v>28.39510347626133</v>
      </c>
      <c r="J109" s="56">
        <v>26.767519087219366</v>
      </c>
      <c r="K109" s="56">
        <v>22.174531416670902</v>
      </c>
      <c r="L109" s="57"/>
      <c r="M109" s="56">
        <v>29.207720340126876</v>
      </c>
      <c r="N109" s="56">
        <v>30.771821120689658</v>
      </c>
      <c r="O109" s="56">
        <v>32.551904558244644</v>
      </c>
      <c r="P109" s="58">
        <v>33.218729735351332</v>
      </c>
      <c r="Q109" s="56">
        <v>31.681447282470298</v>
      </c>
      <c r="R109" s="56">
        <v>32.3111904458328</v>
      </c>
      <c r="S109" s="56">
        <v>30.540817943328356</v>
      </c>
      <c r="T109" s="58">
        <v>28.291799520282051</v>
      </c>
      <c r="U109" s="56">
        <v>27</v>
      </c>
      <c r="V109" s="56">
        <v>23.44931921331316</v>
      </c>
      <c r="W109" s="56">
        <v>22.432501708817497</v>
      </c>
      <c r="X109" s="58">
        <v>22.694409415720891</v>
      </c>
      <c r="Y109" s="56">
        <v>21.929788712248151</v>
      </c>
      <c r="Z109" s="56">
        <v>25.4</v>
      </c>
      <c r="AA109" s="56">
        <v>27.985326361949735</v>
      </c>
      <c r="AB109" s="58">
        <v>29.5</v>
      </c>
      <c r="AC109" s="56">
        <v>30.710395643120297</v>
      </c>
      <c r="AD109" s="56">
        <v>30.42812254516889</v>
      </c>
      <c r="AE109" s="56">
        <v>29.184922330448636</v>
      </c>
      <c r="AF109" s="58">
        <v>28.39510347626133</v>
      </c>
      <c r="AG109" s="56">
        <v>27.654902459981539</v>
      </c>
      <c r="AH109" s="56">
        <v>29.33</v>
      </c>
      <c r="AI109" s="56">
        <v>27.938984833873938</v>
      </c>
      <c r="AJ109" s="58">
        <v>26.767519087219366</v>
      </c>
      <c r="AK109" s="56">
        <v>24.927117674304551</v>
      </c>
      <c r="AL109" s="56">
        <v>22.944745744509479</v>
      </c>
      <c r="AM109" s="56">
        <v>22.618017876333514</v>
      </c>
      <c r="AN109" s="58">
        <v>22.174531416670902</v>
      </c>
      <c r="AO109" s="56">
        <v>22.1</v>
      </c>
      <c r="AP109" s="56">
        <v>22.406607940508572</v>
      </c>
      <c r="AQ109" s="56">
        <v>21.216971607279174</v>
      </c>
    </row>
    <row r="110" spans="1:43" ht="12.75" x14ac:dyDescent="0.2">
      <c r="A110" s="46" t="s">
        <v>165</v>
      </c>
      <c r="B110" s="75"/>
      <c r="C110" s="75"/>
      <c r="D110" s="49"/>
      <c r="E110" s="75"/>
      <c r="F110" s="75"/>
      <c r="G110" s="75"/>
      <c r="H110" s="75"/>
      <c r="I110" s="75"/>
      <c r="J110" s="75"/>
      <c r="K110" s="75"/>
      <c r="L110" s="77"/>
      <c r="M110" s="75"/>
      <c r="N110" s="75"/>
      <c r="O110" s="75"/>
      <c r="P110" s="64"/>
      <c r="Q110" s="75"/>
      <c r="R110" s="75"/>
      <c r="S110" s="75"/>
      <c r="T110" s="78"/>
      <c r="U110" s="75"/>
      <c r="V110" s="75"/>
      <c r="W110" s="75"/>
      <c r="X110" s="78"/>
      <c r="Y110" s="75"/>
      <c r="Z110" s="75"/>
      <c r="AA110" s="75"/>
      <c r="AB110" s="78"/>
      <c r="AC110" s="75"/>
      <c r="AD110" s="75"/>
      <c r="AE110" s="75"/>
      <c r="AF110" s="78"/>
      <c r="AG110" s="75"/>
      <c r="AH110" s="75"/>
      <c r="AI110" s="75"/>
      <c r="AJ110" s="78"/>
      <c r="AK110" s="75"/>
      <c r="AL110" s="75"/>
      <c r="AM110" s="75"/>
      <c r="AN110" s="78"/>
      <c r="AO110" s="75"/>
      <c r="AP110" s="75"/>
      <c r="AQ110" s="75"/>
    </row>
    <row r="111" spans="1:43" ht="12.75" x14ac:dyDescent="0.2">
      <c r="A111" s="46" t="s">
        <v>252</v>
      </c>
      <c r="B111" s="75"/>
      <c r="C111" s="75"/>
      <c r="D111" s="49"/>
      <c r="E111" s="75"/>
      <c r="F111" s="75"/>
      <c r="G111" s="75"/>
      <c r="H111" s="75"/>
      <c r="I111" s="75"/>
      <c r="J111" s="75"/>
      <c r="K111" s="75"/>
      <c r="L111" s="77"/>
      <c r="M111" s="75"/>
      <c r="N111" s="75"/>
      <c r="O111" s="75"/>
      <c r="P111" s="64"/>
      <c r="Q111" s="75"/>
      <c r="R111" s="75"/>
      <c r="S111" s="75"/>
      <c r="T111" s="78"/>
      <c r="U111" s="75"/>
      <c r="V111" s="75"/>
      <c r="W111" s="75"/>
      <c r="X111" s="78"/>
      <c r="Y111" s="75"/>
      <c r="Z111" s="75"/>
      <c r="AA111" s="75"/>
      <c r="AB111" s="78"/>
      <c r="AC111" s="75"/>
      <c r="AD111" s="75"/>
      <c r="AE111" s="75"/>
      <c r="AF111" s="78"/>
      <c r="AG111" s="75"/>
      <c r="AH111" s="75"/>
      <c r="AI111" s="75"/>
      <c r="AJ111" s="34"/>
      <c r="AK111" s="75"/>
      <c r="AL111" s="75"/>
      <c r="AM111" s="75"/>
      <c r="AN111" s="34"/>
      <c r="AO111" s="75"/>
      <c r="AP111" s="75"/>
      <c r="AQ111" s="75"/>
    </row>
    <row r="112" spans="1:43" ht="12.75" x14ac:dyDescent="0.2">
      <c r="A112" s="46" t="s">
        <v>253</v>
      </c>
      <c r="B112" s="32"/>
      <c r="C112" s="32"/>
      <c r="D112" s="33"/>
      <c r="E112" s="32"/>
      <c r="F112" s="32"/>
      <c r="G112" s="32"/>
      <c r="H112" s="32"/>
      <c r="I112" s="32"/>
      <c r="J112" s="32"/>
      <c r="K112" s="32"/>
      <c r="L112" s="32"/>
      <c r="M112" s="32"/>
      <c r="N112" s="32"/>
      <c r="O112" s="32"/>
      <c r="P112" s="34"/>
      <c r="Q112" s="32"/>
      <c r="R112" s="32"/>
      <c r="S112" s="32"/>
      <c r="T112" s="34"/>
      <c r="U112" s="32"/>
      <c r="V112" s="32"/>
      <c r="W112" s="32"/>
      <c r="X112" s="34"/>
      <c r="Y112" s="32"/>
      <c r="Z112" s="32"/>
      <c r="AA112" s="32"/>
      <c r="AB112" s="34"/>
      <c r="AC112" s="32"/>
      <c r="AD112" s="32"/>
      <c r="AE112" s="32"/>
      <c r="AF112" s="34"/>
      <c r="AG112" s="32"/>
      <c r="AH112" s="32"/>
      <c r="AI112" s="32"/>
      <c r="AJ112" s="34"/>
      <c r="AK112" s="32"/>
      <c r="AL112" s="32"/>
      <c r="AM112" s="32"/>
      <c r="AN112" s="34"/>
      <c r="AO112" s="32"/>
      <c r="AP112" s="32"/>
      <c r="AQ112" s="32"/>
    </row>
    <row r="113" spans="1:43" ht="12.75" x14ac:dyDescent="0.2">
      <c r="A113" s="32"/>
      <c r="B113" s="32"/>
      <c r="C113" s="32"/>
      <c r="D113" s="33"/>
      <c r="E113" s="32"/>
      <c r="F113" s="32"/>
      <c r="G113" s="32"/>
      <c r="H113" s="32"/>
      <c r="I113" s="32"/>
      <c r="J113" s="32"/>
      <c r="K113" s="32"/>
      <c r="L113" s="32"/>
      <c r="M113" s="32"/>
      <c r="N113" s="32"/>
      <c r="O113" s="32"/>
      <c r="P113" s="34"/>
      <c r="Q113" s="32"/>
      <c r="R113" s="32"/>
      <c r="S113" s="32"/>
      <c r="T113" s="34"/>
      <c r="U113" s="32"/>
      <c r="V113" s="32"/>
      <c r="W113" s="32"/>
      <c r="X113" s="34"/>
      <c r="Y113" s="32"/>
      <c r="Z113" s="32"/>
      <c r="AA113" s="32"/>
      <c r="AB113" s="34"/>
      <c r="AC113" s="32"/>
      <c r="AD113" s="32"/>
      <c r="AE113" s="32"/>
      <c r="AF113" s="34"/>
      <c r="AG113" s="32"/>
      <c r="AH113" s="32"/>
      <c r="AI113" s="32"/>
      <c r="AJ113" s="34"/>
      <c r="AK113" s="32"/>
      <c r="AL113" s="32"/>
      <c r="AM113" s="32"/>
      <c r="AN113" s="34"/>
      <c r="AO113" s="32"/>
      <c r="AP113" s="32"/>
      <c r="AQ113" s="32"/>
    </row>
    <row r="114" spans="1:43" ht="22.5" x14ac:dyDescent="0.2">
      <c r="A114" s="47" t="s">
        <v>254</v>
      </c>
      <c r="B114" s="48">
        <v>2015</v>
      </c>
      <c r="C114" s="48">
        <v>2016</v>
      </c>
      <c r="D114" s="48" t="s">
        <v>130</v>
      </c>
      <c r="E114" s="48">
        <v>2018</v>
      </c>
      <c r="F114" s="48">
        <v>2019</v>
      </c>
      <c r="G114" s="48">
        <v>2020</v>
      </c>
      <c r="H114" s="48">
        <v>2021</v>
      </c>
      <c r="I114" s="48">
        <v>2022</v>
      </c>
      <c r="J114" s="48">
        <v>2023</v>
      </c>
      <c r="K114" s="48">
        <v>2024</v>
      </c>
      <c r="L114" s="49"/>
      <c r="M114" s="50" t="s">
        <v>131</v>
      </c>
      <c r="N114" s="50" t="s">
        <v>132</v>
      </c>
      <c r="O114" s="50" t="s">
        <v>133</v>
      </c>
      <c r="P114" s="51" t="s">
        <v>134</v>
      </c>
      <c r="Q114" s="50" t="s">
        <v>135</v>
      </c>
      <c r="R114" s="50" t="s">
        <v>136</v>
      </c>
      <c r="S114" s="50" t="s">
        <v>137</v>
      </c>
      <c r="T114" s="51" t="s">
        <v>138</v>
      </c>
      <c r="U114" s="50" t="s">
        <v>139</v>
      </c>
      <c r="V114" s="50" t="s">
        <v>140</v>
      </c>
      <c r="W114" s="50" t="s">
        <v>141</v>
      </c>
      <c r="X114" s="51" t="s">
        <v>142</v>
      </c>
      <c r="Y114" s="50" t="s">
        <v>143</v>
      </c>
      <c r="Z114" s="50" t="s">
        <v>144</v>
      </c>
      <c r="AA114" s="50" t="s">
        <v>145</v>
      </c>
      <c r="AB114" s="51" t="s">
        <v>146</v>
      </c>
      <c r="AC114" s="50" t="s">
        <v>147</v>
      </c>
      <c r="AD114" s="50" t="s">
        <v>148</v>
      </c>
      <c r="AE114" s="50" t="s">
        <v>149</v>
      </c>
      <c r="AF114" s="51" t="s">
        <v>150</v>
      </c>
      <c r="AG114" s="50" t="s">
        <v>151</v>
      </c>
      <c r="AH114" s="50" t="s">
        <v>152</v>
      </c>
      <c r="AI114" s="50" t="s">
        <v>153</v>
      </c>
      <c r="AJ114" s="51" t="s">
        <v>154</v>
      </c>
      <c r="AK114" s="50" t="s">
        <v>155</v>
      </c>
      <c r="AL114" s="50" t="s">
        <v>156</v>
      </c>
      <c r="AM114" s="50" t="s">
        <v>157</v>
      </c>
      <c r="AN114" s="51" t="s">
        <v>158</v>
      </c>
      <c r="AO114" s="50" t="s">
        <v>159</v>
      </c>
      <c r="AP114" s="50" t="s">
        <v>160</v>
      </c>
      <c r="AQ114" s="50" t="s">
        <v>161</v>
      </c>
    </row>
    <row r="115" spans="1:43" ht="12.75" x14ac:dyDescent="0.2">
      <c r="A115" s="38" t="s">
        <v>255</v>
      </c>
      <c r="B115" s="39">
        <v>5858</v>
      </c>
      <c r="C115" s="39">
        <v>5402</v>
      </c>
      <c r="D115" s="39">
        <v>5176</v>
      </c>
      <c r="E115" s="39">
        <v>4324</v>
      </c>
      <c r="F115" s="39">
        <v>7228</v>
      </c>
      <c r="G115" s="39">
        <v>8334</v>
      </c>
      <c r="H115" s="39">
        <v>7607</v>
      </c>
      <c r="I115" s="39">
        <v>5558</v>
      </c>
      <c r="J115" s="39">
        <v>7143</v>
      </c>
      <c r="K115" s="39">
        <v>10461</v>
      </c>
      <c r="L115" s="39"/>
      <c r="M115" s="39">
        <v>979</v>
      </c>
      <c r="N115" s="39">
        <v>-62</v>
      </c>
      <c r="O115" s="39">
        <v>920</v>
      </c>
      <c r="P115" s="40">
        <v>2487</v>
      </c>
      <c r="Q115" s="39">
        <v>589</v>
      </c>
      <c r="R115" s="39">
        <v>1610</v>
      </c>
      <c r="S115" s="39">
        <v>1852</v>
      </c>
      <c r="T115" s="40">
        <v>3177</v>
      </c>
      <c r="U115" s="39">
        <v>1781</v>
      </c>
      <c r="V115" s="39">
        <v>2383</v>
      </c>
      <c r="W115" s="39">
        <v>1819</v>
      </c>
      <c r="X115" s="40">
        <v>2351</v>
      </c>
      <c r="Y115" s="39">
        <v>1823</v>
      </c>
      <c r="Z115" s="39">
        <v>1422</v>
      </c>
      <c r="AA115" s="39">
        <v>1818</v>
      </c>
      <c r="AB115" s="40">
        <v>2544</v>
      </c>
      <c r="AC115" s="39">
        <v>751</v>
      </c>
      <c r="AD115" s="39">
        <v>1400</v>
      </c>
      <c r="AE115" s="39">
        <v>1664</v>
      </c>
      <c r="AF115" s="40">
        <v>1743</v>
      </c>
      <c r="AG115" s="39">
        <v>739</v>
      </c>
      <c r="AH115" s="39">
        <v>1694</v>
      </c>
      <c r="AI115" s="39">
        <v>1917</v>
      </c>
      <c r="AJ115" s="40">
        <v>2793</v>
      </c>
      <c r="AK115" s="39">
        <v>2404</v>
      </c>
      <c r="AL115" s="39">
        <v>1611</v>
      </c>
      <c r="AM115" s="39">
        <v>2501</v>
      </c>
      <c r="AN115" s="40">
        <v>3945</v>
      </c>
      <c r="AO115" s="39">
        <v>2588</v>
      </c>
      <c r="AP115" s="39">
        <v>2122</v>
      </c>
      <c r="AQ115" s="39">
        <v>2884</v>
      </c>
    </row>
    <row r="116" spans="1:43" ht="12.75" x14ac:dyDescent="0.2">
      <c r="A116" s="38" t="s">
        <v>256</v>
      </c>
      <c r="B116" s="39">
        <v>-3175</v>
      </c>
      <c r="C116" s="39">
        <v>-1805</v>
      </c>
      <c r="D116" s="39">
        <v>5543</v>
      </c>
      <c r="E116" s="39">
        <v>-1337</v>
      </c>
      <c r="F116" s="39">
        <v>-1655</v>
      </c>
      <c r="G116" s="39">
        <v>-608</v>
      </c>
      <c r="H116" s="39">
        <v>-3473</v>
      </c>
      <c r="I116" s="39">
        <v>-5991</v>
      </c>
      <c r="J116" s="39">
        <v>-5237</v>
      </c>
      <c r="K116" s="39">
        <v>-11691</v>
      </c>
      <c r="L116" s="39"/>
      <c r="M116" s="39">
        <v>-841</v>
      </c>
      <c r="N116" s="39">
        <v>-317</v>
      </c>
      <c r="O116" s="39">
        <v>62</v>
      </c>
      <c r="P116" s="40">
        <v>-241</v>
      </c>
      <c r="Q116" s="39">
        <v>-828</v>
      </c>
      <c r="R116" s="39">
        <v>-763</v>
      </c>
      <c r="S116" s="39">
        <v>-71</v>
      </c>
      <c r="T116" s="40">
        <v>7</v>
      </c>
      <c r="U116" s="39">
        <v>-200</v>
      </c>
      <c r="V116" s="39">
        <v>-119</v>
      </c>
      <c r="W116" s="39">
        <v>-183</v>
      </c>
      <c r="X116" s="40">
        <v>-106</v>
      </c>
      <c r="Y116" s="39">
        <v>-333</v>
      </c>
      <c r="Z116" s="39">
        <v>-1486</v>
      </c>
      <c r="AA116" s="39">
        <v>-802</v>
      </c>
      <c r="AB116" s="40">
        <v>-852</v>
      </c>
      <c r="AC116" s="39">
        <v>-354</v>
      </c>
      <c r="AD116" s="39">
        <v>-623</v>
      </c>
      <c r="AE116" s="39">
        <v>-587</v>
      </c>
      <c r="AF116" s="40">
        <v>-4427</v>
      </c>
      <c r="AG116" s="39">
        <v>-3739</v>
      </c>
      <c r="AH116" s="39">
        <v>-774</v>
      </c>
      <c r="AI116" s="39">
        <v>-371</v>
      </c>
      <c r="AJ116" s="40">
        <v>-353</v>
      </c>
      <c r="AK116" s="39">
        <v>-511</v>
      </c>
      <c r="AL116" s="39">
        <v>-8703</v>
      </c>
      <c r="AM116" s="39">
        <v>-1730</v>
      </c>
      <c r="AN116" s="40">
        <v>-747</v>
      </c>
      <c r="AO116" s="39">
        <v>-281</v>
      </c>
      <c r="AP116" s="39">
        <v>-692</v>
      </c>
      <c r="AQ116" s="39">
        <v>-527</v>
      </c>
    </row>
    <row r="117" spans="1:43" ht="12.75" x14ac:dyDescent="0.2">
      <c r="A117" s="38" t="s">
        <v>257</v>
      </c>
      <c r="B117" s="39" t="s">
        <v>195</v>
      </c>
      <c r="C117" s="39" t="s">
        <v>195</v>
      </c>
      <c r="D117" s="39">
        <v>137</v>
      </c>
      <c r="E117" s="39">
        <v>546</v>
      </c>
      <c r="F117" s="39">
        <v>984</v>
      </c>
      <c r="G117" s="39">
        <v>75</v>
      </c>
      <c r="H117" s="39">
        <v>2352</v>
      </c>
      <c r="I117" s="39">
        <v>4686</v>
      </c>
      <c r="J117" s="39">
        <v>3666</v>
      </c>
      <c r="K117" s="39">
        <v>9658</v>
      </c>
      <c r="L117" s="39"/>
      <c r="M117" s="39">
        <v>482</v>
      </c>
      <c r="N117" s="39" t="s">
        <v>195</v>
      </c>
      <c r="O117" s="39" t="s">
        <v>195</v>
      </c>
      <c r="P117" s="40">
        <v>64</v>
      </c>
      <c r="Q117" s="39">
        <v>449</v>
      </c>
      <c r="R117" s="39">
        <v>578</v>
      </c>
      <c r="S117" s="39">
        <v>-33</v>
      </c>
      <c r="T117" s="40">
        <v>-10</v>
      </c>
      <c r="U117" s="39">
        <v>15</v>
      </c>
      <c r="V117" s="39">
        <v>28</v>
      </c>
      <c r="W117" s="39">
        <v>31</v>
      </c>
      <c r="X117" s="40">
        <v>1</v>
      </c>
      <c r="Y117" s="39" t="s">
        <v>195</v>
      </c>
      <c r="Z117" s="39">
        <v>1282</v>
      </c>
      <c r="AA117" s="39">
        <v>492</v>
      </c>
      <c r="AB117" s="40">
        <v>578</v>
      </c>
      <c r="AC117" s="39">
        <v>18</v>
      </c>
      <c r="AD117" s="39">
        <v>257</v>
      </c>
      <c r="AE117" s="39">
        <v>210</v>
      </c>
      <c r="AF117" s="40">
        <v>4201</v>
      </c>
      <c r="AG117" s="39">
        <v>3279</v>
      </c>
      <c r="AH117" s="39">
        <v>38</v>
      </c>
      <c r="AI117" s="39">
        <v>7</v>
      </c>
      <c r="AJ117" s="40">
        <v>342</v>
      </c>
      <c r="AK117" s="39">
        <v>0</v>
      </c>
      <c r="AL117" s="39">
        <v>8294</v>
      </c>
      <c r="AM117" s="39">
        <v>1080</v>
      </c>
      <c r="AN117" s="40">
        <v>284</v>
      </c>
      <c r="AO117" s="39">
        <v>74</v>
      </c>
      <c r="AP117" s="39">
        <v>13</v>
      </c>
      <c r="AQ117" s="39" t="s">
        <v>195</v>
      </c>
    </row>
    <row r="118" spans="1:43" ht="12.75" x14ac:dyDescent="0.2">
      <c r="A118" s="38" t="s">
        <v>258</v>
      </c>
      <c r="B118" s="59">
        <v>2947</v>
      </c>
      <c r="C118" s="59">
        <v>1283</v>
      </c>
      <c r="D118" s="39">
        <v>-6246</v>
      </c>
      <c r="E118" s="59">
        <v>351</v>
      </c>
      <c r="F118" s="59">
        <v>131</v>
      </c>
      <c r="G118" s="59">
        <v>-795</v>
      </c>
      <c r="H118" s="59">
        <v>381</v>
      </c>
      <c r="I118" s="59">
        <v>1409</v>
      </c>
      <c r="J118" s="59">
        <v>639</v>
      </c>
      <c r="K118" s="59">
        <v>704</v>
      </c>
      <c r="L118" s="59"/>
      <c r="M118" s="59">
        <v>46</v>
      </c>
      <c r="N118" s="59">
        <v>578</v>
      </c>
      <c r="O118" s="59">
        <v>-205</v>
      </c>
      <c r="P118" s="52">
        <v>-68</v>
      </c>
      <c r="Q118" s="59">
        <v>262</v>
      </c>
      <c r="R118" s="59">
        <v>81</v>
      </c>
      <c r="S118" s="59">
        <v>135</v>
      </c>
      <c r="T118" s="52">
        <v>-347</v>
      </c>
      <c r="U118" s="59">
        <v>-64</v>
      </c>
      <c r="V118" s="59">
        <v>-329</v>
      </c>
      <c r="W118" s="59">
        <v>-312</v>
      </c>
      <c r="X118" s="52">
        <v>-90</v>
      </c>
      <c r="Y118" s="59">
        <v>120</v>
      </c>
      <c r="Z118" s="59">
        <v>11</v>
      </c>
      <c r="AA118" s="59">
        <v>105</v>
      </c>
      <c r="AB118" s="52">
        <v>145</v>
      </c>
      <c r="AC118" s="59">
        <v>452</v>
      </c>
      <c r="AD118" s="59">
        <v>428</v>
      </c>
      <c r="AE118" s="59">
        <v>527</v>
      </c>
      <c r="AF118" s="52">
        <v>2</v>
      </c>
      <c r="AG118" s="59">
        <v>59</v>
      </c>
      <c r="AH118" s="59">
        <v>591</v>
      </c>
      <c r="AI118" s="59">
        <v>336</v>
      </c>
      <c r="AJ118" s="52">
        <v>-347</v>
      </c>
      <c r="AK118" s="59">
        <v>-115</v>
      </c>
      <c r="AL118" s="59">
        <v>407</v>
      </c>
      <c r="AM118" s="59">
        <v>-62</v>
      </c>
      <c r="AN118" s="52">
        <v>474</v>
      </c>
      <c r="AO118" s="59">
        <v>-812</v>
      </c>
      <c r="AP118" s="59">
        <v>-339</v>
      </c>
      <c r="AQ118" s="59">
        <v>119</v>
      </c>
    </row>
    <row r="119" spans="1:43" ht="12.75" x14ac:dyDescent="0.2">
      <c r="A119" s="41" t="s">
        <v>94</v>
      </c>
      <c r="B119" s="53">
        <v>5630</v>
      </c>
      <c r="C119" s="53">
        <v>4880</v>
      </c>
      <c r="D119" s="53">
        <v>4610</v>
      </c>
      <c r="E119" s="53">
        <v>3884</v>
      </c>
      <c r="F119" s="53">
        <v>6688</v>
      </c>
      <c r="G119" s="53">
        <v>7006</v>
      </c>
      <c r="H119" s="53">
        <v>6867</v>
      </c>
      <c r="I119" s="53">
        <v>5662</v>
      </c>
      <c r="J119" s="53">
        <v>6211</v>
      </c>
      <c r="K119" s="53">
        <v>9132</v>
      </c>
      <c r="L119" s="54"/>
      <c r="M119" s="53">
        <v>666</v>
      </c>
      <c r="N119" s="53">
        <v>199</v>
      </c>
      <c r="O119" s="53">
        <v>777</v>
      </c>
      <c r="P119" s="55">
        <v>2242</v>
      </c>
      <c r="Q119" s="53">
        <v>472</v>
      </c>
      <c r="R119" s="53">
        <v>1506</v>
      </c>
      <c r="S119" s="53">
        <v>1883</v>
      </c>
      <c r="T119" s="55">
        <v>2827</v>
      </c>
      <c r="U119" s="53">
        <v>1532</v>
      </c>
      <c r="V119" s="53">
        <v>1963</v>
      </c>
      <c r="W119" s="53">
        <v>1355</v>
      </c>
      <c r="X119" s="55">
        <v>2156</v>
      </c>
      <c r="Y119" s="53">
        <v>1610</v>
      </c>
      <c r="Z119" s="53">
        <v>1229</v>
      </c>
      <c r="AA119" s="53">
        <v>1613</v>
      </c>
      <c r="AB119" s="55">
        <v>2415</v>
      </c>
      <c r="AC119" s="53">
        <v>867</v>
      </c>
      <c r="AD119" s="53">
        <v>1462</v>
      </c>
      <c r="AE119" s="53">
        <v>1814</v>
      </c>
      <c r="AF119" s="55">
        <v>1519</v>
      </c>
      <c r="AG119" s="53">
        <v>338</v>
      </c>
      <c r="AH119" s="53">
        <v>1549</v>
      </c>
      <c r="AI119" s="53">
        <v>1889</v>
      </c>
      <c r="AJ119" s="55">
        <v>2435</v>
      </c>
      <c r="AK119" s="53">
        <v>1778</v>
      </c>
      <c r="AL119" s="53">
        <v>1609</v>
      </c>
      <c r="AM119" s="53">
        <v>1789</v>
      </c>
      <c r="AN119" s="55">
        <v>3956</v>
      </c>
      <c r="AO119" s="53">
        <v>1569</v>
      </c>
      <c r="AP119" s="53">
        <v>1104</v>
      </c>
      <c r="AQ119" s="53">
        <v>2476</v>
      </c>
    </row>
    <row r="120" spans="1:43" ht="12.75" x14ac:dyDescent="0.2">
      <c r="A120" s="38" t="s">
        <v>259</v>
      </c>
      <c r="B120" s="39">
        <v>1212</v>
      </c>
      <c r="C120" s="39">
        <v>1212</v>
      </c>
      <c r="D120" s="39">
        <v>1212</v>
      </c>
      <c r="E120" s="39">
        <v>1205.607634</v>
      </c>
      <c r="F120" s="39">
        <v>1200.8869999999999</v>
      </c>
      <c r="G120" s="39">
        <v>1206</v>
      </c>
      <c r="H120" s="39">
        <v>1206</v>
      </c>
      <c r="I120" s="39">
        <v>1206</v>
      </c>
      <c r="J120" s="39">
        <v>1206</v>
      </c>
      <c r="K120" s="39">
        <v>4831.370701235749</v>
      </c>
      <c r="L120" s="39"/>
      <c r="M120" s="39">
        <v>1212</v>
      </c>
      <c r="N120" s="39">
        <v>1214</v>
      </c>
      <c r="O120" s="39">
        <v>1209.8633910000001</v>
      </c>
      <c r="P120" s="40">
        <v>1200.9032130000001</v>
      </c>
      <c r="Q120" s="39">
        <v>1199.222</v>
      </c>
      <c r="R120" s="39">
        <v>1199.80457</v>
      </c>
      <c r="S120" s="39">
        <v>1201.713493</v>
      </c>
      <c r="T120" s="40">
        <v>1202.696021</v>
      </c>
      <c r="U120" s="39">
        <v>1203</v>
      </c>
      <c r="V120" s="39">
        <v>1203.9224839999999</v>
      </c>
      <c r="W120" s="39">
        <v>1204.855</v>
      </c>
      <c r="X120" s="40">
        <v>1205.7180000000001</v>
      </c>
      <c r="Y120" s="39">
        <v>1205.999</v>
      </c>
      <c r="Z120" s="39">
        <v>1206</v>
      </c>
      <c r="AA120" s="39">
        <v>1206.645</v>
      </c>
      <c r="AB120" s="40">
        <v>1206.181</v>
      </c>
      <c r="AC120" s="39">
        <v>1206.2950000000001</v>
      </c>
      <c r="AD120" s="39">
        <v>1206.557</v>
      </c>
      <c r="AE120" s="39">
        <v>1206.5709999999999</v>
      </c>
      <c r="AF120" s="40">
        <v>1205.903</v>
      </c>
      <c r="AG120" s="39">
        <v>1205.826</v>
      </c>
      <c r="AH120" s="39">
        <v>1206</v>
      </c>
      <c r="AI120" s="39">
        <v>1206.7383717076923</v>
      </c>
      <c r="AJ120" s="40">
        <v>1206.8609714603172</v>
      </c>
      <c r="AK120" s="39">
        <v>1207.1120745714286</v>
      </c>
      <c r="AL120" s="39">
        <v>1207.8629251999998</v>
      </c>
      <c r="AM120" s="39">
        <v>1208.1109288030302</v>
      </c>
      <c r="AN120" s="40">
        <v>1208.2847726612904</v>
      </c>
      <c r="AO120" s="39">
        <v>1209</v>
      </c>
      <c r="AP120" s="39">
        <v>1208.9256568135593</v>
      </c>
      <c r="AQ120" s="39">
        <v>1208.988580121212</v>
      </c>
    </row>
    <row r="121" spans="1:43" ht="12.75" x14ac:dyDescent="0.2">
      <c r="A121" s="41" t="s">
        <v>260</v>
      </c>
      <c r="B121" s="42">
        <v>4.5999999999999996</v>
      </c>
      <c r="C121" s="56">
        <v>4</v>
      </c>
      <c r="D121" s="56">
        <v>3.8</v>
      </c>
      <c r="E121" s="56">
        <v>3.2216119825930036</v>
      </c>
      <c r="F121" s="56">
        <v>5.5692167539493731</v>
      </c>
      <c r="G121" s="56">
        <v>5.8</v>
      </c>
      <c r="H121" s="56">
        <v>5.69</v>
      </c>
      <c r="I121" s="56">
        <v>4.7</v>
      </c>
      <c r="J121" s="56">
        <v>5.15</v>
      </c>
      <c r="K121" s="56">
        <v>1.89</v>
      </c>
      <c r="L121" s="57"/>
      <c r="M121" s="56">
        <v>0.5</v>
      </c>
      <c r="N121" s="56">
        <v>0.2</v>
      </c>
      <c r="O121" s="56">
        <v>0.64222126711163541</v>
      </c>
      <c r="P121" s="58">
        <v>1.8669281385293452</v>
      </c>
      <c r="Q121" s="56">
        <v>0.39358850988390809</v>
      </c>
      <c r="R121" s="56">
        <v>1.2552044204999153</v>
      </c>
      <c r="S121" s="56">
        <v>1.566929231442024</v>
      </c>
      <c r="T121" s="58">
        <v>2.3505523845081382</v>
      </c>
      <c r="U121" s="56">
        <v>1.27</v>
      </c>
      <c r="V121" s="56">
        <v>1.6305036462796056</v>
      </c>
      <c r="W121" s="56">
        <v>1.1246166551161758</v>
      </c>
      <c r="X121" s="58">
        <v>1.7881461502606744</v>
      </c>
      <c r="Y121" s="56">
        <v>1.334992815085253</v>
      </c>
      <c r="Z121" s="56">
        <v>1.02</v>
      </c>
      <c r="AA121" s="56">
        <v>1.3036145676648889</v>
      </c>
      <c r="AB121" s="58">
        <v>2.0021870681100098</v>
      </c>
      <c r="AC121" s="56">
        <v>0.71872966397108495</v>
      </c>
      <c r="AD121" s="56">
        <v>1.211712335181844</v>
      </c>
      <c r="AE121" s="56">
        <v>1.5034341120414796</v>
      </c>
      <c r="AF121" s="58">
        <v>1.2596369691426259</v>
      </c>
      <c r="AG121" s="56">
        <v>0.28030578209459739</v>
      </c>
      <c r="AH121" s="56">
        <v>1.3</v>
      </c>
      <c r="AI121" s="56">
        <v>1.5653765922159402</v>
      </c>
      <c r="AJ121" s="58">
        <v>2.0176309099246277</v>
      </c>
      <c r="AK121" s="56">
        <v>1.4729369686996616</v>
      </c>
      <c r="AL121" s="56">
        <v>1.3321047996680413</v>
      </c>
      <c r="AM121" s="56">
        <v>1.4800364414976033</v>
      </c>
      <c r="AN121" s="58">
        <v>3.274062612977211</v>
      </c>
      <c r="AO121" s="56" t="s">
        <v>261</v>
      </c>
      <c r="AP121" s="56">
        <v>0.91320751923644472</v>
      </c>
      <c r="AQ121" s="56">
        <v>2.0479928766173776</v>
      </c>
    </row>
    <row r="122" spans="1:43" ht="12.75" x14ac:dyDescent="0.2">
      <c r="A122" s="46" t="s">
        <v>169</v>
      </c>
      <c r="B122" s="61"/>
      <c r="C122" s="61"/>
      <c r="D122" s="61"/>
      <c r="E122" s="61"/>
      <c r="F122" s="61"/>
      <c r="G122" s="61"/>
      <c r="H122" s="61"/>
      <c r="I122" s="61"/>
      <c r="J122" s="61"/>
      <c r="K122" s="61"/>
      <c r="L122" s="61"/>
      <c r="M122" s="61"/>
      <c r="N122" s="61"/>
      <c r="O122" s="61"/>
      <c r="P122" s="32"/>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row>
    <row r="123" spans="1:43" ht="22.5" x14ac:dyDescent="0.2">
      <c r="A123" s="46" t="s">
        <v>262</v>
      </c>
      <c r="B123" s="32"/>
      <c r="C123" s="32"/>
      <c r="D123" s="33"/>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V25"/>
  <sheetViews>
    <sheetView showGridLines="0" workbookViewId="0"/>
  </sheetViews>
  <sheetFormatPr defaultColWidth="10" defaultRowHeight="13.35" customHeight="1" x14ac:dyDescent="0.2"/>
  <cols>
    <col min="1" max="1" width="35.85546875" bestFit="1" customWidth="1"/>
    <col min="2" max="11" width="8.42578125" bestFit="1" customWidth="1"/>
    <col min="12" max="12" width="7.85546875" customWidth="1"/>
    <col min="13" max="13" width="9.42578125" customWidth="1"/>
    <col min="14" max="14" width="6.85546875" customWidth="1"/>
    <col min="15" max="18" width="7.140625" customWidth="1"/>
    <col min="19" max="19" width="6.85546875" customWidth="1"/>
    <col min="20" max="22" width="7.140625" customWidth="1"/>
    <col min="23" max="23" width="6.85546875" customWidth="1"/>
    <col min="24" max="36" width="7.140625" customWidth="1"/>
    <col min="37" max="46" width="7.140625" bestFit="1" customWidth="1"/>
    <col min="47" max="47" width="7.140625" customWidth="1"/>
  </cols>
  <sheetData>
    <row r="1" spans="1:48" ht="16.5" thickBot="1" x14ac:dyDescent="0.3">
      <c r="A1" s="1" t="s">
        <v>263</v>
      </c>
      <c r="B1" s="88" t="s">
        <v>127</v>
      </c>
      <c r="C1" s="89"/>
      <c r="D1" s="89"/>
      <c r="E1" s="89"/>
      <c r="F1" s="89"/>
      <c r="G1" s="89"/>
      <c r="H1" s="89"/>
      <c r="I1" s="89"/>
      <c r="J1" s="89"/>
      <c r="K1" s="89"/>
      <c r="L1" s="90"/>
      <c r="M1" s="88" t="s">
        <v>128</v>
      </c>
      <c r="N1" s="89"/>
      <c r="O1" s="89"/>
      <c r="P1" s="91"/>
      <c r="Q1" s="89"/>
      <c r="R1" s="89"/>
      <c r="S1" s="89"/>
      <c r="T1" s="92"/>
      <c r="U1" s="88"/>
      <c r="V1" s="88"/>
      <c r="W1" s="89"/>
      <c r="X1" s="91"/>
      <c r="Y1" s="89"/>
      <c r="Z1" s="89"/>
      <c r="AA1" s="89"/>
      <c r="AB1" s="91"/>
      <c r="AC1" s="89"/>
      <c r="AD1" s="89"/>
      <c r="AE1" s="89"/>
      <c r="AF1" s="91"/>
      <c r="AG1" s="89"/>
      <c r="AH1" s="89"/>
      <c r="AI1" s="89"/>
      <c r="AJ1" s="91"/>
      <c r="AK1" s="89"/>
      <c r="AL1" s="89"/>
      <c r="AM1" s="89"/>
      <c r="AN1" s="91"/>
      <c r="AO1" s="89"/>
      <c r="AP1" s="89"/>
      <c r="AQ1" s="89"/>
      <c r="AR1" s="91"/>
      <c r="AS1" s="89"/>
      <c r="AT1" s="89"/>
      <c r="AU1" s="89"/>
    </row>
    <row r="2" spans="1:48" ht="14.25" thickTop="1" thickBot="1" x14ac:dyDescent="0.25">
      <c r="A2" s="19" t="s">
        <v>32</v>
      </c>
      <c r="B2" s="90"/>
      <c r="C2" s="90"/>
      <c r="D2" s="90"/>
      <c r="E2" s="90"/>
      <c r="F2" s="90"/>
      <c r="G2" s="90"/>
      <c r="H2" s="90"/>
      <c r="I2" s="90"/>
      <c r="J2" s="90"/>
      <c r="K2" s="90"/>
      <c r="L2" s="90"/>
      <c r="M2" s="90"/>
      <c r="N2" s="90"/>
      <c r="O2" s="90"/>
      <c r="P2" s="93"/>
      <c r="Q2" s="90"/>
      <c r="R2" s="90"/>
      <c r="S2" s="90"/>
      <c r="T2" s="93"/>
      <c r="U2" s="90"/>
      <c r="V2" s="90"/>
      <c r="W2" s="90"/>
      <c r="X2" s="93"/>
      <c r="Y2" s="90"/>
      <c r="Z2" s="90"/>
      <c r="AA2" s="90"/>
      <c r="AB2" s="93"/>
      <c r="AC2" s="90"/>
      <c r="AD2" s="90"/>
      <c r="AE2" s="90"/>
      <c r="AF2" s="93"/>
      <c r="AG2" s="90"/>
      <c r="AH2" s="90"/>
      <c r="AI2" s="90"/>
      <c r="AJ2" s="93"/>
      <c r="AK2" s="90"/>
      <c r="AL2" s="90"/>
      <c r="AM2" s="90"/>
      <c r="AN2" s="93"/>
      <c r="AO2" s="90"/>
      <c r="AP2" s="90"/>
      <c r="AQ2" s="90"/>
      <c r="AR2" s="93"/>
      <c r="AS2" s="90"/>
      <c r="AT2" s="90"/>
      <c r="AU2" s="90"/>
    </row>
    <row r="3" spans="1:48" ht="13.5" thickTop="1" x14ac:dyDescent="0.2">
      <c r="A3" s="94" t="s">
        <v>264</v>
      </c>
      <c r="B3" s="95">
        <v>2015</v>
      </c>
      <c r="C3" s="95">
        <v>2016</v>
      </c>
      <c r="D3" s="95">
        <v>2017</v>
      </c>
      <c r="E3" s="95">
        <v>2018</v>
      </c>
      <c r="F3" s="95" t="s">
        <v>265</v>
      </c>
      <c r="G3" s="95" t="s">
        <v>266</v>
      </c>
      <c r="H3" s="95">
        <v>2021</v>
      </c>
      <c r="I3" s="95">
        <v>2022</v>
      </c>
      <c r="J3" s="95">
        <v>2023</v>
      </c>
      <c r="K3" s="95">
        <v>2024</v>
      </c>
      <c r="L3" s="90"/>
      <c r="M3" s="95" t="s">
        <v>267</v>
      </c>
      <c r="N3" s="95" t="s">
        <v>268</v>
      </c>
      <c r="O3" s="95" t="s">
        <v>269</v>
      </c>
      <c r="P3" s="96" t="s">
        <v>270</v>
      </c>
      <c r="Q3" s="50" t="s">
        <v>131</v>
      </c>
      <c r="R3" s="50" t="s">
        <v>132</v>
      </c>
      <c r="S3" s="50" t="s">
        <v>133</v>
      </c>
      <c r="T3" s="51" t="s">
        <v>134</v>
      </c>
      <c r="U3" s="50" t="s">
        <v>135</v>
      </c>
      <c r="V3" s="50" t="s">
        <v>136</v>
      </c>
      <c r="W3" s="50" t="s">
        <v>137</v>
      </c>
      <c r="X3" s="51" t="s">
        <v>138</v>
      </c>
      <c r="Y3" s="50" t="s">
        <v>139</v>
      </c>
      <c r="Z3" s="50" t="s">
        <v>140</v>
      </c>
      <c r="AA3" s="50" t="s">
        <v>141</v>
      </c>
      <c r="AB3" s="51" t="s">
        <v>142</v>
      </c>
      <c r="AC3" s="50" t="s">
        <v>143</v>
      </c>
      <c r="AD3" s="50" t="s">
        <v>144</v>
      </c>
      <c r="AE3" s="50" t="s">
        <v>145</v>
      </c>
      <c r="AF3" s="51" t="s">
        <v>146</v>
      </c>
      <c r="AG3" s="50" t="s">
        <v>147</v>
      </c>
      <c r="AH3" s="50" t="s">
        <v>148</v>
      </c>
      <c r="AI3" s="50" t="s">
        <v>149</v>
      </c>
      <c r="AJ3" s="51" t="s">
        <v>150</v>
      </c>
      <c r="AK3" s="50" t="s">
        <v>151</v>
      </c>
      <c r="AL3" s="50" t="s">
        <v>152</v>
      </c>
      <c r="AM3" s="50" t="s">
        <v>153</v>
      </c>
      <c r="AN3" s="51" t="s">
        <v>154</v>
      </c>
      <c r="AO3" s="50" t="s">
        <v>155</v>
      </c>
      <c r="AP3" s="50" t="s">
        <v>156</v>
      </c>
      <c r="AQ3" s="50" t="s">
        <v>157</v>
      </c>
      <c r="AR3" s="51" t="s">
        <v>158</v>
      </c>
      <c r="AS3" s="50" t="s">
        <v>159</v>
      </c>
      <c r="AT3" s="50" t="s">
        <v>160</v>
      </c>
      <c r="AU3" s="50" t="s">
        <v>161</v>
      </c>
    </row>
    <row r="4" spans="1:48" ht="12.75" x14ac:dyDescent="0.2">
      <c r="A4" s="97" t="s">
        <v>200</v>
      </c>
      <c r="B4" s="98">
        <v>28663</v>
      </c>
      <c r="C4" s="98">
        <v>27102</v>
      </c>
      <c r="D4" s="98">
        <v>31364</v>
      </c>
      <c r="E4" s="98">
        <v>38285</v>
      </c>
      <c r="F4" s="98">
        <v>40849</v>
      </c>
      <c r="G4" s="98">
        <v>36122</v>
      </c>
      <c r="H4" s="98">
        <v>39645</v>
      </c>
      <c r="I4" s="98">
        <v>49694</v>
      </c>
      <c r="J4" s="98">
        <v>60343</v>
      </c>
      <c r="K4" s="98">
        <v>63604</v>
      </c>
      <c r="L4" s="90"/>
      <c r="M4" s="98">
        <v>7411</v>
      </c>
      <c r="N4" s="98">
        <v>7879</v>
      </c>
      <c r="O4" s="98">
        <v>7610</v>
      </c>
      <c r="P4" s="99">
        <v>8464</v>
      </c>
      <c r="Q4" s="98">
        <v>8233</v>
      </c>
      <c r="R4" s="98">
        <v>9843</v>
      </c>
      <c r="S4" s="98">
        <v>9651</v>
      </c>
      <c r="T4" s="99">
        <v>10558</v>
      </c>
      <c r="U4" s="98">
        <v>9785</v>
      </c>
      <c r="V4" s="98">
        <v>10626</v>
      </c>
      <c r="W4" s="98">
        <v>10158</v>
      </c>
      <c r="X4" s="99">
        <v>10280</v>
      </c>
      <c r="Y4" s="98">
        <v>9134</v>
      </c>
      <c r="Z4" s="98">
        <v>8458</v>
      </c>
      <c r="AA4" s="98">
        <v>8724</v>
      </c>
      <c r="AB4" s="99">
        <v>9806</v>
      </c>
      <c r="AC4" s="98">
        <v>8773</v>
      </c>
      <c r="AD4" s="98">
        <v>9733</v>
      </c>
      <c r="AE4" s="98">
        <v>9966</v>
      </c>
      <c r="AF4" s="99">
        <v>11173</v>
      </c>
      <c r="AG4" s="98">
        <v>11088</v>
      </c>
      <c r="AH4" s="98">
        <v>11868</v>
      </c>
      <c r="AI4" s="98">
        <v>12802</v>
      </c>
      <c r="AJ4" s="99">
        <v>13936</v>
      </c>
      <c r="AK4" s="98">
        <v>13868</v>
      </c>
      <c r="AL4" s="98">
        <v>15910</v>
      </c>
      <c r="AM4" s="98">
        <v>14997</v>
      </c>
      <c r="AN4" s="99">
        <v>15568</v>
      </c>
      <c r="AO4" s="98">
        <v>14143</v>
      </c>
      <c r="AP4" s="98">
        <v>16511</v>
      </c>
      <c r="AQ4" s="98">
        <v>15699</v>
      </c>
      <c r="AR4" s="99">
        <v>17251</v>
      </c>
      <c r="AS4" s="98">
        <v>15536</v>
      </c>
      <c r="AT4" s="98">
        <v>15130</v>
      </c>
      <c r="AU4" s="98">
        <v>15242</v>
      </c>
      <c r="AV4" s="100"/>
    </row>
    <row r="5" spans="1:48" ht="12.75" x14ac:dyDescent="0.2">
      <c r="A5" s="101" t="s">
        <v>271</v>
      </c>
      <c r="B5" s="98">
        <v>-18463</v>
      </c>
      <c r="C5" s="98">
        <v>-18003</v>
      </c>
      <c r="D5" s="98">
        <v>-20101</v>
      </c>
      <c r="E5" s="98">
        <v>-24317</v>
      </c>
      <c r="F5" s="98">
        <v>-25547</v>
      </c>
      <c r="G5" s="98">
        <v>-22418</v>
      </c>
      <c r="H5" s="98">
        <v>-24192</v>
      </c>
      <c r="I5" s="98">
        <v>-30675</v>
      </c>
      <c r="J5" s="98">
        <v>-37197</v>
      </c>
      <c r="K5" s="98">
        <v>-40658</v>
      </c>
      <c r="L5" s="90"/>
      <c r="M5" s="98">
        <v>-4674</v>
      </c>
      <c r="N5" s="98">
        <v>-4990</v>
      </c>
      <c r="O5" s="98">
        <v>-4874</v>
      </c>
      <c r="P5" s="99">
        <v>-5563</v>
      </c>
      <c r="Q5" s="98">
        <v>-5226</v>
      </c>
      <c r="R5" s="98">
        <v>-6275</v>
      </c>
      <c r="S5" s="98">
        <v>-6095</v>
      </c>
      <c r="T5" s="99">
        <v>-6721</v>
      </c>
      <c r="U5" s="98">
        <v>-6189</v>
      </c>
      <c r="V5" s="98">
        <v>-6550</v>
      </c>
      <c r="W5" s="98">
        <v>-6431</v>
      </c>
      <c r="X5" s="99">
        <v>-6377</v>
      </c>
      <c r="Y5" s="98">
        <v>-5571</v>
      </c>
      <c r="Z5" s="98">
        <v>-5309</v>
      </c>
      <c r="AA5" s="98">
        <v>-5469</v>
      </c>
      <c r="AB5" s="99">
        <v>-6069</v>
      </c>
      <c r="AC5" s="98">
        <v>-5433</v>
      </c>
      <c r="AD5" s="98">
        <v>-5898</v>
      </c>
      <c r="AE5" s="98">
        <v>-5999</v>
      </c>
      <c r="AF5" s="99">
        <v>-6862</v>
      </c>
      <c r="AG5" s="98">
        <v>-6831</v>
      </c>
      <c r="AH5" s="98">
        <v>-7813</v>
      </c>
      <c r="AI5" s="98">
        <v>-7889</v>
      </c>
      <c r="AJ5" s="99">
        <v>-8142</v>
      </c>
      <c r="AK5" s="98">
        <v>-8272</v>
      </c>
      <c r="AL5" s="98">
        <v>-9887</v>
      </c>
      <c r="AM5" s="98">
        <v>-9218</v>
      </c>
      <c r="AN5" s="99">
        <v>-9820</v>
      </c>
      <c r="AO5" s="98">
        <v>-8961</v>
      </c>
      <c r="AP5" s="98">
        <v>-10562</v>
      </c>
      <c r="AQ5" s="98">
        <v>-9874</v>
      </c>
      <c r="AR5" s="99">
        <v>-11261</v>
      </c>
      <c r="AS5" s="98">
        <v>-9396</v>
      </c>
      <c r="AT5" s="98">
        <v>-9459</v>
      </c>
      <c r="AU5" s="98">
        <v>-9908</v>
      </c>
      <c r="AV5" s="100"/>
    </row>
    <row r="6" spans="1:48" ht="12.75" x14ac:dyDescent="0.2">
      <c r="A6" s="102" t="s">
        <v>272</v>
      </c>
      <c r="B6" s="103">
        <v>10200</v>
      </c>
      <c r="C6" s="103">
        <v>9099</v>
      </c>
      <c r="D6" s="103">
        <v>11263</v>
      </c>
      <c r="E6" s="103">
        <v>13968</v>
      </c>
      <c r="F6" s="103">
        <v>15302</v>
      </c>
      <c r="G6" s="103">
        <v>13704</v>
      </c>
      <c r="H6" s="103">
        <v>15453</v>
      </c>
      <c r="I6" s="103">
        <v>19019</v>
      </c>
      <c r="J6" s="103">
        <v>23146</v>
      </c>
      <c r="K6" s="103">
        <v>22946</v>
      </c>
      <c r="L6" s="90"/>
      <c r="M6" s="103">
        <v>2737</v>
      </c>
      <c r="N6" s="103">
        <v>2889</v>
      </c>
      <c r="O6" s="103">
        <v>2736</v>
      </c>
      <c r="P6" s="104">
        <v>2901</v>
      </c>
      <c r="Q6" s="103">
        <v>3007</v>
      </c>
      <c r="R6" s="103">
        <v>3568</v>
      </c>
      <c r="S6" s="103">
        <v>3556</v>
      </c>
      <c r="T6" s="104">
        <v>3837</v>
      </c>
      <c r="U6" s="103">
        <v>3596</v>
      </c>
      <c r="V6" s="103">
        <v>4076</v>
      </c>
      <c r="W6" s="103">
        <v>3727</v>
      </c>
      <c r="X6" s="104">
        <v>3903</v>
      </c>
      <c r="Y6" s="103">
        <v>3563</v>
      </c>
      <c r="Z6" s="103">
        <v>3149</v>
      </c>
      <c r="AA6" s="103">
        <v>3255</v>
      </c>
      <c r="AB6" s="104">
        <v>3737</v>
      </c>
      <c r="AC6" s="103">
        <v>3340</v>
      </c>
      <c r="AD6" s="103">
        <v>3835</v>
      </c>
      <c r="AE6" s="103">
        <v>3967</v>
      </c>
      <c r="AF6" s="104">
        <v>4311</v>
      </c>
      <c r="AG6" s="103">
        <v>4257</v>
      </c>
      <c r="AH6" s="103">
        <v>4055</v>
      </c>
      <c r="AI6" s="103">
        <v>4913</v>
      </c>
      <c r="AJ6" s="104">
        <v>5794</v>
      </c>
      <c r="AK6" s="103">
        <v>5596</v>
      </c>
      <c r="AL6" s="103">
        <v>6023</v>
      </c>
      <c r="AM6" s="103">
        <v>5779</v>
      </c>
      <c r="AN6" s="104">
        <v>5748</v>
      </c>
      <c r="AO6" s="103">
        <v>5182</v>
      </c>
      <c r="AP6" s="103">
        <v>5949</v>
      </c>
      <c r="AQ6" s="103">
        <v>5825</v>
      </c>
      <c r="AR6" s="104">
        <v>5990</v>
      </c>
      <c r="AS6" s="103">
        <v>6140</v>
      </c>
      <c r="AT6" s="103">
        <v>5671</v>
      </c>
      <c r="AU6" s="103">
        <v>5334</v>
      </c>
      <c r="AV6" s="100"/>
    </row>
    <row r="7" spans="1:48" ht="12.75" x14ac:dyDescent="0.2">
      <c r="A7" s="105" t="s">
        <v>70</v>
      </c>
      <c r="B7" s="106">
        <v>0.35599999999999998</v>
      </c>
      <c r="C7" s="106">
        <v>0.33600000000000002</v>
      </c>
      <c r="D7" s="106">
        <v>0.35899999999999999</v>
      </c>
      <c r="E7" s="106">
        <v>0.36499999999999999</v>
      </c>
      <c r="F7" s="106">
        <v>0.375</v>
      </c>
      <c r="G7" s="106">
        <v>0.379</v>
      </c>
      <c r="H7" s="106">
        <v>0.39</v>
      </c>
      <c r="I7" s="106">
        <v>0.38300000000000001</v>
      </c>
      <c r="J7" s="106">
        <v>0.38400000000000001</v>
      </c>
      <c r="K7" s="106">
        <v>0.36099999999999999</v>
      </c>
      <c r="L7" s="107"/>
      <c r="M7" s="106">
        <v>0.36931588179732827</v>
      </c>
      <c r="N7" s="106">
        <v>0.3666708973219952</v>
      </c>
      <c r="O7" s="106">
        <v>0.35952693823915899</v>
      </c>
      <c r="P7" s="108">
        <v>0.34274574669187147</v>
      </c>
      <c r="Q7" s="106">
        <v>0.3652374590064375</v>
      </c>
      <c r="R7" s="106">
        <v>0.36249111043381083</v>
      </c>
      <c r="S7" s="106">
        <v>0.36845922702310641</v>
      </c>
      <c r="T7" s="108">
        <v>0.36342110248153059</v>
      </c>
      <c r="U7" s="106">
        <v>0.36750127746550842</v>
      </c>
      <c r="V7" s="106">
        <v>0.38358742706568794</v>
      </c>
      <c r="W7" s="106">
        <v>0.36690293364835597</v>
      </c>
      <c r="X7" s="108">
        <v>0.37966926070038909</v>
      </c>
      <c r="Y7" s="106">
        <v>0.39008101598423472</v>
      </c>
      <c r="Z7" s="106">
        <v>0.36931588179732827</v>
      </c>
      <c r="AA7" s="106">
        <v>0.37310866574965612</v>
      </c>
      <c r="AB7" s="108">
        <v>0.38109320823985315</v>
      </c>
      <c r="AC7" s="106">
        <v>0.38071355294654052</v>
      </c>
      <c r="AD7" s="106">
        <v>0.39402034316243706</v>
      </c>
      <c r="AE7" s="106">
        <v>0.39805338149709013</v>
      </c>
      <c r="AF7" s="108">
        <v>0.38600000000000001</v>
      </c>
      <c r="AG7" s="106">
        <v>0.38392857142857145</v>
      </c>
      <c r="AH7" s="106">
        <v>0.34167509268621504</v>
      </c>
      <c r="AI7" s="106">
        <v>0.38376816122480861</v>
      </c>
      <c r="AJ7" s="108">
        <v>0.41599999999999998</v>
      </c>
      <c r="AK7" s="106">
        <f>+AK6/AK4</f>
        <v>0.40351889241419092</v>
      </c>
      <c r="AL7" s="106">
        <f>+AL6/AL4</f>
        <v>0.37856693903205529</v>
      </c>
      <c r="AM7" s="106">
        <v>0.38534373541374944</v>
      </c>
      <c r="AN7" s="108">
        <v>0.36921891058581707</v>
      </c>
      <c r="AO7" s="106">
        <v>0.3664003393905112</v>
      </c>
      <c r="AP7" s="106">
        <v>0.36030525104475802</v>
      </c>
      <c r="AQ7" s="106">
        <v>0.37104274157589656</v>
      </c>
      <c r="AR7" s="108">
        <v>0.34722624775375338</v>
      </c>
      <c r="AS7" s="109" t="s">
        <v>273</v>
      </c>
      <c r="AT7" s="106">
        <v>0.37481824190350299</v>
      </c>
      <c r="AU7" s="106">
        <v>0.3499540742684687</v>
      </c>
      <c r="AV7" s="100"/>
    </row>
    <row r="8" spans="1:48" ht="12.75" x14ac:dyDescent="0.2">
      <c r="A8" s="101" t="s">
        <v>274</v>
      </c>
      <c r="B8" s="98">
        <v>-1848</v>
      </c>
      <c r="C8" s="98">
        <v>-1879</v>
      </c>
      <c r="D8" s="98">
        <v>-2121</v>
      </c>
      <c r="E8" s="98">
        <v>-2589</v>
      </c>
      <c r="F8" s="98">
        <v>-3261</v>
      </c>
      <c r="G8" s="98">
        <v>-2817</v>
      </c>
      <c r="H8" s="98">
        <v>-3166</v>
      </c>
      <c r="I8" s="98">
        <v>-3628</v>
      </c>
      <c r="J8" s="98">
        <v>-4105</v>
      </c>
      <c r="K8" s="98">
        <v>-4531</v>
      </c>
      <c r="L8" s="90"/>
      <c r="M8" s="98">
        <v>-533</v>
      </c>
      <c r="N8" s="98">
        <v>-550</v>
      </c>
      <c r="O8" s="98">
        <v>-469</v>
      </c>
      <c r="P8" s="99">
        <v>-569</v>
      </c>
      <c r="Q8" s="98">
        <v>-564</v>
      </c>
      <c r="R8" s="98">
        <v>-713</v>
      </c>
      <c r="S8" s="98">
        <v>-691</v>
      </c>
      <c r="T8" s="99">
        <v>-621</v>
      </c>
      <c r="U8" s="98">
        <v>-784</v>
      </c>
      <c r="V8" s="98">
        <v>-803</v>
      </c>
      <c r="W8" s="98">
        <v>-826</v>
      </c>
      <c r="X8" s="99">
        <v>-848</v>
      </c>
      <c r="Y8" s="98">
        <v>-667</v>
      </c>
      <c r="Z8" s="98">
        <v>-795</v>
      </c>
      <c r="AA8" s="98">
        <v>-668</v>
      </c>
      <c r="AB8" s="99">
        <v>-687</v>
      </c>
      <c r="AC8" s="98">
        <v>-819</v>
      </c>
      <c r="AD8" s="98">
        <v>-732</v>
      </c>
      <c r="AE8" s="98">
        <v>-692</v>
      </c>
      <c r="AF8" s="99">
        <v>-923</v>
      </c>
      <c r="AG8" s="98">
        <v>-721</v>
      </c>
      <c r="AH8" s="98">
        <v>-818</v>
      </c>
      <c r="AI8" s="98">
        <v>-903</v>
      </c>
      <c r="AJ8" s="99">
        <v>-1186</v>
      </c>
      <c r="AK8" s="98">
        <v>-969</v>
      </c>
      <c r="AL8" s="98">
        <v>-1071</v>
      </c>
      <c r="AM8" s="98">
        <v>-974</v>
      </c>
      <c r="AN8" s="99">
        <v>-1091</v>
      </c>
      <c r="AO8" s="98">
        <v>-1124</v>
      </c>
      <c r="AP8" s="98">
        <v>-1237</v>
      </c>
      <c r="AQ8" s="98">
        <v>-1069</v>
      </c>
      <c r="AR8" s="99">
        <v>-1101</v>
      </c>
      <c r="AS8" s="98">
        <v>-1200</v>
      </c>
      <c r="AT8" s="98">
        <v>-1093</v>
      </c>
      <c r="AU8" s="98">
        <v>-1062</v>
      </c>
      <c r="AV8" s="100"/>
    </row>
    <row r="9" spans="1:48" ht="12.75" x14ac:dyDescent="0.2">
      <c r="A9" s="101" t="s">
        <v>275</v>
      </c>
      <c r="B9" s="98">
        <v>-2346</v>
      </c>
      <c r="C9" s="98">
        <v>-2164</v>
      </c>
      <c r="D9" s="98">
        <v>-2280</v>
      </c>
      <c r="E9" s="98">
        <v>-2574</v>
      </c>
      <c r="F9" s="98">
        <v>-2797</v>
      </c>
      <c r="G9" s="98">
        <v>-2225</v>
      </c>
      <c r="H9" s="98">
        <v>-2313</v>
      </c>
      <c r="I9" s="98">
        <v>-3042</v>
      </c>
      <c r="J9" s="98">
        <v>-3959</v>
      </c>
      <c r="K9" s="98">
        <v>-4250</v>
      </c>
      <c r="L9" s="90"/>
      <c r="M9" s="98">
        <v>-561</v>
      </c>
      <c r="N9" s="98">
        <v>-596</v>
      </c>
      <c r="O9" s="98">
        <v>-526</v>
      </c>
      <c r="P9" s="99">
        <v>-597</v>
      </c>
      <c r="Q9" s="98">
        <v>-600</v>
      </c>
      <c r="R9" s="98">
        <v>-676</v>
      </c>
      <c r="S9" s="98">
        <v>-630</v>
      </c>
      <c r="T9" s="99">
        <v>-668</v>
      </c>
      <c r="U9" s="98">
        <v>-663</v>
      </c>
      <c r="V9" s="98">
        <v>-710</v>
      </c>
      <c r="W9" s="98">
        <v>-734</v>
      </c>
      <c r="X9" s="99">
        <v>-690</v>
      </c>
      <c r="Y9" s="98">
        <v>-664</v>
      </c>
      <c r="Z9" s="98">
        <v>-543</v>
      </c>
      <c r="AA9" s="98">
        <v>-501</v>
      </c>
      <c r="AB9" s="99">
        <v>-517</v>
      </c>
      <c r="AC9" s="98">
        <v>-528</v>
      </c>
      <c r="AD9" s="98">
        <v>-570</v>
      </c>
      <c r="AE9" s="98">
        <v>-582</v>
      </c>
      <c r="AF9" s="99">
        <v>-633</v>
      </c>
      <c r="AG9" s="98">
        <v>-641</v>
      </c>
      <c r="AH9" s="98">
        <v>-767</v>
      </c>
      <c r="AI9" s="98">
        <v>-782</v>
      </c>
      <c r="AJ9" s="99">
        <v>-852</v>
      </c>
      <c r="AK9" s="98">
        <v>-926</v>
      </c>
      <c r="AL9" s="98">
        <v>-1012</v>
      </c>
      <c r="AM9" s="98">
        <v>-1001</v>
      </c>
      <c r="AN9" s="99">
        <v>-1020</v>
      </c>
      <c r="AO9" s="98">
        <v>-953</v>
      </c>
      <c r="AP9" s="98">
        <v>-1131</v>
      </c>
      <c r="AQ9" s="98">
        <v>-1075</v>
      </c>
      <c r="AR9" s="99">
        <v>-1091</v>
      </c>
      <c r="AS9" s="98">
        <v>-1025</v>
      </c>
      <c r="AT9" s="98">
        <v>-1009</v>
      </c>
      <c r="AU9" s="98">
        <v>-1010</v>
      </c>
      <c r="AV9" s="100"/>
    </row>
    <row r="10" spans="1:48" ht="12.75" x14ac:dyDescent="0.2">
      <c r="A10" s="101" t="s">
        <v>276</v>
      </c>
      <c r="B10" s="98">
        <v>-861</v>
      </c>
      <c r="C10" s="98">
        <v>-662</v>
      </c>
      <c r="D10" s="98">
        <v>-795</v>
      </c>
      <c r="E10" s="98">
        <v>-977</v>
      </c>
      <c r="F10" s="98">
        <v>-1035</v>
      </c>
      <c r="G10" s="98">
        <v>-1032</v>
      </c>
      <c r="H10" s="98">
        <v>-1172</v>
      </c>
      <c r="I10" s="98">
        <v>-1438</v>
      </c>
      <c r="J10" s="98">
        <v>-1930</v>
      </c>
      <c r="K10" s="98">
        <v>-2282</v>
      </c>
      <c r="L10" s="90"/>
      <c r="M10" s="98">
        <v>-190</v>
      </c>
      <c r="N10" s="98">
        <v>-184</v>
      </c>
      <c r="O10" s="98">
        <v>-189</v>
      </c>
      <c r="P10" s="99">
        <v>-232</v>
      </c>
      <c r="Q10" s="98">
        <v>-222</v>
      </c>
      <c r="R10" s="98">
        <v>-257</v>
      </c>
      <c r="S10" s="98">
        <v>-217</v>
      </c>
      <c r="T10" s="99">
        <v>-281</v>
      </c>
      <c r="U10" s="98">
        <v>-275</v>
      </c>
      <c r="V10" s="98">
        <v>-271</v>
      </c>
      <c r="W10" s="98">
        <v>-227</v>
      </c>
      <c r="X10" s="99">
        <v>-262</v>
      </c>
      <c r="Y10" s="98">
        <v>-271</v>
      </c>
      <c r="Z10" s="98">
        <v>-287</v>
      </c>
      <c r="AA10" s="98">
        <v>-231</v>
      </c>
      <c r="AB10" s="99">
        <v>-243</v>
      </c>
      <c r="AC10" s="98">
        <v>-229</v>
      </c>
      <c r="AD10" s="98">
        <v>-283</v>
      </c>
      <c r="AE10" s="98">
        <v>-300</v>
      </c>
      <c r="AF10" s="99">
        <v>-360</v>
      </c>
      <c r="AG10" s="98">
        <v>-319</v>
      </c>
      <c r="AH10" s="98">
        <v>-363</v>
      </c>
      <c r="AI10" s="98">
        <v>-360</v>
      </c>
      <c r="AJ10" s="99">
        <v>-396</v>
      </c>
      <c r="AK10" s="98">
        <v>-452</v>
      </c>
      <c r="AL10" s="98">
        <v>-497</v>
      </c>
      <c r="AM10" s="98">
        <v>-517</v>
      </c>
      <c r="AN10" s="99">
        <v>-464</v>
      </c>
      <c r="AO10" s="98">
        <v>-461</v>
      </c>
      <c r="AP10" s="98">
        <v>-537</v>
      </c>
      <c r="AQ10" s="98">
        <v>-771</v>
      </c>
      <c r="AR10" s="99">
        <v>-513</v>
      </c>
      <c r="AS10" s="98">
        <v>-500</v>
      </c>
      <c r="AT10" s="98">
        <v>-505</v>
      </c>
      <c r="AU10" s="98">
        <v>-407</v>
      </c>
      <c r="AV10" s="100"/>
    </row>
    <row r="11" spans="1:48" ht="12.75" x14ac:dyDescent="0.2">
      <c r="A11" s="101" t="s">
        <v>277</v>
      </c>
      <c r="B11" s="98">
        <v>28</v>
      </c>
      <c r="C11" s="98">
        <v>154</v>
      </c>
      <c r="D11" s="98">
        <v>-136</v>
      </c>
      <c r="E11" s="98">
        <v>-435</v>
      </c>
      <c r="F11" s="98">
        <v>-61</v>
      </c>
      <c r="G11" s="98">
        <v>-250</v>
      </c>
      <c r="H11" s="98">
        <v>222</v>
      </c>
      <c r="I11" s="98">
        <v>273</v>
      </c>
      <c r="J11" s="98">
        <v>46</v>
      </c>
      <c r="K11" s="98">
        <v>522</v>
      </c>
      <c r="L11" s="90"/>
      <c r="M11" s="98">
        <v>-40</v>
      </c>
      <c r="N11" s="98">
        <v>-91</v>
      </c>
      <c r="O11" s="98">
        <v>-32</v>
      </c>
      <c r="P11" s="99">
        <v>25</v>
      </c>
      <c r="Q11" s="98">
        <v>-106</v>
      </c>
      <c r="R11" s="98">
        <v>-109</v>
      </c>
      <c r="S11" s="98">
        <v>-124</v>
      </c>
      <c r="T11" s="99">
        <v>-96</v>
      </c>
      <c r="U11" s="98">
        <v>58</v>
      </c>
      <c r="V11" s="98">
        <v>-22</v>
      </c>
      <c r="W11" s="98">
        <v>-11</v>
      </c>
      <c r="X11" s="99">
        <v>-86</v>
      </c>
      <c r="Y11" s="98">
        <v>-26</v>
      </c>
      <c r="Z11" s="98">
        <v>-106</v>
      </c>
      <c r="AA11" s="98">
        <v>-33</v>
      </c>
      <c r="AB11" s="99">
        <v>-85</v>
      </c>
      <c r="AC11" s="98">
        <v>107</v>
      </c>
      <c r="AD11" s="98">
        <v>-61</v>
      </c>
      <c r="AE11" s="98">
        <v>-38</v>
      </c>
      <c r="AF11" s="99">
        <v>214</v>
      </c>
      <c r="AG11" s="98">
        <v>62</v>
      </c>
      <c r="AH11" s="98">
        <v>288</v>
      </c>
      <c r="AI11" s="98">
        <v>45</v>
      </c>
      <c r="AJ11" s="99">
        <v>-122</v>
      </c>
      <c r="AK11" s="98">
        <v>-85</v>
      </c>
      <c r="AL11" s="98">
        <v>-30</v>
      </c>
      <c r="AM11" s="98">
        <v>-21</v>
      </c>
      <c r="AN11" s="99">
        <v>182</v>
      </c>
      <c r="AO11" s="98">
        <v>130</v>
      </c>
      <c r="AP11" s="98">
        <v>-113</v>
      </c>
      <c r="AQ11" s="98">
        <v>367</v>
      </c>
      <c r="AR11" s="99">
        <v>138</v>
      </c>
      <c r="AS11" s="98">
        <v>-327</v>
      </c>
      <c r="AT11" s="98">
        <v>-233</v>
      </c>
      <c r="AU11" s="98">
        <v>-53</v>
      </c>
      <c r="AV11" s="100"/>
    </row>
    <row r="12" spans="1:48" ht="12.75" x14ac:dyDescent="0.2">
      <c r="A12" s="101" t="s">
        <v>278</v>
      </c>
      <c r="B12" s="98">
        <v>2</v>
      </c>
      <c r="C12" s="98">
        <v>0</v>
      </c>
      <c r="D12" s="98">
        <v>-1</v>
      </c>
      <c r="E12" s="98">
        <v>-8</v>
      </c>
      <c r="F12" s="98">
        <v>-12</v>
      </c>
      <c r="G12" s="98">
        <v>2</v>
      </c>
      <c r="H12" s="98">
        <v>-29</v>
      </c>
      <c r="I12" s="98">
        <v>-37</v>
      </c>
      <c r="J12" s="98">
        <v>-15</v>
      </c>
      <c r="K12" s="98">
        <v>-20</v>
      </c>
      <c r="L12" s="90"/>
      <c r="M12" s="98">
        <v>1</v>
      </c>
      <c r="N12" s="98">
        <v>0</v>
      </c>
      <c r="O12" s="98">
        <v>0</v>
      </c>
      <c r="P12" s="99"/>
      <c r="Q12" s="98">
        <v>0</v>
      </c>
      <c r="R12" s="98">
        <v>-3</v>
      </c>
      <c r="S12" s="98">
        <v>3.5494597235000001</v>
      </c>
      <c r="T12" s="99">
        <v>-9</v>
      </c>
      <c r="U12" s="98">
        <v>-2</v>
      </c>
      <c r="V12" s="98">
        <v>-7</v>
      </c>
      <c r="W12" s="98">
        <v>-2</v>
      </c>
      <c r="X12" s="99">
        <v>-1</v>
      </c>
      <c r="Y12" s="98">
        <v>-3</v>
      </c>
      <c r="Z12" s="110">
        <v>0</v>
      </c>
      <c r="AA12" s="98">
        <v>-2</v>
      </c>
      <c r="AB12" s="99">
        <v>7</v>
      </c>
      <c r="AC12" s="98">
        <v>-4</v>
      </c>
      <c r="AD12" s="110">
        <v>-7</v>
      </c>
      <c r="AE12" s="110">
        <v>-3</v>
      </c>
      <c r="AF12" s="99">
        <v>-15</v>
      </c>
      <c r="AG12" s="98">
        <v>-7</v>
      </c>
      <c r="AH12" s="110">
        <v>-14</v>
      </c>
      <c r="AI12" s="110">
        <v>-13</v>
      </c>
      <c r="AJ12" s="99">
        <v>-3</v>
      </c>
      <c r="AK12" s="98">
        <v>-3</v>
      </c>
      <c r="AL12" s="110">
        <v>0</v>
      </c>
      <c r="AM12" s="110">
        <v>-6</v>
      </c>
      <c r="AN12" s="99">
        <v>-6</v>
      </c>
      <c r="AO12" s="98">
        <v>-14</v>
      </c>
      <c r="AP12" s="110">
        <v>-10</v>
      </c>
      <c r="AQ12" s="110">
        <v>0</v>
      </c>
      <c r="AR12" s="99">
        <v>4</v>
      </c>
      <c r="AS12" s="98">
        <v>0</v>
      </c>
      <c r="AT12" s="110">
        <v>0</v>
      </c>
      <c r="AU12" s="110">
        <v>0</v>
      </c>
      <c r="AV12" s="100"/>
    </row>
    <row r="13" spans="1:48" ht="12.75" x14ac:dyDescent="0.2">
      <c r="A13" s="102" t="s">
        <v>192</v>
      </c>
      <c r="B13" s="111">
        <v>5175</v>
      </c>
      <c r="C13" s="111">
        <v>4548</v>
      </c>
      <c r="D13" s="111">
        <v>5930</v>
      </c>
      <c r="E13" s="111">
        <v>7385</v>
      </c>
      <c r="F13" s="111">
        <v>8136</v>
      </c>
      <c r="G13" s="111">
        <v>7382</v>
      </c>
      <c r="H13" s="111">
        <v>8995</v>
      </c>
      <c r="I13" s="111">
        <v>11147</v>
      </c>
      <c r="J13" s="111">
        <v>13183</v>
      </c>
      <c r="K13" s="111">
        <v>12385</v>
      </c>
      <c r="L13" s="90"/>
      <c r="M13" s="111">
        <v>1414</v>
      </c>
      <c r="N13" s="111">
        <v>1468</v>
      </c>
      <c r="O13" s="111">
        <v>1520</v>
      </c>
      <c r="P13" s="112">
        <v>1528</v>
      </c>
      <c r="Q13" s="111">
        <v>1515</v>
      </c>
      <c r="R13" s="111">
        <v>1810</v>
      </c>
      <c r="S13" s="111">
        <v>1898</v>
      </c>
      <c r="T13" s="112">
        <v>2162</v>
      </c>
      <c r="U13" s="111">
        <v>1930</v>
      </c>
      <c r="V13" s="111">
        <v>2263</v>
      </c>
      <c r="W13" s="111">
        <v>1927</v>
      </c>
      <c r="X13" s="112">
        <v>2016</v>
      </c>
      <c r="Y13" s="111">
        <v>1932</v>
      </c>
      <c r="Z13" s="111">
        <v>1418</v>
      </c>
      <c r="AA13" s="111">
        <v>1820</v>
      </c>
      <c r="AB13" s="112">
        <v>2212</v>
      </c>
      <c r="AC13" s="111">
        <v>1867</v>
      </c>
      <c r="AD13" s="111">
        <v>2182</v>
      </c>
      <c r="AE13" s="111">
        <v>2352</v>
      </c>
      <c r="AF13" s="112">
        <v>2594</v>
      </c>
      <c r="AG13" s="111">
        <v>2631</v>
      </c>
      <c r="AH13" s="111">
        <v>2381</v>
      </c>
      <c r="AI13" s="111">
        <v>2900</v>
      </c>
      <c r="AJ13" s="112">
        <v>3235</v>
      </c>
      <c r="AK13" s="111">
        <v>3161</v>
      </c>
      <c r="AL13" s="111">
        <v>3413</v>
      </c>
      <c r="AM13" s="111">
        <v>3260</v>
      </c>
      <c r="AN13" s="112">
        <v>3349</v>
      </c>
      <c r="AO13" s="111">
        <v>2760</v>
      </c>
      <c r="AP13" s="111">
        <v>2921</v>
      </c>
      <c r="AQ13" s="111">
        <v>3277</v>
      </c>
      <c r="AR13" s="112">
        <v>3427</v>
      </c>
      <c r="AS13" s="111">
        <v>3088</v>
      </c>
      <c r="AT13" s="111">
        <v>2831</v>
      </c>
      <c r="AU13" s="111">
        <v>2802</v>
      </c>
      <c r="AV13" s="100"/>
    </row>
    <row r="14" spans="1:48" ht="12.75" x14ac:dyDescent="0.2">
      <c r="A14" s="105" t="s">
        <v>279</v>
      </c>
      <c r="B14" s="106">
        <v>0.18054634895161009</v>
      </c>
      <c r="C14" s="106">
        <v>0.16781049369050255</v>
      </c>
      <c r="D14" s="106">
        <v>0.18907027164902435</v>
      </c>
      <c r="E14" s="106">
        <v>0.19289538983936266</v>
      </c>
      <c r="F14" s="106">
        <v>0.19917256236382774</v>
      </c>
      <c r="G14" s="106">
        <v>0.20399999999999999</v>
      </c>
      <c r="H14" s="106">
        <v>0.22700000000000001</v>
      </c>
      <c r="I14" s="106">
        <v>0.224</v>
      </c>
      <c r="J14" s="106">
        <v>0.218</v>
      </c>
      <c r="K14" s="106">
        <v>0.19500000000000001</v>
      </c>
      <c r="L14" s="107"/>
      <c r="M14" s="106">
        <v>0.19079746323033328</v>
      </c>
      <c r="N14" s="106">
        <v>0.1863180606675974</v>
      </c>
      <c r="O14" s="106">
        <v>0.19973718791064388</v>
      </c>
      <c r="P14" s="108">
        <v>0.18052930056710775</v>
      </c>
      <c r="Q14" s="106">
        <v>0.18401554718814528</v>
      </c>
      <c r="R14" s="106">
        <v>0.18388702631311593</v>
      </c>
      <c r="S14" s="106">
        <v>0.19666355818049944</v>
      </c>
      <c r="T14" s="108">
        <v>0.20477363136957757</v>
      </c>
      <c r="U14" s="106">
        <v>0.19724067450178845</v>
      </c>
      <c r="V14" s="106">
        <v>0.2129681912290608</v>
      </c>
      <c r="W14" s="106">
        <v>0.1897026973813743</v>
      </c>
      <c r="X14" s="108">
        <v>0.19610894941634241</v>
      </c>
      <c r="Y14" s="106">
        <v>0.21199999999999999</v>
      </c>
      <c r="Z14" s="106">
        <v>0.167651927169544</v>
      </c>
      <c r="AA14" s="106">
        <v>0.20899999999999999</v>
      </c>
      <c r="AB14" s="108">
        <v>0.22600000000000001</v>
      </c>
      <c r="AC14" s="106">
        <v>0.21299999999999999</v>
      </c>
      <c r="AD14" s="106">
        <v>0.224</v>
      </c>
      <c r="AE14" s="106">
        <v>0.23599999999999999</v>
      </c>
      <c r="AF14" s="108">
        <v>0.23216683075270741</v>
      </c>
      <c r="AG14" s="106">
        <v>0.23699999999999999</v>
      </c>
      <c r="AH14" s="106">
        <v>0.20062352544657905</v>
      </c>
      <c r="AI14" s="106">
        <v>0.22652710513982191</v>
      </c>
      <c r="AJ14" s="108">
        <v>0.23213260619977039</v>
      </c>
      <c r="AK14" s="106">
        <v>0.22793481396019613</v>
      </c>
      <c r="AL14" s="106">
        <v>0.215</v>
      </c>
      <c r="AM14" s="106">
        <v>0.21737680869507234</v>
      </c>
      <c r="AN14" s="108">
        <v>0.21512076053442961</v>
      </c>
      <c r="AO14" s="106">
        <v>0.19514954394400055</v>
      </c>
      <c r="AP14" s="106">
        <v>0.17691236145599903</v>
      </c>
      <c r="AQ14" s="106">
        <v>0.20873941015351297</v>
      </c>
      <c r="AR14" s="108">
        <v>0.19865515042606224</v>
      </c>
      <c r="AS14" s="109" t="s">
        <v>280</v>
      </c>
      <c r="AT14" s="106">
        <v>0.18711169861202909</v>
      </c>
      <c r="AU14" s="106">
        <v>0.18383414250098412</v>
      </c>
      <c r="AV14" s="100"/>
    </row>
    <row r="15" spans="1:48" ht="12.75" x14ac:dyDescent="0.2">
      <c r="A15" s="101" t="s">
        <v>281</v>
      </c>
      <c r="B15" s="98">
        <v>176</v>
      </c>
      <c r="C15" s="98">
        <v>214</v>
      </c>
      <c r="D15" s="98">
        <v>201</v>
      </c>
      <c r="E15" s="98">
        <v>175</v>
      </c>
      <c r="F15" s="98">
        <v>180</v>
      </c>
      <c r="G15" s="98">
        <v>144</v>
      </c>
      <c r="H15" s="98">
        <v>166</v>
      </c>
      <c r="I15" s="98">
        <v>238</v>
      </c>
      <c r="J15" s="98">
        <v>349</v>
      </c>
      <c r="K15" s="98">
        <v>470</v>
      </c>
      <c r="L15" s="107"/>
      <c r="M15" s="98">
        <v>53</v>
      </c>
      <c r="N15" s="98">
        <v>48</v>
      </c>
      <c r="O15" s="98">
        <v>43</v>
      </c>
      <c r="P15" s="99">
        <v>57</v>
      </c>
      <c r="Q15" s="98">
        <v>51</v>
      </c>
      <c r="R15" s="98">
        <v>43</v>
      </c>
      <c r="S15" s="98">
        <v>38</v>
      </c>
      <c r="T15" s="99">
        <v>43</v>
      </c>
      <c r="U15" s="98">
        <v>48</v>
      </c>
      <c r="V15" s="98">
        <v>40</v>
      </c>
      <c r="W15" s="98">
        <v>43</v>
      </c>
      <c r="X15" s="99">
        <v>48</v>
      </c>
      <c r="Y15" s="98">
        <v>47</v>
      </c>
      <c r="Z15" s="98">
        <v>39</v>
      </c>
      <c r="AA15" s="98">
        <v>30</v>
      </c>
      <c r="AB15" s="99">
        <v>28</v>
      </c>
      <c r="AC15" s="98">
        <v>29</v>
      </c>
      <c r="AD15" s="98">
        <v>27</v>
      </c>
      <c r="AE15" s="98">
        <v>27</v>
      </c>
      <c r="AF15" s="99">
        <v>83</v>
      </c>
      <c r="AG15" s="98">
        <v>33.383570076600002</v>
      </c>
      <c r="AH15" s="98">
        <v>44</v>
      </c>
      <c r="AI15" s="98">
        <v>79.197162284400008</v>
      </c>
      <c r="AJ15" s="99">
        <v>81.465854339799989</v>
      </c>
      <c r="AK15" s="98">
        <v>66.684681879500005</v>
      </c>
      <c r="AL15" s="98">
        <v>72</v>
      </c>
      <c r="AM15" s="98">
        <v>85.851937377200016</v>
      </c>
      <c r="AN15" s="99">
        <v>124.39643199120002</v>
      </c>
      <c r="AO15" s="98">
        <v>142</v>
      </c>
      <c r="AP15" s="98">
        <f>255-142+1</f>
        <v>114</v>
      </c>
      <c r="AQ15" s="98">
        <v>103</v>
      </c>
      <c r="AR15" s="99">
        <v>111</v>
      </c>
      <c r="AS15" s="98">
        <v>112</v>
      </c>
      <c r="AT15" s="98">
        <v>84</v>
      </c>
      <c r="AU15" s="98">
        <v>106.24769615229997</v>
      </c>
      <c r="AV15" s="100"/>
    </row>
    <row r="16" spans="1:48" ht="12.75" x14ac:dyDescent="0.2">
      <c r="A16" s="101" t="s">
        <v>282</v>
      </c>
      <c r="B16" s="98">
        <v>-396</v>
      </c>
      <c r="C16" s="98">
        <v>-351</v>
      </c>
      <c r="D16" s="98">
        <v>-338</v>
      </c>
      <c r="E16" s="98">
        <v>-359</v>
      </c>
      <c r="F16" s="98">
        <v>-473</v>
      </c>
      <c r="G16" s="98">
        <v>-439</v>
      </c>
      <c r="H16" s="98">
        <v>-197</v>
      </c>
      <c r="I16" s="98">
        <v>-607</v>
      </c>
      <c r="J16" s="98">
        <v>-1297</v>
      </c>
      <c r="K16" s="98">
        <v>-1416</v>
      </c>
      <c r="L16" s="107"/>
      <c r="M16" s="98">
        <v>-76</v>
      </c>
      <c r="N16" s="98">
        <v>-58</v>
      </c>
      <c r="O16" s="98">
        <v>-62</v>
      </c>
      <c r="P16" s="99">
        <v>-142</v>
      </c>
      <c r="Q16" s="98">
        <v>-108</v>
      </c>
      <c r="R16" s="98">
        <v>-87</v>
      </c>
      <c r="S16" s="98">
        <v>-74.982705969999984</v>
      </c>
      <c r="T16" s="99">
        <v>-89.017294030000016</v>
      </c>
      <c r="U16" s="98">
        <v>-148</v>
      </c>
      <c r="V16" s="98">
        <v>-78</v>
      </c>
      <c r="W16" s="98">
        <v>-104</v>
      </c>
      <c r="X16" s="99">
        <v>-142</v>
      </c>
      <c r="Y16" s="98">
        <v>-93</v>
      </c>
      <c r="Z16" s="98">
        <v>-90</v>
      </c>
      <c r="AA16" s="98">
        <v>-106</v>
      </c>
      <c r="AB16" s="99">
        <v>-150</v>
      </c>
      <c r="AC16" s="98">
        <v>-62</v>
      </c>
      <c r="AD16" s="98">
        <v>-71</v>
      </c>
      <c r="AE16" s="98">
        <v>46</v>
      </c>
      <c r="AF16" s="99">
        <v>-110</v>
      </c>
      <c r="AG16" s="98">
        <v>-100</v>
      </c>
      <c r="AH16" s="98">
        <v>-133</v>
      </c>
      <c r="AI16" s="98">
        <v>-103</v>
      </c>
      <c r="AJ16" s="99">
        <v>-271</v>
      </c>
      <c r="AK16" s="98">
        <v>-263.66064015979998</v>
      </c>
      <c r="AL16" s="98">
        <v>-57</v>
      </c>
      <c r="AM16" s="98">
        <v>-417.20796022990004</v>
      </c>
      <c r="AN16" s="99">
        <v>-558.6823789140002</v>
      </c>
      <c r="AO16" s="98">
        <v>-258</v>
      </c>
      <c r="AP16" s="98">
        <f>-639+258+2</f>
        <v>-379</v>
      </c>
      <c r="AQ16" s="98">
        <v>-367</v>
      </c>
      <c r="AR16" s="99">
        <v>-412</v>
      </c>
      <c r="AS16" s="98">
        <v>-319</v>
      </c>
      <c r="AT16" s="98">
        <v>-215</v>
      </c>
      <c r="AU16" s="98">
        <v>-341.80975721640027</v>
      </c>
      <c r="AV16" s="100"/>
    </row>
    <row r="17" spans="1:48" ht="12.75" x14ac:dyDescent="0.2">
      <c r="A17" s="102" t="s">
        <v>283</v>
      </c>
      <c r="B17" s="103">
        <v>-220</v>
      </c>
      <c r="C17" s="103">
        <v>-137</v>
      </c>
      <c r="D17" s="103">
        <v>-137</v>
      </c>
      <c r="E17" s="103">
        <v>-184</v>
      </c>
      <c r="F17" s="103">
        <v>-293</v>
      </c>
      <c r="G17" s="103">
        <v>-295</v>
      </c>
      <c r="H17" s="103">
        <v>-31</v>
      </c>
      <c r="I17" s="103">
        <v>-369</v>
      </c>
      <c r="J17" s="103">
        <v>-948</v>
      </c>
      <c r="K17" s="103">
        <v>-946</v>
      </c>
      <c r="L17" s="90"/>
      <c r="M17" s="103">
        <v>-23</v>
      </c>
      <c r="N17" s="103">
        <v>-10</v>
      </c>
      <c r="O17" s="103">
        <v>-19</v>
      </c>
      <c r="P17" s="104">
        <v>-85</v>
      </c>
      <c r="Q17" s="103">
        <v>-57</v>
      </c>
      <c r="R17" s="103">
        <v>-44</v>
      </c>
      <c r="S17" s="103">
        <v>-36.982705969999984</v>
      </c>
      <c r="T17" s="104">
        <v>-46.017294030000016</v>
      </c>
      <c r="U17" s="103">
        <v>-100</v>
      </c>
      <c r="V17" s="103">
        <v>-38</v>
      </c>
      <c r="W17" s="103">
        <v>-61</v>
      </c>
      <c r="X17" s="104">
        <v>-94</v>
      </c>
      <c r="Y17" s="103">
        <v>-46</v>
      </c>
      <c r="Z17" s="103">
        <v>-51</v>
      </c>
      <c r="AA17" s="103">
        <v>-76</v>
      </c>
      <c r="AB17" s="104">
        <v>-122</v>
      </c>
      <c r="AC17" s="103">
        <v>-33</v>
      </c>
      <c r="AD17" s="103">
        <v>-44</v>
      </c>
      <c r="AE17" s="103">
        <v>73</v>
      </c>
      <c r="AF17" s="104">
        <v>-27</v>
      </c>
      <c r="AG17" s="103">
        <v>-67</v>
      </c>
      <c r="AH17" s="103">
        <v>-89</v>
      </c>
      <c r="AI17" s="103">
        <v>-24</v>
      </c>
      <c r="AJ17" s="104">
        <v>-189</v>
      </c>
      <c r="AK17" s="103">
        <v>-197</v>
      </c>
      <c r="AL17" s="103">
        <v>15</v>
      </c>
      <c r="AM17" s="103">
        <v>-331</v>
      </c>
      <c r="AN17" s="104">
        <v>-435</v>
      </c>
      <c r="AO17" s="103">
        <v>-116</v>
      </c>
      <c r="AP17" s="103">
        <v>-265</v>
      </c>
      <c r="AQ17" s="103">
        <v>-264</v>
      </c>
      <c r="AR17" s="104">
        <v>-301</v>
      </c>
      <c r="AS17" s="103">
        <v>-207</v>
      </c>
      <c r="AT17" s="103">
        <v>-131</v>
      </c>
      <c r="AU17" s="103">
        <v>-236</v>
      </c>
      <c r="AV17" s="100"/>
    </row>
    <row r="18" spans="1:48" ht="12.75" x14ac:dyDescent="0.2">
      <c r="A18" s="105" t="s">
        <v>284</v>
      </c>
      <c r="B18" s="113"/>
      <c r="C18" s="114"/>
      <c r="D18" s="114">
        <v>-132</v>
      </c>
      <c r="E18" s="114">
        <v>-137</v>
      </c>
      <c r="F18" s="114">
        <v>-185</v>
      </c>
      <c r="G18" s="114">
        <v>-117</v>
      </c>
      <c r="H18" s="114">
        <v>-88</v>
      </c>
      <c r="I18" s="114">
        <v>-129</v>
      </c>
      <c r="J18" s="114">
        <v>-476</v>
      </c>
      <c r="K18" s="114">
        <v>-857</v>
      </c>
      <c r="L18" s="107"/>
      <c r="M18" s="114">
        <v>-4</v>
      </c>
      <c r="N18" s="114">
        <v>-6</v>
      </c>
      <c r="O18" s="114">
        <v>-13</v>
      </c>
      <c r="P18" s="115">
        <v>-109</v>
      </c>
      <c r="Q18" s="114">
        <v>-28</v>
      </c>
      <c r="R18" s="114">
        <v>-38</v>
      </c>
      <c r="S18" s="114">
        <v>-33.982705970000012</v>
      </c>
      <c r="T18" s="115">
        <v>-37.017294029999988</v>
      </c>
      <c r="U18" s="114">
        <v>-39</v>
      </c>
      <c r="V18" s="114">
        <v>-57</v>
      </c>
      <c r="W18" s="114">
        <v>-54</v>
      </c>
      <c r="X18" s="115">
        <v>-35</v>
      </c>
      <c r="Y18" s="114">
        <v>-33</v>
      </c>
      <c r="Z18" s="114">
        <v>-19</v>
      </c>
      <c r="AA18" s="114">
        <v>-36</v>
      </c>
      <c r="AB18" s="115">
        <v>-30</v>
      </c>
      <c r="AC18" s="114">
        <v>-20</v>
      </c>
      <c r="AD18" s="114">
        <v>-19</v>
      </c>
      <c r="AE18" s="114">
        <v>-24</v>
      </c>
      <c r="AF18" s="115">
        <v>-25</v>
      </c>
      <c r="AG18" s="114">
        <v>-16</v>
      </c>
      <c r="AH18" s="114">
        <v>-23</v>
      </c>
      <c r="AI18" s="114">
        <v>-23</v>
      </c>
      <c r="AJ18" s="115">
        <v>-67</v>
      </c>
      <c r="AK18" s="114">
        <v>-89</v>
      </c>
      <c r="AL18" s="114">
        <v>-131</v>
      </c>
      <c r="AM18" s="114">
        <v>-146</v>
      </c>
      <c r="AN18" s="115">
        <v>-110</v>
      </c>
      <c r="AO18" s="114">
        <v>-128</v>
      </c>
      <c r="AP18" s="114">
        <v>-231</v>
      </c>
      <c r="AQ18" s="114">
        <v>-250</v>
      </c>
      <c r="AR18" s="115">
        <v>-248</v>
      </c>
      <c r="AS18" s="114">
        <v>-187</v>
      </c>
      <c r="AT18" s="114">
        <v>-198</v>
      </c>
      <c r="AU18" s="114">
        <v>-181</v>
      </c>
      <c r="AV18" s="100"/>
    </row>
    <row r="19" spans="1:48" ht="12.75" x14ac:dyDescent="0.2">
      <c r="A19" s="102" t="s">
        <v>285</v>
      </c>
      <c r="B19" s="103">
        <v>4955</v>
      </c>
      <c r="C19" s="103">
        <v>4411</v>
      </c>
      <c r="D19" s="103">
        <v>5793</v>
      </c>
      <c r="E19" s="103">
        <v>7201</v>
      </c>
      <c r="F19" s="103">
        <v>7843</v>
      </c>
      <c r="G19" s="103">
        <v>7087</v>
      </c>
      <c r="H19" s="103">
        <v>8964</v>
      </c>
      <c r="I19" s="103">
        <v>10778</v>
      </c>
      <c r="J19" s="103">
        <v>12235</v>
      </c>
      <c r="K19" s="103">
        <v>11439</v>
      </c>
      <c r="L19" s="90"/>
      <c r="M19" s="103">
        <v>1391</v>
      </c>
      <c r="N19" s="103">
        <v>1458</v>
      </c>
      <c r="O19" s="103">
        <v>1501</v>
      </c>
      <c r="P19" s="104">
        <v>1443</v>
      </c>
      <c r="Q19" s="103">
        <v>1458</v>
      </c>
      <c r="R19" s="103">
        <v>1766</v>
      </c>
      <c r="S19" s="103">
        <v>1861.0172940299999</v>
      </c>
      <c r="T19" s="104">
        <v>2115.9827059700001</v>
      </c>
      <c r="U19" s="103">
        <v>1830</v>
      </c>
      <c r="V19" s="103">
        <v>2225</v>
      </c>
      <c r="W19" s="103">
        <v>1866</v>
      </c>
      <c r="X19" s="104">
        <v>1922</v>
      </c>
      <c r="Y19" s="103">
        <v>1886</v>
      </c>
      <c r="Z19" s="103">
        <v>1367</v>
      </c>
      <c r="AA19" s="103">
        <v>1744</v>
      </c>
      <c r="AB19" s="104">
        <v>2090</v>
      </c>
      <c r="AC19" s="103">
        <v>1834</v>
      </c>
      <c r="AD19" s="103">
        <v>2138</v>
      </c>
      <c r="AE19" s="103">
        <v>2425</v>
      </c>
      <c r="AF19" s="104">
        <v>2567</v>
      </c>
      <c r="AG19" s="103">
        <v>2564</v>
      </c>
      <c r="AH19" s="103">
        <v>2292</v>
      </c>
      <c r="AI19" s="103">
        <v>2876</v>
      </c>
      <c r="AJ19" s="104">
        <v>3046</v>
      </c>
      <c r="AK19" s="103">
        <v>2964</v>
      </c>
      <c r="AL19" s="103">
        <v>3428</v>
      </c>
      <c r="AM19" s="103">
        <v>2929</v>
      </c>
      <c r="AN19" s="104">
        <v>2914</v>
      </c>
      <c r="AO19" s="103">
        <v>2644</v>
      </c>
      <c r="AP19" s="103">
        <v>2656</v>
      </c>
      <c r="AQ19" s="103">
        <v>3013</v>
      </c>
      <c r="AR19" s="104">
        <v>3126</v>
      </c>
      <c r="AS19" s="103">
        <v>2881</v>
      </c>
      <c r="AT19" s="103">
        <v>2700</v>
      </c>
      <c r="AU19" s="103">
        <v>2566</v>
      </c>
      <c r="AV19" s="100"/>
    </row>
    <row r="20" spans="1:48" ht="12.75" x14ac:dyDescent="0.2">
      <c r="A20" s="105" t="s">
        <v>115</v>
      </c>
      <c r="B20" s="106">
        <v>0.17287094860970589</v>
      </c>
      <c r="C20" s="106">
        <v>0.16275551619806655</v>
      </c>
      <c r="D20" s="106">
        <v>0.18470220635123072</v>
      </c>
      <c r="E20" s="106">
        <v>0.1880893300248139</v>
      </c>
      <c r="F20" s="106">
        <v>0.19199980415677251</v>
      </c>
      <c r="G20" s="106">
        <v>0.19600000000000001</v>
      </c>
      <c r="H20" s="106">
        <v>0.22600000000000001</v>
      </c>
      <c r="I20" s="106">
        <v>0.217</v>
      </c>
      <c r="J20" s="106">
        <v>0.20300000000000001</v>
      </c>
      <c r="K20" s="106">
        <v>0.18</v>
      </c>
      <c r="L20" s="107"/>
      <c r="M20" s="106">
        <v>0.18769396842531372</v>
      </c>
      <c r="N20" s="106">
        <v>0.18504886406904431</v>
      </c>
      <c r="O20" s="106">
        <v>0.19724047306176085</v>
      </c>
      <c r="P20" s="108">
        <v>0.17048676748582231</v>
      </c>
      <c r="Q20" s="106">
        <v>0.17709218996720516</v>
      </c>
      <c r="R20" s="106">
        <v>0.17941684445799044</v>
      </c>
      <c r="S20" s="106">
        <v>0.1928315505160087</v>
      </c>
      <c r="T20" s="108">
        <v>0.2004151075932942</v>
      </c>
      <c r="U20" s="106">
        <v>0.18702095043433828</v>
      </c>
      <c r="V20" s="106">
        <v>0.20939205721814416</v>
      </c>
      <c r="W20" s="106">
        <v>0.18369757826343769</v>
      </c>
      <c r="X20" s="108">
        <v>0.18696498054474708</v>
      </c>
      <c r="Y20" s="106">
        <v>0.20599999999999999</v>
      </c>
      <c r="Z20" s="106">
        <v>0.16200000000000001</v>
      </c>
      <c r="AA20" s="106">
        <v>0.2</v>
      </c>
      <c r="AB20" s="108">
        <v>0.21299999999999999</v>
      </c>
      <c r="AC20" s="106">
        <v>0.20899999999999999</v>
      </c>
      <c r="AD20" s="106">
        <v>0.22</v>
      </c>
      <c r="AE20" s="106">
        <v>0.24299999999999999</v>
      </c>
      <c r="AF20" s="108">
        <v>0.22975029087979951</v>
      </c>
      <c r="AG20" s="106">
        <v>0.23100000000000001</v>
      </c>
      <c r="AH20" s="106">
        <v>0.19312436804853386</v>
      </c>
      <c r="AI20" s="106">
        <v>0.22465239806280268</v>
      </c>
      <c r="AJ20" s="108">
        <v>0.21857060849598162</v>
      </c>
      <c r="AK20" s="106">
        <v>0.21372944909143352</v>
      </c>
      <c r="AL20" s="106">
        <v>0.215</v>
      </c>
      <c r="AM20" s="106">
        <v>0.1953057278122291</v>
      </c>
      <c r="AN20" s="108">
        <v>0.18717882836587874</v>
      </c>
      <c r="AO20" s="106">
        <v>0.18694760658983242</v>
      </c>
      <c r="AP20" s="106">
        <v>0.16086245533280844</v>
      </c>
      <c r="AQ20" s="106">
        <v>0.19192305242372126</v>
      </c>
      <c r="AR20" s="108">
        <v>0.18120688655730102</v>
      </c>
      <c r="AS20" s="109" t="s">
        <v>286</v>
      </c>
      <c r="AT20" s="106">
        <v>0.17845340383344349</v>
      </c>
      <c r="AU20" s="106">
        <v>0.1683506101561475</v>
      </c>
      <c r="AV20" s="100"/>
    </row>
    <row r="21" spans="1:48" ht="12.75" x14ac:dyDescent="0.2">
      <c r="A21" s="101" t="s">
        <v>287</v>
      </c>
      <c r="B21" s="116">
        <v>-1384</v>
      </c>
      <c r="C21" s="116">
        <v>-1180</v>
      </c>
      <c r="D21" s="98">
        <v>-1495</v>
      </c>
      <c r="E21" s="98">
        <v>-1764</v>
      </c>
      <c r="F21" s="98">
        <v>-1959</v>
      </c>
      <c r="G21" s="98">
        <v>-1677</v>
      </c>
      <c r="H21" s="116">
        <v>-1895</v>
      </c>
      <c r="I21" s="116">
        <v>-2367</v>
      </c>
      <c r="J21" s="116">
        <v>-2777</v>
      </c>
      <c r="K21" s="116">
        <v>-2683</v>
      </c>
      <c r="L21" s="90"/>
      <c r="M21" s="116">
        <v>-342</v>
      </c>
      <c r="N21" s="116">
        <v>-380</v>
      </c>
      <c r="O21" s="116">
        <v>-434</v>
      </c>
      <c r="P21" s="117">
        <v>-339</v>
      </c>
      <c r="Q21" s="98">
        <v>-377</v>
      </c>
      <c r="R21" s="98">
        <v>-445</v>
      </c>
      <c r="S21" s="98">
        <v>-449</v>
      </c>
      <c r="T21" s="99">
        <v>-493</v>
      </c>
      <c r="U21" s="98">
        <v>-456</v>
      </c>
      <c r="V21" s="98">
        <v>-545</v>
      </c>
      <c r="W21" s="98">
        <v>-525</v>
      </c>
      <c r="X21" s="99">
        <v>-433</v>
      </c>
      <c r="Y21" s="98">
        <v>-464</v>
      </c>
      <c r="Z21" s="98">
        <v>-340</v>
      </c>
      <c r="AA21" s="98">
        <v>-420</v>
      </c>
      <c r="AB21" s="99">
        <v>-453</v>
      </c>
      <c r="AC21" s="98">
        <v>-444</v>
      </c>
      <c r="AD21" s="98">
        <v>-445</v>
      </c>
      <c r="AE21" s="98">
        <v>-496</v>
      </c>
      <c r="AF21" s="99">
        <v>-510</v>
      </c>
      <c r="AG21" s="98">
        <v>-564</v>
      </c>
      <c r="AH21" s="98">
        <v>-519</v>
      </c>
      <c r="AI21" s="98">
        <v>-633</v>
      </c>
      <c r="AJ21" s="99">
        <v>-651</v>
      </c>
      <c r="AK21" s="98">
        <v>-671</v>
      </c>
      <c r="AL21" s="98">
        <v>-775</v>
      </c>
      <c r="AM21" s="98">
        <v>-685</v>
      </c>
      <c r="AN21" s="99">
        <v>-646</v>
      </c>
      <c r="AO21" s="98">
        <v>-634</v>
      </c>
      <c r="AP21" s="98">
        <v>-612</v>
      </c>
      <c r="AQ21" s="98">
        <v>-690</v>
      </c>
      <c r="AR21" s="99">
        <v>-747</v>
      </c>
      <c r="AS21" s="98">
        <v>-685</v>
      </c>
      <c r="AT21" s="98">
        <v>-597</v>
      </c>
      <c r="AU21" s="98">
        <v>-613</v>
      </c>
      <c r="AV21" s="100"/>
    </row>
    <row r="22" spans="1:48" ht="12.75" x14ac:dyDescent="0.2">
      <c r="A22" s="105" t="s">
        <v>288</v>
      </c>
      <c r="B22" s="118"/>
      <c r="C22" s="118"/>
      <c r="D22" s="106">
        <v>0.25807008458484376</v>
      </c>
      <c r="E22" s="106">
        <v>0.24496597694764616</v>
      </c>
      <c r="F22" s="106">
        <v>0.24977687109524416</v>
      </c>
      <c r="G22" s="106">
        <v>0.23699999999999999</v>
      </c>
      <c r="H22" s="106">
        <v>0.21099999999999999</v>
      </c>
      <c r="I22" s="106">
        <v>0.22</v>
      </c>
      <c r="J22" s="106">
        <v>0.22700000000000001</v>
      </c>
      <c r="K22" s="106">
        <v>0.23499999999999999</v>
      </c>
      <c r="L22" s="90"/>
      <c r="M22" s="109">
        <v>0.24586628324946083</v>
      </c>
      <c r="N22" s="109">
        <v>0.26063100137174211</v>
      </c>
      <c r="O22" s="109">
        <v>0.28914057295136575</v>
      </c>
      <c r="P22" s="119">
        <v>0.23492723492723494</v>
      </c>
      <c r="Q22" s="106">
        <v>0.25857338820301784</v>
      </c>
      <c r="R22" s="106">
        <v>0.25198187995469989</v>
      </c>
      <c r="S22" s="106">
        <v>0.24126589335862564</v>
      </c>
      <c r="T22" s="108">
        <v>0.23298867169805199</v>
      </c>
      <c r="U22" s="106">
        <v>0.24918032786885247</v>
      </c>
      <c r="V22" s="106">
        <v>0.24494382022471911</v>
      </c>
      <c r="W22" s="106">
        <v>0.28135048231511256</v>
      </c>
      <c r="X22" s="108">
        <v>0.22528616024973985</v>
      </c>
      <c r="Y22" s="106">
        <v>0.246</v>
      </c>
      <c r="Z22" s="106">
        <v>0.248</v>
      </c>
      <c r="AA22" s="106">
        <v>0.24099999999999999</v>
      </c>
      <c r="AB22" s="108">
        <v>0.217</v>
      </c>
      <c r="AC22" s="106">
        <v>0.24209</v>
      </c>
      <c r="AD22" s="106">
        <v>0.20799999999999999</v>
      </c>
      <c r="AE22" s="106">
        <v>0.20499999999999999</v>
      </c>
      <c r="AF22" s="108">
        <v>0.19900000000000001</v>
      </c>
      <c r="AG22" s="106">
        <v>0.22</v>
      </c>
      <c r="AH22" s="106">
        <v>0.22643979057591601</v>
      </c>
      <c r="AI22" s="106">
        <v>0.22009735744089001</v>
      </c>
      <c r="AJ22" s="108">
        <v>0.21372291529875201</v>
      </c>
      <c r="AK22" s="106">
        <v>0.22638326585695001</v>
      </c>
      <c r="AL22" s="106">
        <v>0.22600000000000001</v>
      </c>
      <c r="AM22" s="106">
        <v>0.23386821440764799</v>
      </c>
      <c r="AN22" s="108">
        <v>0.22168840082360999</v>
      </c>
      <c r="AO22" s="106">
        <v>0.23978819969742801</v>
      </c>
      <c r="AP22" s="106">
        <v>0.23042168674698801</v>
      </c>
      <c r="AQ22" s="106">
        <v>0.229007633587786</v>
      </c>
      <c r="AR22" s="108">
        <v>0.238963531669866</v>
      </c>
      <c r="AS22" s="109" t="s">
        <v>289</v>
      </c>
      <c r="AT22" s="106">
        <v>-0.22111111111111112</v>
      </c>
      <c r="AU22" s="106">
        <v>-0.23889321901792673</v>
      </c>
      <c r="AV22" s="100"/>
    </row>
    <row r="23" spans="1:48" ht="12.75" x14ac:dyDescent="0.2">
      <c r="A23" s="102" t="s">
        <v>290</v>
      </c>
      <c r="B23" s="103">
        <v>3571</v>
      </c>
      <c r="C23" s="103">
        <v>3231</v>
      </c>
      <c r="D23" s="103">
        <v>4298</v>
      </c>
      <c r="E23" s="103">
        <v>5437</v>
      </c>
      <c r="F23" s="103">
        <v>5884</v>
      </c>
      <c r="G23" s="103">
        <v>5410</v>
      </c>
      <c r="H23" s="103">
        <v>7069</v>
      </c>
      <c r="I23" s="103">
        <v>8411</v>
      </c>
      <c r="J23" s="103">
        <v>9458</v>
      </c>
      <c r="K23" s="103">
        <v>8756</v>
      </c>
      <c r="L23" s="90"/>
      <c r="M23" s="103">
        <v>1049</v>
      </c>
      <c r="N23" s="103">
        <v>1078</v>
      </c>
      <c r="O23" s="103">
        <v>1067</v>
      </c>
      <c r="P23" s="104">
        <v>1104</v>
      </c>
      <c r="Q23" s="103">
        <v>1081</v>
      </c>
      <c r="R23" s="103">
        <v>1321</v>
      </c>
      <c r="S23" s="103">
        <v>1412.0172940299999</v>
      </c>
      <c r="T23" s="104">
        <v>1622.9827059700001</v>
      </c>
      <c r="U23" s="103">
        <v>1374</v>
      </c>
      <c r="V23" s="103">
        <v>1680</v>
      </c>
      <c r="W23" s="103">
        <v>1341</v>
      </c>
      <c r="X23" s="104">
        <v>1489</v>
      </c>
      <c r="Y23" s="103">
        <v>1422</v>
      </c>
      <c r="Z23" s="103">
        <v>1027</v>
      </c>
      <c r="AA23" s="103">
        <v>1324</v>
      </c>
      <c r="AB23" s="104">
        <v>1637</v>
      </c>
      <c r="AC23" s="103">
        <v>1390</v>
      </c>
      <c r="AD23" s="103">
        <v>1693</v>
      </c>
      <c r="AE23" s="103">
        <v>1929</v>
      </c>
      <c r="AF23" s="104">
        <v>2057</v>
      </c>
      <c r="AG23" s="103">
        <v>2000</v>
      </c>
      <c r="AH23" s="103">
        <v>1773</v>
      </c>
      <c r="AI23" s="103">
        <v>2243</v>
      </c>
      <c r="AJ23" s="104">
        <v>2395</v>
      </c>
      <c r="AK23" s="103">
        <v>2293</v>
      </c>
      <c r="AL23" s="103">
        <v>2653</v>
      </c>
      <c r="AM23" s="103">
        <v>2244</v>
      </c>
      <c r="AN23" s="104">
        <v>2268</v>
      </c>
      <c r="AO23" s="103">
        <v>2010</v>
      </c>
      <c r="AP23" s="103">
        <v>2044</v>
      </c>
      <c r="AQ23" s="103">
        <v>2323</v>
      </c>
      <c r="AR23" s="104">
        <v>2379</v>
      </c>
      <c r="AS23" s="103">
        <v>2196</v>
      </c>
      <c r="AT23" s="103">
        <v>2103</v>
      </c>
      <c r="AU23" s="103">
        <v>1953</v>
      </c>
      <c r="AV23" s="100"/>
    </row>
    <row r="24" spans="1:48" ht="13.5" customHeight="1" x14ac:dyDescent="0.2">
      <c r="A24" s="120" t="s">
        <v>291</v>
      </c>
      <c r="B24" s="98">
        <v>3582</v>
      </c>
      <c r="C24" s="98">
        <v>3235</v>
      </c>
      <c r="D24" s="98">
        <v>4298</v>
      </c>
      <c r="E24" s="98">
        <v>5430</v>
      </c>
      <c r="F24" s="98">
        <v>5874</v>
      </c>
      <c r="G24" s="98">
        <v>5399</v>
      </c>
      <c r="H24" s="98">
        <v>7058</v>
      </c>
      <c r="I24" s="98">
        <v>8397</v>
      </c>
      <c r="J24" s="98">
        <v>9431</v>
      </c>
      <c r="K24" s="98">
        <v>8731</v>
      </c>
      <c r="L24" s="90"/>
      <c r="M24" s="98">
        <v>1049</v>
      </c>
      <c r="N24" s="98">
        <v>1078</v>
      </c>
      <c r="O24" s="98">
        <v>1067</v>
      </c>
      <c r="P24" s="99">
        <v>1104</v>
      </c>
      <c r="Q24" s="98">
        <v>1079</v>
      </c>
      <c r="R24" s="98">
        <v>1319</v>
      </c>
      <c r="S24" s="98">
        <v>1410.0172940299999</v>
      </c>
      <c r="T24" s="99">
        <v>1621.9827059700001</v>
      </c>
      <c r="U24" s="98">
        <v>1372</v>
      </c>
      <c r="V24" s="98">
        <v>1678</v>
      </c>
      <c r="W24" s="98">
        <v>1339</v>
      </c>
      <c r="X24" s="99">
        <v>1485</v>
      </c>
      <c r="Y24" s="98">
        <v>1420</v>
      </c>
      <c r="Z24" s="98">
        <v>1026</v>
      </c>
      <c r="AA24" s="98">
        <v>1320</v>
      </c>
      <c r="AB24" s="99">
        <v>1633</v>
      </c>
      <c r="AC24" s="98">
        <v>1387</v>
      </c>
      <c r="AD24" s="98">
        <v>1691</v>
      </c>
      <c r="AE24" s="98">
        <v>1926</v>
      </c>
      <c r="AF24" s="99">
        <v>2054</v>
      </c>
      <c r="AG24" s="98">
        <v>1997</v>
      </c>
      <c r="AH24" s="98">
        <v>1770</v>
      </c>
      <c r="AI24" s="98">
        <v>2239</v>
      </c>
      <c r="AJ24" s="99">
        <v>2391</v>
      </c>
      <c r="AK24" s="98">
        <v>2290</v>
      </c>
      <c r="AL24" s="98">
        <v>2645</v>
      </c>
      <c r="AM24" s="98">
        <v>2235</v>
      </c>
      <c r="AN24" s="99">
        <v>2261</v>
      </c>
      <c r="AO24" s="98">
        <v>2008</v>
      </c>
      <c r="AP24" s="98">
        <v>2042</v>
      </c>
      <c r="AQ24" s="98">
        <v>2318</v>
      </c>
      <c r="AR24" s="99">
        <v>2363</v>
      </c>
      <c r="AS24" s="98">
        <v>2200</v>
      </c>
      <c r="AT24" s="98">
        <v>2098</v>
      </c>
      <c r="AU24" s="98">
        <v>1955</v>
      </c>
      <c r="AV24" s="100"/>
    </row>
    <row r="25" spans="1:48" ht="18" x14ac:dyDescent="0.2">
      <c r="A25" s="120" t="s">
        <v>292</v>
      </c>
      <c r="B25" s="98">
        <v>-11</v>
      </c>
      <c r="C25" s="98">
        <v>-4</v>
      </c>
      <c r="D25" s="98">
        <v>0</v>
      </c>
      <c r="E25" s="98">
        <v>7</v>
      </c>
      <c r="F25" s="98">
        <v>10</v>
      </c>
      <c r="G25" s="121">
        <v>11</v>
      </c>
      <c r="H25" s="121">
        <v>11</v>
      </c>
      <c r="I25" s="121">
        <v>14</v>
      </c>
      <c r="J25" s="121">
        <v>27</v>
      </c>
      <c r="K25" s="121">
        <v>25</v>
      </c>
      <c r="L25" s="90"/>
      <c r="M25" s="98">
        <v>0</v>
      </c>
      <c r="N25" s="98">
        <v>0</v>
      </c>
      <c r="O25" s="98">
        <v>0</v>
      </c>
      <c r="P25" s="99">
        <v>0</v>
      </c>
      <c r="Q25" s="98">
        <v>2</v>
      </c>
      <c r="R25" s="98">
        <v>2</v>
      </c>
      <c r="S25" s="98">
        <v>2</v>
      </c>
      <c r="T25" s="99">
        <v>1</v>
      </c>
      <c r="U25" s="98">
        <v>2</v>
      </c>
      <c r="V25" s="98">
        <v>2</v>
      </c>
      <c r="W25" s="98">
        <v>2</v>
      </c>
      <c r="X25" s="99">
        <v>4</v>
      </c>
      <c r="Y25" s="98">
        <v>2</v>
      </c>
      <c r="Z25" s="98">
        <v>1</v>
      </c>
      <c r="AA25" s="98">
        <v>4</v>
      </c>
      <c r="AB25" s="99">
        <v>4</v>
      </c>
      <c r="AC25" s="98">
        <v>3</v>
      </c>
      <c r="AD25" s="98">
        <v>2</v>
      </c>
      <c r="AE25" s="98">
        <v>3</v>
      </c>
      <c r="AF25" s="99">
        <v>3</v>
      </c>
      <c r="AG25" s="98">
        <v>3</v>
      </c>
      <c r="AH25" s="98">
        <v>3</v>
      </c>
      <c r="AI25" s="98">
        <v>4</v>
      </c>
      <c r="AJ25" s="99">
        <v>4</v>
      </c>
      <c r="AK25" s="98">
        <v>3</v>
      </c>
      <c r="AL25" s="98">
        <v>8</v>
      </c>
      <c r="AM25" s="98">
        <v>9</v>
      </c>
      <c r="AN25" s="99">
        <v>7</v>
      </c>
      <c r="AO25" s="98">
        <v>2</v>
      </c>
      <c r="AP25" s="98">
        <v>2</v>
      </c>
      <c r="AQ25" s="98">
        <v>5</v>
      </c>
      <c r="AR25" s="99">
        <v>16</v>
      </c>
      <c r="AS25" s="98">
        <v>-4</v>
      </c>
      <c r="AT25" s="98">
        <v>5</v>
      </c>
      <c r="AU25" s="98">
        <v>-2</v>
      </c>
      <c r="AV25" s="100"/>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W117"/>
  <sheetViews>
    <sheetView showGridLines="0" workbookViewId="0"/>
  </sheetViews>
  <sheetFormatPr defaultColWidth="10" defaultRowHeight="13.35" customHeight="1" x14ac:dyDescent="0.2"/>
  <cols>
    <col min="1" max="1" width="46.85546875" customWidth="1"/>
    <col min="2" max="7" width="8.42578125" bestFit="1" customWidth="1"/>
    <col min="8" max="10" width="9" bestFit="1" customWidth="1"/>
    <col min="11" max="11" width="8.42578125" bestFit="1" customWidth="1"/>
    <col min="12" max="12" width="6.85546875" customWidth="1"/>
    <col min="13" max="13" width="9" customWidth="1"/>
    <col min="14" max="32" width="5.85546875" customWidth="1"/>
    <col min="33" max="33" width="6.140625" customWidth="1"/>
    <col min="34" max="34" width="5.85546875" customWidth="1"/>
    <col min="35" max="47" width="6.140625" customWidth="1"/>
  </cols>
  <sheetData>
    <row r="1" spans="1:49" ht="16.5" thickBot="1" x14ac:dyDescent="0.3">
      <c r="A1" s="1" t="s">
        <v>293</v>
      </c>
      <c r="B1" s="122" t="s">
        <v>127</v>
      </c>
      <c r="C1" s="122"/>
      <c r="D1" s="122"/>
      <c r="E1" s="123"/>
      <c r="F1" s="123"/>
      <c r="G1" s="123"/>
      <c r="H1" s="123"/>
      <c r="I1" s="124"/>
      <c r="J1" s="123"/>
      <c r="K1" s="122"/>
      <c r="L1" s="123"/>
      <c r="M1" s="122" t="s">
        <v>128</v>
      </c>
      <c r="N1" s="123"/>
      <c r="O1" s="123"/>
      <c r="P1" s="125"/>
      <c r="Q1" s="122"/>
      <c r="R1" s="123"/>
      <c r="S1" s="123"/>
      <c r="T1" s="125"/>
      <c r="U1" s="122"/>
      <c r="V1" s="123"/>
      <c r="W1" s="123"/>
      <c r="X1" s="125"/>
      <c r="Y1" s="122"/>
      <c r="Z1" s="123"/>
      <c r="AA1" s="123"/>
      <c r="AB1" s="125"/>
      <c r="AC1" s="122"/>
      <c r="AD1" s="123"/>
      <c r="AE1" s="123"/>
      <c r="AF1" s="125"/>
      <c r="AG1" s="122"/>
      <c r="AH1" s="123"/>
      <c r="AI1" s="123"/>
      <c r="AJ1" s="125"/>
      <c r="AK1" s="122"/>
      <c r="AL1" s="123"/>
      <c r="AM1" s="123"/>
      <c r="AN1" s="125"/>
      <c r="AO1" s="122"/>
      <c r="AP1" s="123"/>
      <c r="AQ1" s="123"/>
      <c r="AR1" s="125"/>
      <c r="AS1" s="122"/>
      <c r="AT1" s="123"/>
      <c r="AU1" s="123"/>
    </row>
    <row r="2" spans="1:49" ht="14.25" thickTop="1" thickBot="1" x14ac:dyDescent="0.25">
      <c r="A2" s="19" t="s">
        <v>32</v>
      </c>
      <c r="B2" s="90"/>
      <c r="C2" s="90"/>
      <c r="D2" s="90"/>
      <c r="E2" s="90"/>
      <c r="F2" s="90"/>
      <c r="G2" s="90"/>
      <c r="H2" s="90"/>
      <c r="I2" s="126" t="s">
        <v>294</v>
      </c>
      <c r="J2" s="127" t="s">
        <v>295</v>
      </c>
      <c r="K2" s="90"/>
      <c r="L2" s="90"/>
      <c r="M2" s="90"/>
      <c r="N2" s="90"/>
      <c r="O2" s="90"/>
      <c r="P2" s="93"/>
      <c r="Q2" s="90"/>
      <c r="R2" s="90"/>
      <c r="S2" s="90"/>
      <c r="T2" s="93"/>
      <c r="U2" s="90"/>
      <c r="V2" s="90"/>
      <c r="W2" s="90"/>
      <c r="X2" s="93"/>
      <c r="Y2" s="90"/>
      <c r="Z2" s="90"/>
      <c r="AA2" s="90"/>
      <c r="AB2" s="93"/>
      <c r="AC2" s="90"/>
      <c r="AD2" s="90"/>
      <c r="AE2" s="90"/>
      <c r="AF2" s="93"/>
      <c r="AG2" s="126" t="s">
        <v>294</v>
      </c>
      <c r="AH2" s="90"/>
      <c r="AI2" s="90"/>
      <c r="AJ2" s="93"/>
      <c r="AK2" s="127" t="s">
        <v>295</v>
      </c>
      <c r="AL2" s="90"/>
      <c r="AM2" s="90"/>
      <c r="AN2" s="93"/>
      <c r="AO2" s="90"/>
      <c r="AP2" s="90"/>
      <c r="AQ2" s="90"/>
      <c r="AR2" s="93"/>
      <c r="AS2" s="90"/>
      <c r="AT2" s="90"/>
      <c r="AU2" s="90"/>
    </row>
    <row r="3" spans="1:49" ht="13.5" thickTop="1" x14ac:dyDescent="0.2">
      <c r="A3" s="128" t="s">
        <v>162</v>
      </c>
      <c r="B3" s="129">
        <v>2015</v>
      </c>
      <c r="C3" s="129">
        <v>2016</v>
      </c>
      <c r="D3" s="129">
        <v>2017</v>
      </c>
      <c r="E3" s="129">
        <v>2018</v>
      </c>
      <c r="F3" s="129" t="s">
        <v>265</v>
      </c>
      <c r="G3" s="129" t="s">
        <v>266</v>
      </c>
      <c r="H3" s="129">
        <v>2021</v>
      </c>
      <c r="I3" s="129">
        <v>2022</v>
      </c>
      <c r="J3" s="129">
        <v>2023</v>
      </c>
      <c r="K3" s="129">
        <v>2024</v>
      </c>
      <c r="L3" s="90"/>
      <c r="M3" s="129" t="s">
        <v>267</v>
      </c>
      <c r="N3" s="129" t="s">
        <v>268</v>
      </c>
      <c r="O3" s="129" t="s">
        <v>269</v>
      </c>
      <c r="P3" s="130" t="s">
        <v>270</v>
      </c>
      <c r="Q3" s="129" t="s">
        <v>131</v>
      </c>
      <c r="R3" s="129" t="s">
        <v>132</v>
      </c>
      <c r="S3" s="129" t="s">
        <v>133</v>
      </c>
      <c r="T3" s="130" t="s">
        <v>134</v>
      </c>
      <c r="U3" s="129" t="s">
        <v>135</v>
      </c>
      <c r="V3" s="129" t="s">
        <v>136</v>
      </c>
      <c r="W3" s="129" t="s">
        <v>137</v>
      </c>
      <c r="X3" s="130" t="s">
        <v>138</v>
      </c>
      <c r="Y3" s="129" t="s">
        <v>139</v>
      </c>
      <c r="Z3" s="129" t="s">
        <v>140</v>
      </c>
      <c r="AA3" s="129" t="s">
        <v>141</v>
      </c>
      <c r="AB3" s="130" t="s">
        <v>142</v>
      </c>
      <c r="AC3" s="129" t="s">
        <v>143</v>
      </c>
      <c r="AD3" s="129" t="s">
        <v>144</v>
      </c>
      <c r="AE3" s="129" t="s">
        <v>145</v>
      </c>
      <c r="AF3" s="130" t="s">
        <v>146</v>
      </c>
      <c r="AG3" s="129" t="s">
        <v>147</v>
      </c>
      <c r="AH3" s="129" t="s">
        <v>148</v>
      </c>
      <c r="AI3" s="129" t="s">
        <v>149</v>
      </c>
      <c r="AJ3" s="130" t="s">
        <v>150</v>
      </c>
      <c r="AK3" s="129" t="s">
        <v>151</v>
      </c>
      <c r="AL3" s="129" t="s">
        <v>152</v>
      </c>
      <c r="AM3" s="129" t="s">
        <v>153</v>
      </c>
      <c r="AN3" s="130" t="s">
        <v>154</v>
      </c>
      <c r="AO3" s="129" t="s">
        <v>155</v>
      </c>
      <c r="AP3" s="129" t="s">
        <v>156</v>
      </c>
      <c r="AQ3" s="129" t="s">
        <v>157</v>
      </c>
      <c r="AR3" s="130" t="s">
        <v>158</v>
      </c>
      <c r="AS3" s="129" t="s">
        <v>159</v>
      </c>
      <c r="AT3" s="129" t="s">
        <v>160</v>
      </c>
      <c r="AU3" s="129" t="s">
        <v>161</v>
      </c>
    </row>
    <row r="4" spans="1:49" ht="12.75" x14ac:dyDescent="0.2">
      <c r="A4" s="131" t="s">
        <v>296</v>
      </c>
      <c r="B4" s="132">
        <v>19213</v>
      </c>
      <c r="C4" s="132">
        <v>19413</v>
      </c>
      <c r="D4" s="132">
        <v>24574.266098877102</v>
      </c>
      <c r="E4" s="132">
        <v>29695</v>
      </c>
      <c r="F4" s="132">
        <v>28509</v>
      </c>
      <c r="G4" s="132">
        <v>27252</v>
      </c>
      <c r="H4" s="132">
        <f t="shared" ref="H4:H9" si="0">SUM(AC4:AF4)</f>
        <v>34513</v>
      </c>
      <c r="I4" s="133">
        <v>42691</v>
      </c>
      <c r="J4" s="132">
        <f>46708-31</f>
        <v>46677</v>
      </c>
      <c r="K4" s="132">
        <v>47423</v>
      </c>
      <c r="L4" s="90"/>
      <c r="M4" s="132">
        <v>6200.2283143322002</v>
      </c>
      <c r="N4" s="132">
        <v>6323.0377845449002</v>
      </c>
      <c r="O4" s="132">
        <v>6263</v>
      </c>
      <c r="P4" s="134">
        <v>5788</v>
      </c>
      <c r="Q4" s="132">
        <v>7442</v>
      </c>
      <c r="R4" s="132">
        <v>7947</v>
      </c>
      <c r="S4" s="132">
        <v>7190</v>
      </c>
      <c r="T4" s="134">
        <v>7116</v>
      </c>
      <c r="U4" s="132">
        <v>7248</v>
      </c>
      <c r="V4" s="132">
        <v>7677</v>
      </c>
      <c r="W4" s="132">
        <v>6874</v>
      </c>
      <c r="X4" s="134">
        <v>6710</v>
      </c>
      <c r="Y4" s="132">
        <v>7101</v>
      </c>
      <c r="Z4" s="132">
        <v>6129</v>
      </c>
      <c r="AA4" s="132">
        <v>7068</v>
      </c>
      <c r="AB4" s="134">
        <v>6954</v>
      </c>
      <c r="AC4" s="132">
        <v>7991</v>
      </c>
      <c r="AD4" s="132">
        <v>8387</v>
      </c>
      <c r="AE4" s="132">
        <v>9336</v>
      </c>
      <c r="AF4" s="134">
        <v>8799</v>
      </c>
      <c r="AG4" s="133">
        <v>10840</v>
      </c>
      <c r="AH4" s="133">
        <v>10897</v>
      </c>
      <c r="AI4" s="133">
        <v>9791</v>
      </c>
      <c r="AJ4" s="135">
        <v>11163</v>
      </c>
      <c r="AK4" s="132">
        <v>11539</v>
      </c>
      <c r="AL4" s="132">
        <v>12276</v>
      </c>
      <c r="AM4" s="132">
        <v>11311</v>
      </c>
      <c r="AN4" s="134">
        <v>11551</v>
      </c>
      <c r="AO4" s="132">
        <v>11025</v>
      </c>
      <c r="AP4" s="132">
        <v>12388</v>
      </c>
      <c r="AQ4" s="132">
        <v>11830</v>
      </c>
      <c r="AR4" s="134">
        <v>12180</v>
      </c>
      <c r="AS4" s="132">
        <v>12377</v>
      </c>
      <c r="AT4" s="132">
        <v>11506</v>
      </c>
      <c r="AU4" s="132">
        <v>11439</v>
      </c>
      <c r="AV4" s="136"/>
      <c r="AW4" s="136"/>
    </row>
    <row r="5" spans="1:49" ht="12.75" x14ac:dyDescent="0.2">
      <c r="A5" s="137" t="s">
        <v>297</v>
      </c>
      <c r="B5" s="138">
        <v>7776</v>
      </c>
      <c r="C5" s="138">
        <v>8506</v>
      </c>
      <c r="D5" s="138">
        <v>12246</v>
      </c>
      <c r="E5" s="138">
        <v>15244</v>
      </c>
      <c r="F5" s="138">
        <v>12355</v>
      </c>
      <c r="G5" s="138">
        <v>11326</v>
      </c>
      <c r="H5" s="138">
        <f t="shared" si="0"/>
        <v>16403</v>
      </c>
      <c r="I5" s="139">
        <v>18314</v>
      </c>
      <c r="J5" s="140">
        <f>20218-31</f>
        <v>20187</v>
      </c>
      <c r="K5" s="138">
        <v>20102</v>
      </c>
      <c r="L5" s="90"/>
      <c r="M5" s="138">
        <v>3147</v>
      </c>
      <c r="N5" s="138">
        <v>3142</v>
      </c>
      <c r="O5" s="138">
        <v>3281</v>
      </c>
      <c r="P5" s="141">
        <v>2676</v>
      </c>
      <c r="Q5" s="138">
        <v>4054</v>
      </c>
      <c r="R5" s="138">
        <v>4234</v>
      </c>
      <c r="S5" s="138">
        <v>3601</v>
      </c>
      <c r="T5" s="141">
        <v>3355</v>
      </c>
      <c r="U5" s="138">
        <v>3442</v>
      </c>
      <c r="V5" s="138">
        <v>3580</v>
      </c>
      <c r="W5" s="138">
        <v>2727</v>
      </c>
      <c r="X5" s="141">
        <v>2606</v>
      </c>
      <c r="Y5" s="138">
        <v>2850</v>
      </c>
      <c r="Z5" s="138">
        <v>2410</v>
      </c>
      <c r="AA5" s="138">
        <v>3099</v>
      </c>
      <c r="AB5" s="141">
        <v>2967</v>
      </c>
      <c r="AC5" s="138">
        <v>4028</v>
      </c>
      <c r="AD5" s="138">
        <v>4031</v>
      </c>
      <c r="AE5" s="138">
        <v>4532</v>
      </c>
      <c r="AF5" s="141">
        <v>3812</v>
      </c>
      <c r="AG5" s="139">
        <v>5537</v>
      </c>
      <c r="AH5" s="139">
        <v>5012</v>
      </c>
      <c r="AI5" s="139">
        <v>3702</v>
      </c>
      <c r="AJ5" s="142">
        <v>4063</v>
      </c>
      <c r="AK5" s="140">
        <v>5151</v>
      </c>
      <c r="AL5" s="140">
        <v>5404</v>
      </c>
      <c r="AM5" s="140">
        <v>4739</v>
      </c>
      <c r="AN5" s="143">
        <v>4923.92</v>
      </c>
      <c r="AO5" s="138">
        <v>4404</v>
      </c>
      <c r="AP5" s="138">
        <v>5406.3778785867999</v>
      </c>
      <c r="AQ5" s="138">
        <v>5169.6221214132001</v>
      </c>
      <c r="AR5" s="144">
        <v>5122</v>
      </c>
      <c r="AS5" s="138">
        <v>5722</v>
      </c>
      <c r="AT5" s="138">
        <v>5009</v>
      </c>
      <c r="AU5" s="138">
        <v>5217</v>
      </c>
      <c r="AV5" s="136"/>
      <c r="AW5" s="136"/>
    </row>
    <row r="6" spans="1:49" ht="12.75" x14ac:dyDescent="0.2">
      <c r="A6" s="137" t="s">
        <v>298</v>
      </c>
      <c r="B6" s="145">
        <v>11437</v>
      </c>
      <c r="C6" s="145">
        <v>10907</v>
      </c>
      <c r="D6" s="145">
        <v>12328</v>
      </c>
      <c r="E6" s="145">
        <v>14451</v>
      </c>
      <c r="F6" s="145">
        <v>16154</v>
      </c>
      <c r="G6" s="145">
        <v>15926</v>
      </c>
      <c r="H6" s="145">
        <f t="shared" si="0"/>
        <v>18110</v>
      </c>
      <c r="I6" s="146">
        <v>24377</v>
      </c>
      <c r="J6" s="147">
        <v>26490</v>
      </c>
      <c r="K6" s="145">
        <v>27321</v>
      </c>
      <c r="L6" s="90"/>
      <c r="M6" s="145">
        <v>3053</v>
      </c>
      <c r="N6" s="145">
        <v>3181</v>
      </c>
      <c r="O6" s="145">
        <v>2982</v>
      </c>
      <c r="P6" s="148">
        <v>3112</v>
      </c>
      <c r="Q6" s="145">
        <v>3388</v>
      </c>
      <c r="R6" s="145">
        <v>3713</v>
      </c>
      <c r="S6" s="145">
        <v>3589</v>
      </c>
      <c r="T6" s="148">
        <v>3761</v>
      </c>
      <c r="U6" s="145">
        <v>3806</v>
      </c>
      <c r="V6" s="145">
        <v>4097</v>
      </c>
      <c r="W6" s="145">
        <v>4147</v>
      </c>
      <c r="X6" s="148">
        <v>4105</v>
      </c>
      <c r="Y6" s="145">
        <v>4251</v>
      </c>
      <c r="Z6" s="145">
        <v>3719</v>
      </c>
      <c r="AA6" s="145">
        <v>3969</v>
      </c>
      <c r="AB6" s="148">
        <v>3987</v>
      </c>
      <c r="AC6" s="145">
        <v>3963</v>
      </c>
      <c r="AD6" s="145">
        <v>4356</v>
      </c>
      <c r="AE6" s="145">
        <v>4804</v>
      </c>
      <c r="AF6" s="148">
        <v>4987</v>
      </c>
      <c r="AG6" s="146">
        <v>5303</v>
      </c>
      <c r="AH6" s="146">
        <v>5885</v>
      </c>
      <c r="AI6" s="146">
        <v>6089</v>
      </c>
      <c r="AJ6" s="149">
        <v>7100</v>
      </c>
      <c r="AK6" s="147">
        <v>6388</v>
      </c>
      <c r="AL6" s="147">
        <v>6872</v>
      </c>
      <c r="AM6" s="147">
        <v>6572</v>
      </c>
      <c r="AN6" s="150">
        <v>6627.08</v>
      </c>
      <c r="AO6" s="145">
        <v>6621</v>
      </c>
      <c r="AP6" s="145">
        <v>6981.6221214132001</v>
      </c>
      <c r="AQ6" s="145">
        <v>6660.3778785867999</v>
      </c>
      <c r="AR6" s="151">
        <v>7058</v>
      </c>
      <c r="AS6" s="145">
        <v>6655</v>
      </c>
      <c r="AT6" s="145">
        <v>6497</v>
      </c>
      <c r="AU6" s="145">
        <v>6222</v>
      </c>
      <c r="AV6" s="136"/>
      <c r="AW6" s="136"/>
    </row>
    <row r="7" spans="1:49" ht="12.75" x14ac:dyDescent="0.2">
      <c r="A7" s="131" t="s">
        <v>299</v>
      </c>
      <c r="B7" s="132">
        <v>8109</v>
      </c>
      <c r="C7" s="132">
        <v>7947</v>
      </c>
      <c r="D7" s="132">
        <v>9047.0275727111002</v>
      </c>
      <c r="E7" s="132">
        <v>9611</v>
      </c>
      <c r="F7" s="132">
        <v>10768</v>
      </c>
      <c r="G7" s="132">
        <v>9185</v>
      </c>
      <c r="H7" s="132">
        <f t="shared" si="0"/>
        <v>11025</v>
      </c>
      <c r="I7" s="133">
        <v>10670</v>
      </c>
      <c r="J7" s="132">
        <f>12466-402</f>
        <v>12064</v>
      </c>
      <c r="K7" s="132">
        <v>14663</v>
      </c>
      <c r="L7" s="90"/>
      <c r="M7" s="132">
        <v>2341.2545534702999</v>
      </c>
      <c r="N7" s="132">
        <v>2269.6157532337002</v>
      </c>
      <c r="O7" s="132">
        <v>2239.1572660071001</v>
      </c>
      <c r="P7" s="134">
        <v>2197</v>
      </c>
      <c r="Q7" s="132">
        <v>2550</v>
      </c>
      <c r="R7" s="132">
        <v>2470</v>
      </c>
      <c r="S7" s="132">
        <v>2285</v>
      </c>
      <c r="T7" s="134">
        <v>2306</v>
      </c>
      <c r="U7" s="132">
        <v>2760</v>
      </c>
      <c r="V7" s="132">
        <v>2826</v>
      </c>
      <c r="W7" s="132">
        <v>2665</v>
      </c>
      <c r="X7" s="134">
        <v>2517</v>
      </c>
      <c r="Y7" s="132">
        <v>2619</v>
      </c>
      <c r="Z7" s="132">
        <v>1980</v>
      </c>
      <c r="AA7" s="132">
        <v>2249</v>
      </c>
      <c r="AB7" s="134">
        <v>2337</v>
      </c>
      <c r="AC7" s="132">
        <v>2674</v>
      </c>
      <c r="AD7" s="132">
        <v>2678</v>
      </c>
      <c r="AE7" s="132">
        <v>2866</v>
      </c>
      <c r="AF7" s="134">
        <v>2807</v>
      </c>
      <c r="AG7" s="133">
        <v>2970</v>
      </c>
      <c r="AH7" s="133">
        <v>2495</v>
      </c>
      <c r="AI7" s="133">
        <v>2502</v>
      </c>
      <c r="AJ7" s="135">
        <v>2703</v>
      </c>
      <c r="AK7" s="132">
        <v>3133</v>
      </c>
      <c r="AL7" s="132">
        <v>3180</v>
      </c>
      <c r="AM7" s="132">
        <v>2924</v>
      </c>
      <c r="AN7" s="134">
        <v>2827</v>
      </c>
      <c r="AO7" s="132">
        <v>3122</v>
      </c>
      <c r="AP7" s="132">
        <v>3947</v>
      </c>
      <c r="AQ7" s="132">
        <v>3656</v>
      </c>
      <c r="AR7" s="134">
        <v>3938</v>
      </c>
      <c r="AS7" s="132">
        <v>4187</v>
      </c>
      <c r="AT7" s="132">
        <v>3743</v>
      </c>
      <c r="AU7" s="132">
        <v>3677</v>
      </c>
      <c r="AV7" s="136"/>
      <c r="AW7" s="136"/>
    </row>
    <row r="8" spans="1:49" ht="12.75" x14ac:dyDescent="0.2">
      <c r="A8" s="131" t="s">
        <v>300</v>
      </c>
      <c r="B8" s="132">
        <v>229</v>
      </c>
      <c r="C8" s="132">
        <v>274</v>
      </c>
      <c r="D8" s="132">
        <v>210</v>
      </c>
      <c r="E8" s="132">
        <v>94</v>
      </c>
      <c r="F8" s="132">
        <v>215</v>
      </c>
      <c r="G8" s="132">
        <v>142</v>
      </c>
      <c r="H8" s="132">
        <f t="shared" si="0"/>
        <v>110</v>
      </c>
      <c r="I8" s="152">
        <v>-139</v>
      </c>
      <c r="J8" s="132">
        <v>158</v>
      </c>
      <c r="K8" s="132">
        <v>127</v>
      </c>
      <c r="L8" s="90"/>
      <c r="M8" s="132">
        <v>-21</v>
      </c>
      <c r="N8" s="132">
        <v>68.861974440200356</v>
      </c>
      <c r="O8" s="132">
        <v>89</v>
      </c>
      <c r="P8" s="134">
        <v>73</v>
      </c>
      <c r="Q8" s="132">
        <v>44</v>
      </c>
      <c r="R8" s="132">
        <v>66</v>
      </c>
      <c r="S8" s="132">
        <v>-62</v>
      </c>
      <c r="T8" s="134">
        <v>46</v>
      </c>
      <c r="U8" s="132">
        <v>55</v>
      </c>
      <c r="V8" s="132">
        <v>50</v>
      </c>
      <c r="W8" s="132">
        <v>61</v>
      </c>
      <c r="X8" s="134">
        <v>49</v>
      </c>
      <c r="Y8" s="132">
        <v>52</v>
      </c>
      <c r="Z8" s="132">
        <v>-4</v>
      </c>
      <c r="AA8" s="132">
        <v>56</v>
      </c>
      <c r="AB8" s="134">
        <v>38</v>
      </c>
      <c r="AC8" s="132">
        <v>25</v>
      </c>
      <c r="AD8" s="132">
        <v>5</v>
      </c>
      <c r="AE8" s="132">
        <v>43</v>
      </c>
      <c r="AF8" s="134">
        <v>37</v>
      </c>
      <c r="AG8" s="133">
        <v>8</v>
      </c>
      <c r="AH8" s="133">
        <v>-15</v>
      </c>
      <c r="AI8" s="133">
        <v>29</v>
      </c>
      <c r="AJ8" s="135">
        <v>-161</v>
      </c>
      <c r="AK8" s="132">
        <v>43</v>
      </c>
      <c r="AL8" s="132">
        <v>-20</v>
      </c>
      <c r="AM8" s="132">
        <v>125</v>
      </c>
      <c r="AN8" s="134">
        <v>10</v>
      </c>
      <c r="AO8" s="132">
        <v>15</v>
      </c>
      <c r="AP8" s="132">
        <v>14</v>
      </c>
      <c r="AQ8" s="132">
        <v>34</v>
      </c>
      <c r="AR8" s="134">
        <v>64</v>
      </c>
      <c r="AS8" s="132">
        <v>22</v>
      </c>
      <c r="AT8" s="132">
        <v>27</v>
      </c>
      <c r="AU8" s="132">
        <v>26</v>
      </c>
      <c r="AV8" s="136"/>
      <c r="AW8" s="136"/>
    </row>
    <row r="9" spans="1:49" ht="12.75" x14ac:dyDescent="0.2">
      <c r="A9" s="153" t="s">
        <v>301</v>
      </c>
      <c r="B9" s="154">
        <v>27551</v>
      </c>
      <c r="C9" s="154">
        <v>27634</v>
      </c>
      <c r="D9" s="154">
        <v>33831</v>
      </c>
      <c r="E9" s="154">
        <v>39400</v>
      </c>
      <c r="F9" s="154">
        <v>39492</v>
      </c>
      <c r="G9" s="154">
        <v>36579</v>
      </c>
      <c r="H9" s="154">
        <f t="shared" si="0"/>
        <v>45648</v>
      </c>
      <c r="I9" s="154">
        <v>53222</v>
      </c>
      <c r="J9" s="154">
        <v>58899</v>
      </c>
      <c r="K9" s="154">
        <v>62213</v>
      </c>
      <c r="L9" s="155"/>
      <c r="M9" s="154">
        <v>8520</v>
      </c>
      <c r="N9" s="154">
        <v>8661.5155122188007</v>
      </c>
      <c r="O9" s="154">
        <v>8591.1572660070997</v>
      </c>
      <c r="P9" s="156">
        <v>8058</v>
      </c>
      <c r="Q9" s="154">
        <v>10036</v>
      </c>
      <c r="R9" s="154">
        <v>10483</v>
      </c>
      <c r="S9" s="154">
        <v>9413</v>
      </c>
      <c r="T9" s="156">
        <v>9468</v>
      </c>
      <c r="U9" s="154">
        <v>10063</v>
      </c>
      <c r="V9" s="154">
        <v>10553</v>
      </c>
      <c r="W9" s="154">
        <v>9600</v>
      </c>
      <c r="X9" s="156">
        <v>9276</v>
      </c>
      <c r="Y9" s="154">
        <v>9772</v>
      </c>
      <c r="Z9" s="154">
        <v>8105</v>
      </c>
      <c r="AA9" s="154">
        <v>9373</v>
      </c>
      <c r="AB9" s="156">
        <v>9329</v>
      </c>
      <c r="AC9" s="154">
        <v>10690</v>
      </c>
      <c r="AD9" s="154">
        <v>11070</v>
      </c>
      <c r="AE9" s="154">
        <v>12245</v>
      </c>
      <c r="AF9" s="156">
        <v>11643</v>
      </c>
      <c r="AG9" s="157">
        <v>13818</v>
      </c>
      <c r="AH9" s="157">
        <v>13377</v>
      </c>
      <c r="AI9" s="157">
        <v>12322</v>
      </c>
      <c r="AJ9" s="158">
        <v>13705</v>
      </c>
      <c r="AK9" s="154">
        <v>14715</v>
      </c>
      <c r="AL9" s="154">
        <v>15436</v>
      </c>
      <c r="AM9" s="154">
        <v>14360</v>
      </c>
      <c r="AN9" s="156">
        <v>14388</v>
      </c>
      <c r="AO9" s="154">
        <v>14162</v>
      </c>
      <c r="AP9" s="154">
        <v>16349</v>
      </c>
      <c r="AQ9" s="154">
        <v>15520</v>
      </c>
      <c r="AR9" s="156">
        <v>16182</v>
      </c>
      <c r="AS9" s="154">
        <v>16586</v>
      </c>
      <c r="AT9" s="154">
        <v>15276</v>
      </c>
      <c r="AU9" s="154">
        <v>15142</v>
      </c>
      <c r="AV9" s="136"/>
      <c r="AW9" s="136"/>
    </row>
    <row r="10" spans="1:49" ht="12.75" x14ac:dyDescent="0.2">
      <c r="A10" s="128"/>
      <c r="B10" s="159"/>
      <c r="C10" s="159"/>
      <c r="D10" s="159"/>
      <c r="E10" s="159"/>
      <c r="F10" s="159"/>
      <c r="G10" s="159"/>
      <c r="H10" s="159"/>
      <c r="I10" s="159"/>
      <c r="J10" s="159"/>
      <c r="K10" s="159"/>
      <c r="L10" s="90"/>
      <c r="M10" s="159"/>
      <c r="N10" s="159"/>
      <c r="O10" s="159"/>
      <c r="P10" s="160"/>
      <c r="Q10" s="159"/>
      <c r="R10" s="159"/>
      <c r="S10" s="159"/>
      <c r="T10" s="160"/>
      <c r="U10" s="159"/>
      <c r="V10" s="159"/>
      <c r="W10" s="159"/>
      <c r="X10" s="160"/>
      <c r="Y10" s="159"/>
      <c r="Z10" s="159"/>
      <c r="AA10" s="159"/>
      <c r="AB10" s="160"/>
      <c r="AC10" s="159"/>
      <c r="AD10" s="159"/>
      <c r="AE10" s="159"/>
      <c r="AF10" s="161"/>
      <c r="AG10" s="162"/>
      <c r="AH10" s="162"/>
      <c r="AI10" s="159"/>
      <c r="AJ10" s="161"/>
      <c r="AK10" s="159"/>
      <c r="AL10" s="162"/>
      <c r="AM10" s="159"/>
      <c r="AN10" s="161"/>
      <c r="AO10" s="159"/>
      <c r="AP10" s="159"/>
      <c r="AQ10" s="159"/>
      <c r="AR10" s="161"/>
      <c r="AS10" s="159"/>
      <c r="AT10" s="159"/>
      <c r="AU10" s="159"/>
      <c r="AV10" s="136"/>
      <c r="AW10" s="136"/>
    </row>
    <row r="11" spans="1:49" ht="12.75" x14ac:dyDescent="0.2">
      <c r="A11" s="128"/>
      <c r="B11" s="159"/>
      <c r="C11" s="159"/>
      <c r="D11" s="159"/>
      <c r="E11" s="159"/>
      <c r="F11" s="159"/>
      <c r="G11" s="159"/>
      <c r="H11" s="159"/>
      <c r="I11" s="159"/>
      <c r="J11" s="159"/>
      <c r="K11" s="159"/>
      <c r="L11" s="90"/>
      <c r="M11" s="159"/>
      <c r="N11" s="159"/>
      <c r="O11" s="159"/>
      <c r="P11" s="160"/>
      <c r="Q11" s="159"/>
      <c r="R11" s="159"/>
      <c r="S11" s="159"/>
      <c r="T11" s="160"/>
      <c r="U11" s="159"/>
      <c r="V11" s="159"/>
      <c r="W11" s="159"/>
      <c r="X11" s="160"/>
      <c r="Y11" s="159"/>
      <c r="Z11" s="159"/>
      <c r="AA11" s="159"/>
      <c r="AB11" s="160"/>
      <c r="AC11" s="159"/>
      <c r="AD11" s="159"/>
      <c r="AE11" s="162"/>
      <c r="AF11" s="161"/>
      <c r="AG11" s="162"/>
      <c r="AH11" s="162"/>
      <c r="AI11" s="162"/>
      <c r="AJ11" s="161"/>
      <c r="AK11" s="132"/>
      <c r="AL11" s="162"/>
      <c r="AM11" s="162"/>
      <c r="AN11" s="161"/>
      <c r="AO11" s="159"/>
      <c r="AP11" s="159"/>
      <c r="AQ11" s="159"/>
      <c r="AR11" s="161"/>
      <c r="AS11" s="159"/>
      <c r="AT11" s="159"/>
      <c r="AU11" s="159"/>
      <c r="AV11" s="136"/>
      <c r="AW11" s="136"/>
    </row>
    <row r="12" spans="1:49" ht="12.75" x14ac:dyDescent="0.2">
      <c r="A12" s="163" t="s">
        <v>302</v>
      </c>
      <c r="B12" s="164"/>
      <c r="C12" s="164"/>
      <c r="D12" s="164"/>
      <c r="E12" s="164"/>
      <c r="F12" s="164"/>
      <c r="G12" s="164"/>
      <c r="H12" s="164"/>
      <c r="I12" s="164"/>
      <c r="J12" s="164"/>
      <c r="K12" s="164"/>
      <c r="L12" s="90"/>
      <c r="M12" s="164"/>
      <c r="N12" s="164"/>
      <c r="O12" s="164"/>
      <c r="P12" s="165"/>
      <c r="Q12" s="164"/>
      <c r="R12" s="164"/>
      <c r="S12" s="164"/>
      <c r="T12" s="165"/>
      <c r="U12" s="164"/>
      <c r="V12" s="164"/>
      <c r="W12" s="164"/>
      <c r="X12" s="165"/>
      <c r="Y12" s="164"/>
      <c r="Z12" s="164"/>
      <c r="AA12" s="164"/>
      <c r="AB12" s="165"/>
      <c r="AC12" s="164"/>
      <c r="AD12" s="164"/>
      <c r="AE12" s="164"/>
      <c r="AF12" s="165"/>
      <c r="AG12" s="164"/>
      <c r="AH12" s="164"/>
      <c r="AI12" s="164"/>
      <c r="AJ12" s="165"/>
      <c r="AK12" s="164"/>
      <c r="AL12" s="164"/>
      <c r="AM12" s="164"/>
      <c r="AN12" s="165"/>
      <c r="AO12" s="164"/>
      <c r="AP12" s="164"/>
      <c r="AQ12" s="164"/>
      <c r="AR12" s="165"/>
      <c r="AS12" s="164"/>
      <c r="AT12" s="164"/>
      <c r="AU12" s="164"/>
      <c r="AV12" s="136"/>
      <c r="AW12" s="136"/>
    </row>
    <row r="13" spans="1:49" ht="12.75" x14ac:dyDescent="0.2">
      <c r="A13" s="131" t="s">
        <v>296</v>
      </c>
      <c r="B13" s="159"/>
      <c r="C13" s="159"/>
      <c r="D13" s="159"/>
      <c r="E13" s="159"/>
      <c r="F13" s="159"/>
      <c r="G13" s="159"/>
      <c r="H13" s="159"/>
      <c r="I13" s="159"/>
      <c r="J13" s="159"/>
      <c r="K13" s="159"/>
      <c r="L13" s="90"/>
      <c r="M13" s="159"/>
      <c r="N13" s="159"/>
      <c r="O13" s="159"/>
      <c r="P13" s="160"/>
      <c r="Q13" s="159"/>
      <c r="R13" s="159"/>
      <c r="S13" s="159"/>
      <c r="T13" s="160"/>
      <c r="U13" s="159"/>
      <c r="V13" s="159"/>
      <c r="W13" s="159"/>
      <c r="X13" s="160"/>
      <c r="Y13" s="159"/>
      <c r="Z13" s="159"/>
      <c r="AA13" s="159"/>
      <c r="AB13" s="160"/>
      <c r="AC13" s="159"/>
      <c r="AD13" s="159"/>
      <c r="AE13" s="166">
        <v>3</v>
      </c>
      <c r="AF13" s="167"/>
      <c r="AG13" s="166"/>
      <c r="AH13" s="166">
        <v>3</v>
      </c>
      <c r="AI13" s="166"/>
      <c r="AJ13" s="167">
        <v>11</v>
      </c>
      <c r="AK13" s="166"/>
      <c r="AL13" s="166"/>
      <c r="AM13" s="166"/>
      <c r="AN13" s="160"/>
      <c r="AO13" s="168"/>
      <c r="AP13" s="159"/>
      <c r="AQ13" s="159"/>
      <c r="AR13" s="160"/>
      <c r="AS13" s="168"/>
      <c r="AT13" s="159"/>
      <c r="AU13" s="159"/>
      <c r="AV13" s="136"/>
      <c r="AW13" s="136"/>
    </row>
    <row r="14" spans="1:49" ht="12.75" x14ac:dyDescent="0.2">
      <c r="A14" s="131" t="s">
        <v>299</v>
      </c>
      <c r="B14" s="159"/>
      <c r="C14" s="159"/>
      <c r="D14" s="159"/>
      <c r="E14" s="159"/>
      <c r="F14" s="159"/>
      <c r="G14" s="159"/>
      <c r="H14" s="159"/>
      <c r="I14" s="159"/>
      <c r="J14" s="159"/>
      <c r="K14" s="159"/>
      <c r="L14" s="90"/>
      <c r="M14" s="159"/>
      <c r="N14" s="159"/>
      <c r="O14" s="159"/>
      <c r="P14" s="160"/>
      <c r="Q14" s="159"/>
      <c r="R14" s="159"/>
      <c r="S14" s="159"/>
      <c r="T14" s="160"/>
      <c r="U14" s="159"/>
      <c r="V14" s="159"/>
      <c r="W14" s="159"/>
      <c r="X14" s="160"/>
      <c r="Y14" s="159"/>
      <c r="Z14" s="159"/>
      <c r="AA14" s="159"/>
      <c r="AB14" s="160"/>
      <c r="AC14" s="159"/>
      <c r="AD14" s="159"/>
      <c r="AE14" s="166">
        <v>7.3</v>
      </c>
      <c r="AF14" s="167"/>
      <c r="AG14" s="166"/>
      <c r="AH14" s="166"/>
      <c r="AI14" s="166"/>
      <c r="AJ14" s="167">
        <v>1</v>
      </c>
      <c r="AK14" s="166">
        <v>0</v>
      </c>
      <c r="AL14" s="166"/>
      <c r="AM14" s="166"/>
      <c r="AN14" s="160"/>
      <c r="AO14" s="132"/>
      <c r="AP14" s="159"/>
      <c r="AQ14" s="159"/>
      <c r="AR14" s="160"/>
      <c r="AS14" s="132"/>
      <c r="AT14" s="159"/>
      <c r="AU14" s="159"/>
      <c r="AV14" s="136"/>
      <c r="AW14" s="136"/>
    </row>
    <row r="15" spans="1:49" ht="12.75" x14ac:dyDescent="0.2">
      <c r="A15" s="131" t="s">
        <v>303</v>
      </c>
      <c r="B15" s="159"/>
      <c r="C15" s="159"/>
      <c r="D15" s="159"/>
      <c r="E15" s="159"/>
      <c r="F15" s="159"/>
      <c r="G15" s="159"/>
      <c r="H15" s="159"/>
      <c r="I15" s="159"/>
      <c r="J15" s="159"/>
      <c r="K15" s="159"/>
      <c r="L15" s="90"/>
      <c r="M15" s="159"/>
      <c r="N15" s="159"/>
      <c r="O15" s="159"/>
      <c r="P15" s="160"/>
      <c r="Q15" s="159"/>
      <c r="R15" s="159"/>
      <c r="S15" s="159"/>
      <c r="T15" s="160"/>
      <c r="U15" s="159"/>
      <c r="V15" s="159"/>
      <c r="W15" s="159"/>
      <c r="X15" s="160"/>
      <c r="Y15" s="159"/>
      <c r="Z15" s="159"/>
      <c r="AA15" s="159"/>
      <c r="AB15" s="160"/>
      <c r="AC15" s="159"/>
      <c r="AD15" s="159"/>
      <c r="AE15" s="166">
        <v>3.5</v>
      </c>
      <c r="AF15" s="167"/>
      <c r="AG15" s="166"/>
      <c r="AH15" s="166">
        <v>2.5</v>
      </c>
      <c r="AI15" s="166"/>
      <c r="AJ15" s="167">
        <v>9</v>
      </c>
      <c r="AK15" s="166">
        <v>0</v>
      </c>
      <c r="AL15" s="166"/>
      <c r="AM15" s="166"/>
      <c r="AN15" s="160"/>
      <c r="AO15" s="132"/>
      <c r="AP15" s="159"/>
      <c r="AQ15" s="159"/>
      <c r="AR15" s="160"/>
      <c r="AS15" s="132"/>
      <c r="AT15" s="159"/>
      <c r="AU15" s="159"/>
      <c r="AV15" s="136"/>
      <c r="AW15" s="136"/>
    </row>
    <row r="16" spans="1:49" ht="12.75" x14ac:dyDescent="0.2">
      <c r="A16" s="128"/>
      <c r="B16" s="159"/>
      <c r="C16" s="159"/>
      <c r="D16" s="159"/>
      <c r="E16" s="159"/>
      <c r="F16" s="159"/>
      <c r="G16" s="159"/>
      <c r="H16" s="159"/>
      <c r="I16" s="159"/>
      <c r="J16" s="159"/>
      <c r="K16" s="159"/>
      <c r="L16" s="90"/>
      <c r="M16" s="159"/>
      <c r="N16" s="159"/>
      <c r="O16" s="159"/>
      <c r="P16" s="160"/>
      <c r="Q16" s="159"/>
      <c r="R16" s="159"/>
      <c r="S16" s="159"/>
      <c r="T16" s="160"/>
      <c r="U16" s="159"/>
      <c r="V16" s="159"/>
      <c r="W16" s="159"/>
      <c r="X16" s="160"/>
      <c r="Y16" s="159"/>
      <c r="Z16" s="159"/>
      <c r="AA16" s="159"/>
      <c r="AB16" s="160"/>
      <c r="AC16" s="159"/>
      <c r="AD16" s="159"/>
      <c r="AE16" s="159"/>
      <c r="AF16" s="160"/>
      <c r="AG16" s="159"/>
      <c r="AH16" s="159"/>
      <c r="AI16" s="159"/>
      <c r="AJ16" s="160"/>
      <c r="AK16" s="159"/>
      <c r="AL16" s="159"/>
      <c r="AM16" s="159"/>
      <c r="AN16" s="160"/>
      <c r="AO16" s="159"/>
      <c r="AP16" s="159"/>
      <c r="AQ16" s="159"/>
      <c r="AR16" s="160"/>
      <c r="AS16" s="159"/>
      <c r="AT16" s="159"/>
      <c r="AU16" s="159"/>
      <c r="AV16" s="136"/>
      <c r="AW16" s="136"/>
    </row>
    <row r="17" spans="1:49" ht="12.75" x14ac:dyDescent="0.2">
      <c r="A17" s="163" t="s">
        <v>177</v>
      </c>
      <c r="B17" s="164">
        <v>2015</v>
      </c>
      <c r="C17" s="164">
        <v>2016</v>
      </c>
      <c r="D17" s="164">
        <v>2017</v>
      </c>
      <c r="E17" s="164">
        <v>2018</v>
      </c>
      <c r="F17" s="164">
        <v>2019</v>
      </c>
      <c r="G17" s="164">
        <v>2020</v>
      </c>
      <c r="H17" s="164">
        <v>2021</v>
      </c>
      <c r="I17" s="164">
        <v>2022</v>
      </c>
      <c r="J17" s="164">
        <v>2023</v>
      </c>
      <c r="K17" s="164">
        <v>2024</v>
      </c>
      <c r="L17" s="90"/>
      <c r="M17" s="164" t="s">
        <v>267</v>
      </c>
      <c r="N17" s="164" t="s">
        <v>268</v>
      </c>
      <c r="O17" s="164" t="s">
        <v>269</v>
      </c>
      <c r="P17" s="165" t="s">
        <v>270</v>
      </c>
      <c r="Q17" s="164" t="s">
        <v>131</v>
      </c>
      <c r="R17" s="164" t="s">
        <v>132</v>
      </c>
      <c r="S17" s="164" t="s">
        <v>133</v>
      </c>
      <c r="T17" s="165" t="s">
        <v>134</v>
      </c>
      <c r="U17" s="164" t="s">
        <v>135</v>
      </c>
      <c r="V17" s="164" t="s">
        <v>136</v>
      </c>
      <c r="W17" s="164" t="s">
        <v>137</v>
      </c>
      <c r="X17" s="165" t="s">
        <v>138</v>
      </c>
      <c r="Y17" s="164" t="s">
        <v>139</v>
      </c>
      <c r="Z17" s="164" t="s">
        <v>140</v>
      </c>
      <c r="AA17" s="164" t="s">
        <v>141</v>
      </c>
      <c r="AB17" s="165" t="s">
        <v>142</v>
      </c>
      <c r="AC17" s="164" t="s">
        <v>143</v>
      </c>
      <c r="AD17" s="164" t="s">
        <v>144</v>
      </c>
      <c r="AE17" s="164" t="s">
        <v>145</v>
      </c>
      <c r="AF17" s="165" t="s">
        <v>146</v>
      </c>
      <c r="AG17" s="164" t="s">
        <v>147</v>
      </c>
      <c r="AH17" s="164" t="s">
        <v>148</v>
      </c>
      <c r="AI17" s="164" t="s">
        <v>149</v>
      </c>
      <c r="AJ17" s="165" t="s">
        <v>150</v>
      </c>
      <c r="AK17" s="164" t="s">
        <v>151</v>
      </c>
      <c r="AL17" s="164" t="s">
        <v>152</v>
      </c>
      <c r="AM17" s="164" t="s">
        <v>153</v>
      </c>
      <c r="AN17" s="165" t="s">
        <v>154</v>
      </c>
      <c r="AO17" s="164" t="s">
        <v>155</v>
      </c>
      <c r="AP17" s="164" t="s">
        <v>156</v>
      </c>
      <c r="AQ17" s="164" t="s">
        <v>157</v>
      </c>
      <c r="AR17" s="165" t="s">
        <v>158</v>
      </c>
      <c r="AS17" s="164" t="s">
        <v>159</v>
      </c>
      <c r="AT17" s="164" t="s">
        <v>160</v>
      </c>
      <c r="AU17" s="164" t="s">
        <v>161</v>
      </c>
      <c r="AV17" s="136"/>
      <c r="AW17" s="136"/>
    </row>
    <row r="18" spans="1:49" ht="12.75" x14ac:dyDescent="0.2">
      <c r="A18" s="131" t="s">
        <v>296</v>
      </c>
      <c r="B18" s="132">
        <v>20317</v>
      </c>
      <c r="C18" s="132">
        <v>18898</v>
      </c>
      <c r="D18" s="132">
        <v>22383</v>
      </c>
      <c r="E18" s="132">
        <v>28540</v>
      </c>
      <c r="F18" s="132">
        <v>29891</v>
      </c>
      <c r="G18" s="132">
        <v>26927</v>
      </c>
      <c r="H18" s="132">
        <f t="shared" ref="H18:H23" si="1">SUM(AC18:AF18)</f>
        <v>29320</v>
      </c>
      <c r="I18" s="133">
        <v>38904</v>
      </c>
      <c r="J18" s="132">
        <v>47530</v>
      </c>
      <c r="K18" s="132">
        <v>48914</v>
      </c>
      <c r="L18" s="90"/>
      <c r="M18" s="132">
        <v>5220</v>
      </c>
      <c r="N18" s="132">
        <v>5495</v>
      </c>
      <c r="O18" s="132">
        <v>5406</v>
      </c>
      <c r="P18" s="134">
        <v>6262</v>
      </c>
      <c r="Q18" s="132">
        <v>5943</v>
      </c>
      <c r="R18" s="132">
        <v>7325</v>
      </c>
      <c r="S18" s="132">
        <v>7178</v>
      </c>
      <c r="T18" s="134">
        <v>8094</v>
      </c>
      <c r="U18" s="132">
        <v>7115</v>
      </c>
      <c r="V18" s="132">
        <v>7702</v>
      </c>
      <c r="W18" s="132">
        <v>7334</v>
      </c>
      <c r="X18" s="134">
        <v>7740</v>
      </c>
      <c r="Y18" s="132">
        <v>6579</v>
      </c>
      <c r="Z18" s="132">
        <v>6422</v>
      </c>
      <c r="AA18" s="132">
        <v>6471</v>
      </c>
      <c r="AB18" s="134">
        <v>7455</v>
      </c>
      <c r="AC18" s="132">
        <v>6391</v>
      </c>
      <c r="AD18" s="132">
        <v>7187</v>
      </c>
      <c r="AE18" s="132">
        <v>7242</v>
      </c>
      <c r="AF18" s="134">
        <v>8500</v>
      </c>
      <c r="AG18" s="133">
        <v>8485</v>
      </c>
      <c r="AH18" s="133">
        <v>9060</v>
      </c>
      <c r="AI18" s="133">
        <v>10070</v>
      </c>
      <c r="AJ18" s="135">
        <v>11289</v>
      </c>
      <c r="AK18" s="132">
        <v>10733</v>
      </c>
      <c r="AL18" s="132">
        <v>12510</v>
      </c>
      <c r="AM18" s="132">
        <v>11729</v>
      </c>
      <c r="AN18" s="134">
        <v>12558</v>
      </c>
      <c r="AO18" s="132">
        <v>11212</v>
      </c>
      <c r="AP18" s="132">
        <v>12516</v>
      </c>
      <c r="AQ18" s="132">
        <v>11875</v>
      </c>
      <c r="AR18" s="134">
        <v>13311</v>
      </c>
      <c r="AS18" s="132">
        <v>11704</v>
      </c>
      <c r="AT18" s="132">
        <v>11435</v>
      </c>
      <c r="AU18" s="132">
        <v>11513</v>
      </c>
      <c r="AV18" s="136"/>
      <c r="AW18" s="136"/>
    </row>
    <row r="19" spans="1:49" ht="12.75" x14ac:dyDescent="0.2">
      <c r="A19" s="137" t="s">
        <v>297</v>
      </c>
      <c r="B19" s="138">
        <v>8510</v>
      </c>
      <c r="C19" s="138">
        <v>7710</v>
      </c>
      <c r="D19" s="138">
        <v>10276</v>
      </c>
      <c r="E19" s="138">
        <v>14238</v>
      </c>
      <c r="F19" s="138">
        <v>13862</v>
      </c>
      <c r="G19" s="138">
        <v>11382</v>
      </c>
      <c r="H19" s="138">
        <f t="shared" si="1"/>
        <v>12197</v>
      </c>
      <c r="I19" s="139">
        <v>16442</v>
      </c>
      <c r="J19" s="140">
        <v>20410</v>
      </c>
      <c r="K19" s="138">
        <v>21726</v>
      </c>
      <c r="L19" s="155"/>
      <c r="M19" s="138">
        <v>2219</v>
      </c>
      <c r="N19" s="138">
        <v>2469</v>
      </c>
      <c r="O19" s="138">
        <v>2414</v>
      </c>
      <c r="P19" s="141">
        <v>3174</v>
      </c>
      <c r="Q19" s="138">
        <v>2678</v>
      </c>
      <c r="R19" s="138">
        <v>3640</v>
      </c>
      <c r="S19" s="138">
        <v>3570</v>
      </c>
      <c r="T19" s="141">
        <v>4350</v>
      </c>
      <c r="U19" s="138">
        <v>3313</v>
      </c>
      <c r="V19" s="138">
        <v>3638</v>
      </c>
      <c r="W19" s="138">
        <v>3198</v>
      </c>
      <c r="X19" s="141">
        <v>3713</v>
      </c>
      <c r="Y19" s="138">
        <v>2519</v>
      </c>
      <c r="Z19" s="138">
        <v>2768</v>
      </c>
      <c r="AA19" s="138">
        <v>2688</v>
      </c>
      <c r="AB19" s="141">
        <v>3408</v>
      </c>
      <c r="AC19" s="138">
        <v>2562</v>
      </c>
      <c r="AD19" s="138">
        <v>3052</v>
      </c>
      <c r="AE19" s="138">
        <v>2792</v>
      </c>
      <c r="AF19" s="141">
        <v>3791</v>
      </c>
      <c r="AG19" s="139">
        <v>3699</v>
      </c>
      <c r="AH19" s="139">
        <v>3550</v>
      </c>
      <c r="AI19" s="139">
        <v>4155</v>
      </c>
      <c r="AJ19" s="142">
        <v>5037</v>
      </c>
      <c r="AK19" s="140">
        <v>4120</v>
      </c>
      <c r="AL19" s="140">
        <v>5489</v>
      </c>
      <c r="AM19" s="140">
        <v>4870</v>
      </c>
      <c r="AN19" s="143">
        <v>5930.74</v>
      </c>
      <c r="AO19" s="138">
        <v>4708</v>
      </c>
      <c r="AP19" s="138">
        <v>5546.6664725846003</v>
      </c>
      <c r="AQ19" s="138">
        <v>5178.3335274153997</v>
      </c>
      <c r="AR19" s="144">
        <v>6293</v>
      </c>
      <c r="AS19" s="138">
        <v>5072</v>
      </c>
      <c r="AT19" s="138">
        <v>5012</v>
      </c>
      <c r="AU19" s="138">
        <v>5225</v>
      </c>
      <c r="AV19" s="136"/>
      <c r="AW19" s="136"/>
    </row>
    <row r="20" spans="1:49" ht="12.75" x14ac:dyDescent="0.2">
      <c r="A20" s="137" t="s">
        <v>298</v>
      </c>
      <c r="B20" s="145">
        <v>11807</v>
      </c>
      <c r="C20" s="145">
        <v>11188</v>
      </c>
      <c r="D20" s="145">
        <v>12106.760383407502</v>
      </c>
      <c r="E20" s="145">
        <v>14302</v>
      </c>
      <c r="F20" s="145">
        <v>16030</v>
      </c>
      <c r="G20" s="145">
        <v>15545</v>
      </c>
      <c r="H20" s="145">
        <f t="shared" si="1"/>
        <v>17123</v>
      </c>
      <c r="I20" s="146">
        <v>22462</v>
      </c>
      <c r="J20" s="147">
        <v>27120</v>
      </c>
      <c r="K20" s="145">
        <v>27188</v>
      </c>
      <c r="L20" s="169"/>
      <c r="M20" s="145">
        <v>3000.7719271698002</v>
      </c>
      <c r="N20" s="145">
        <v>3026</v>
      </c>
      <c r="O20" s="145">
        <v>2992</v>
      </c>
      <c r="P20" s="148">
        <v>3088.1511000085002</v>
      </c>
      <c r="Q20" s="145">
        <v>3265</v>
      </c>
      <c r="R20" s="145">
        <v>3685</v>
      </c>
      <c r="S20" s="145">
        <v>3608</v>
      </c>
      <c r="T20" s="148">
        <v>3744.3818536147</v>
      </c>
      <c r="U20" s="145">
        <v>3802</v>
      </c>
      <c r="V20" s="145">
        <v>4064</v>
      </c>
      <c r="W20" s="145">
        <v>4136</v>
      </c>
      <c r="X20" s="148">
        <v>4028</v>
      </c>
      <c r="Y20" s="145">
        <v>4060</v>
      </c>
      <c r="Z20" s="145">
        <v>3654</v>
      </c>
      <c r="AA20" s="145">
        <v>3783</v>
      </c>
      <c r="AB20" s="148">
        <v>4048</v>
      </c>
      <c r="AC20" s="145">
        <v>3829</v>
      </c>
      <c r="AD20" s="145">
        <v>4135</v>
      </c>
      <c r="AE20" s="145">
        <v>4450</v>
      </c>
      <c r="AF20" s="148">
        <v>4709</v>
      </c>
      <c r="AG20" s="146">
        <v>4786</v>
      </c>
      <c r="AH20" s="146">
        <v>5510</v>
      </c>
      <c r="AI20" s="146">
        <v>5915</v>
      </c>
      <c r="AJ20" s="149">
        <v>6252</v>
      </c>
      <c r="AK20" s="147">
        <v>6613</v>
      </c>
      <c r="AL20" s="147">
        <v>7021</v>
      </c>
      <c r="AM20" s="147">
        <v>6859</v>
      </c>
      <c r="AN20" s="150">
        <v>6627.26</v>
      </c>
      <c r="AO20" s="145">
        <v>6504</v>
      </c>
      <c r="AP20" s="145">
        <v>6969.3335274153997</v>
      </c>
      <c r="AQ20" s="145">
        <v>6696.6664725846003</v>
      </c>
      <c r="AR20" s="151">
        <v>7018</v>
      </c>
      <c r="AS20" s="145">
        <v>6632</v>
      </c>
      <c r="AT20" s="145">
        <v>6423</v>
      </c>
      <c r="AU20" s="145">
        <v>6288</v>
      </c>
      <c r="AV20" s="136"/>
      <c r="AW20" s="136"/>
    </row>
    <row r="21" spans="1:49" ht="12.75" x14ac:dyDescent="0.2">
      <c r="A21" s="131" t="s">
        <v>299</v>
      </c>
      <c r="B21" s="132">
        <v>8088</v>
      </c>
      <c r="C21" s="132">
        <v>7925</v>
      </c>
      <c r="D21" s="132">
        <v>8738</v>
      </c>
      <c r="E21" s="132">
        <v>9519</v>
      </c>
      <c r="F21" s="132">
        <v>10799</v>
      </c>
      <c r="G21" s="132">
        <v>9024</v>
      </c>
      <c r="H21" s="132">
        <f t="shared" si="1"/>
        <v>10205</v>
      </c>
      <c r="I21" s="133">
        <v>10806</v>
      </c>
      <c r="J21" s="132">
        <v>12723</v>
      </c>
      <c r="K21" s="132">
        <v>14640</v>
      </c>
      <c r="L21" s="90"/>
      <c r="M21" s="132">
        <v>2161</v>
      </c>
      <c r="N21" s="132">
        <v>2297</v>
      </c>
      <c r="O21" s="132">
        <v>2141</v>
      </c>
      <c r="P21" s="134">
        <v>2139</v>
      </c>
      <c r="Q21" s="132">
        <v>2245</v>
      </c>
      <c r="R21" s="132">
        <v>2452</v>
      </c>
      <c r="S21" s="132">
        <v>2382</v>
      </c>
      <c r="T21" s="134">
        <v>2440</v>
      </c>
      <c r="U21" s="132">
        <v>2605</v>
      </c>
      <c r="V21" s="132">
        <v>2926</v>
      </c>
      <c r="W21" s="132">
        <v>2765</v>
      </c>
      <c r="X21" s="134">
        <v>2503</v>
      </c>
      <c r="Y21" s="132">
        <v>2505</v>
      </c>
      <c r="Z21" s="132">
        <v>2035</v>
      </c>
      <c r="AA21" s="132">
        <v>2196</v>
      </c>
      <c r="AB21" s="134">
        <v>2288</v>
      </c>
      <c r="AC21" s="132">
        <v>2345</v>
      </c>
      <c r="AD21" s="132">
        <v>2517</v>
      </c>
      <c r="AE21" s="132">
        <v>2699</v>
      </c>
      <c r="AF21" s="134">
        <v>2644</v>
      </c>
      <c r="AG21" s="133">
        <v>2588</v>
      </c>
      <c r="AH21" s="133">
        <v>2794</v>
      </c>
      <c r="AI21" s="133">
        <v>2711</v>
      </c>
      <c r="AJ21" s="135">
        <v>2713</v>
      </c>
      <c r="AK21" s="132">
        <v>3125</v>
      </c>
      <c r="AL21" s="132">
        <v>3418</v>
      </c>
      <c r="AM21" s="132">
        <v>3195</v>
      </c>
      <c r="AN21" s="134">
        <v>2985</v>
      </c>
      <c r="AO21" s="132">
        <v>2949</v>
      </c>
      <c r="AP21" s="132">
        <v>3991</v>
      </c>
      <c r="AQ21" s="132">
        <v>3809</v>
      </c>
      <c r="AR21" s="134">
        <v>3891</v>
      </c>
      <c r="AS21" s="132">
        <v>3811</v>
      </c>
      <c r="AT21" s="132">
        <v>3665</v>
      </c>
      <c r="AU21" s="132">
        <v>3704</v>
      </c>
      <c r="AV21" s="136"/>
      <c r="AW21" s="136"/>
    </row>
    <row r="22" spans="1:49" ht="12.75" x14ac:dyDescent="0.2">
      <c r="A22" s="131" t="s">
        <v>300</v>
      </c>
      <c r="B22" s="132">
        <v>258</v>
      </c>
      <c r="C22" s="132">
        <v>279</v>
      </c>
      <c r="D22" s="132">
        <v>243.24751847849984</v>
      </c>
      <c r="E22" s="132">
        <v>226</v>
      </c>
      <c r="F22" s="132">
        <v>159</v>
      </c>
      <c r="G22" s="132">
        <v>171</v>
      </c>
      <c r="H22" s="132">
        <f t="shared" si="1"/>
        <v>120</v>
      </c>
      <c r="I22" s="132">
        <v>-16</v>
      </c>
      <c r="J22" s="132">
        <v>90</v>
      </c>
      <c r="K22" s="132">
        <v>50</v>
      </c>
      <c r="L22" s="90"/>
      <c r="M22" s="132">
        <v>30.247518478499842</v>
      </c>
      <c r="N22" s="132">
        <v>87</v>
      </c>
      <c r="O22" s="132">
        <v>63</v>
      </c>
      <c r="P22" s="134">
        <v>63</v>
      </c>
      <c r="Q22" s="132">
        <v>45</v>
      </c>
      <c r="R22" s="132">
        <v>66</v>
      </c>
      <c r="S22" s="132">
        <v>91</v>
      </c>
      <c r="T22" s="134">
        <v>24</v>
      </c>
      <c r="U22" s="132">
        <v>65</v>
      </c>
      <c r="V22" s="132">
        <v>-2</v>
      </c>
      <c r="W22" s="132">
        <v>59</v>
      </c>
      <c r="X22" s="134">
        <v>37</v>
      </c>
      <c r="Y22" s="132">
        <v>50</v>
      </c>
      <c r="Z22" s="132">
        <v>1</v>
      </c>
      <c r="AA22" s="132">
        <v>57</v>
      </c>
      <c r="AB22" s="134">
        <v>63</v>
      </c>
      <c r="AC22" s="132">
        <v>37</v>
      </c>
      <c r="AD22" s="132">
        <v>29</v>
      </c>
      <c r="AE22" s="132">
        <v>25</v>
      </c>
      <c r="AF22" s="134">
        <v>29</v>
      </c>
      <c r="AG22" s="133">
        <v>15</v>
      </c>
      <c r="AH22" s="133">
        <v>14</v>
      </c>
      <c r="AI22" s="133">
        <v>21</v>
      </c>
      <c r="AJ22" s="135">
        <v>-66</v>
      </c>
      <c r="AK22" s="132">
        <v>10</v>
      </c>
      <c r="AL22" s="132">
        <v>-18</v>
      </c>
      <c r="AM22" s="132">
        <v>73</v>
      </c>
      <c r="AN22" s="134">
        <v>25</v>
      </c>
      <c r="AO22" s="132">
        <v>-18</v>
      </c>
      <c r="AP22" s="132">
        <v>4</v>
      </c>
      <c r="AQ22" s="132">
        <v>15</v>
      </c>
      <c r="AR22" s="134">
        <v>49</v>
      </c>
      <c r="AS22" s="132">
        <v>21</v>
      </c>
      <c r="AT22" s="132">
        <v>30</v>
      </c>
      <c r="AU22" s="132">
        <v>25</v>
      </c>
      <c r="AV22" s="136"/>
      <c r="AW22" s="136"/>
    </row>
    <row r="23" spans="1:49" ht="12.75" x14ac:dyDescent="0.2">
      <c r="A23" s="153" t="s">
        <v>301</v>
      </c>
      <c r="B23" s="154">
        <v>28663</v>
      </c>
      <c r="C23" s="154">
        <v>27102</v>
      </c>
      <c r="D23" s="154">
        <v>31364.2475184785</v>
      </c>
      <c r="E23" s="154">
        <v>38285</v>
      </c>
      <c r="F23" s="154">
        <v>40849</v>
      </c>
      <c r="G23" s="154">
        <v>36122</v>
      </c>
      <c r="H23" s="154">
        <f t="shared" si="1"/>
        <v>39645</v>
      </c>
      <c r="I23" s="154">
        <v>49694</v>
      </c>
      <c r="J23" s="154">
        <v>60343</v>
      </c>
      <c r="K23" s="154">
        <v>63604</v>
      </c>
      <c r="L23" s="170"/>
      <c r="M23" s="154">
        <v>7411.2475184784998</v>
      </c>
      <c r="N23" s="154">
        <v>7879</v>
      </c>
      <c r="O23" s="154">
        <v>7610</v>
      </c>
      <c r="P23" s="156">
        <v>8464</v>
      </c>
      <c r="Q23" s="154">
        <v>8233</v>
      </c>
      <c r="R23" s="154">
        <v>9843</v>
      </c>
      <c r="S23" s="154">
        <v>9651</v>
      </c>
      <c r="T23" s="156">
        <v>10558</v>
      </c>
      <c r="U23" s="154">
        <v>9785</v>
      </c>
      <c r="V23" s="154">
        <v>10626</v>
      </c>
      <c r="W23" s="154">
        <v>10158</v>
      </c>
      <c r="X23" s="156">
        <v>10280</v>
      </c>
      <c r="Y23" s="154">
        <v>9134</v>
      </c>
      <c r="Z23" s="154">
        <v>8458</v>
      </c>
      <c r="AA23" s="154">
        <v>8724</v>
      </c>
      <c r="AB23" s="156">
        <v>9806</v>
      </c>
      <c r="AC23" s="154">
        <v>8773</v>
      </c>
      <c r="AD23" s="154">
        <v>9733</v>
      </c>
      <c r="AE23" s="154">
        <v>9966</v>
      </c>
      <c r="AF23" s="156">
        <v>11173</v>
      </c>
      <c r="AG23" s="157">
        <v>11088</v>
      </c>
      <c r="AH23" s="157">
        <v>11868</v>
      </c>
      <c r="AI23" s="157">
        <v>12802</v>
      </c>
      <c r="AJ23" s="158">
        <v>13936</v>
      </c>
      <c r="AK23" s="154">
        <v>13868</v>
      </c>
      <c r="AL23" s="154">
        <v>15910</v>
      </c>
      <c r="AM23" s="154">
        <v>14997</v>
      </c>
      <c r="AN23" s="156">
        <v>15568</v>
      </c>
      <c r="AO23" s="154">
        <v>14143</v>
      </c>
      <c r="AP23" s="154">
        <v>16511</v>
      </c>
      <c r="AQ23" s="154">
        <v>15699</v>
      </c>
      <c r="AR23" s="156">
        <v>17251</v>
      </c>
      <c r="AS23" s="154">
        <v>15536</v>
      </c>
      <c r="AT23" s="154">
        <v>15130</v>
      </c>
      <c r="AU23" s="154">
        <v>15242</v>
      </c>
      <c r="AV23" s="136"/>
      <c r="AW23" s="136"/>
    </row>
    <row r="24" spans="1:49" ht="12.75" x14ac:dyDescent="0.2">
      <c r="A24" s="137" t="s">
        <v>304</v>
      </c>
      <c r="B24" s="159"/>
      <c r="C24" s="171">
        <v>-0.05</v>
      </c>
      <c r="D24" s="171">
        <v>0.16</v>
      </c>
      <c r="E24" s="171">
        <v>0.22</v>
      </c>
      <c r="F24" s="171">
        <v>7.0000000000000007E-2</v>
      </c>
      <c r="G24" s="171">
        <v>-0.12</v>
      </c>
      <c r="H24" s="171">
        <f>H23/G23-1</f>
        <v>9.7530590775704473E-2</v>
      </c>
      <c r="I24" s="171">
        <f>I23/H23-1</f>
        <v>0.25347458695926339</v>
      </c>
      <c r="J24" s="171">
        <f>J23/I23-1</f>
        <v>0.2142914637582003</v>
      </c>
      <c r="K24" s="171">
        <f>K23/J23-1</f>
        <v>5.4041065243690234E-2</v>
      </c>
      <c r="L24" s="90"/>
      <c r="M24" s="159"/>
      <c r="N24" s="159"/>
      <c r="O24" s="159"/>
      <c r="P24" s="160"/>
      <c r="Q24" s="159"/>
      <c r="R24" s="159"/>
      <c r="S24" s="159"/>
      <c r="T24" s="160"/>
      <c r="U24" s="159"/>
      <c r="V24" s="159"/>
      <c r="W24" s="159"/>
      <c r="X24" s="160"/>
      <c r="Y24" s="159"/>
      <c r="Z24" s="159"/>
      <c r="AA24" s="159"/>
      <c r="AB24" s="160"/>
      <c r="AC24" s="159"/>
      <c r="AD24" s="159"/>
      <c r="AE24" s="159"/>
      <c r="AF24" s="160"/>
      <c r="AG24" s="159"/>
      <c r="AH24" s="159"/>
      <c r="AI24" s="159"/>
      <c r="AJ24" s="160"/>
      <c r="AK24" s="159"/>
      <c r="AL24" s="159"/>
      <c r="AM24" s="159"/>
      <c r="AN24" s="160"/>
      <c r="AO24" s="159"/>
      <c r="AP24" s="159"/>
      <c r="AQ24" s="159"/>
      <c r="AR24" s="160"/>
      <c r="AS24" s="159"/>
      <c r="AT24" s="159"/>
      <c r="AU24" s="159"/>
      <c r="AV24" s="136"/>
      <c r="AW24" s="136"/>
    </row>
    <row r="25" spans="1:49" ht="12.75" x14ac:dyDescent="0.2">
      <c r="A25" s="137" t="s">
        <v>305</v>
      </c>
      <c r="B25" s="159"/>
      <c r="C25" s="172">
        <f t="shared" ref="C25:J25" si="2">D25</f>
        <v>9.2603359896692217E-2</v>
      </c>
      <c r="D25" s="172">
        <f t="shared" si="2"/>
        <v>9.2603359896692217E-2</v>
      </c>
      <c r="E25" s="172">
        <f t="shared" si="2"/>
        <v>9.2603359896692217E-2</v>
      </c>
      <c r="F25" s="172">
        <f t="shared" si="2"/>
        <v>9.2603359896692217E-2</v>
      </c>
      <c r="G25" s="172">
        <f t="shared" si="2"/>
        <v>9.2603359896692217E-2</v>
      </c>
      <c r="H25" s="172">
        <f t="shared" si="2"/>
        <v>9.2603359896692217E-2</v>
      </c>
      <c r="I25" s="172">
        <f t="shared" si="2"/>
        <v>9.2603359896692217E-2</v>
      </c>
      <c r="J25" s="172">
        <f t="shared" si="2"/>
        <v>9.2603359896692217E-2</v>
      </c>
      <c r="K25" s="172">
        <f>($K$23/$B$23)^(1/9)-1</f>
        <v>9.2603359896692217E-2</v>
      </c>
      <c r="L25" s="90"/>
      <c r="M25" s="159"/>
      <c r="N25" s="159"/>
      <c r="O25" s="159"/>
      <c r="P25" s="160"/>
      <c r="Q25" s="159"/>
      <c r="R25" s="159"/>
      <c r="S25" s="159"/>
      <c r="T25" s="160"/>
      <c r="U25" s="159"/>
      <c r="V25" s="159"/>
      <c r="W25" s="159"/>
      <c r="X25" s="160"/>
      <c r="Y25" s="159"/>
      <c r="Z25" s="159"/>
      <c r="AA25" s="159"/>
      <c r="AB25" s="160"/>
      <c r="AC25" s="159"/>
      <c r="AD25" s="159"/>
      <c r="AE25" s="159"/>
      <c r="AF25" s="160"/>
      <c r="AG25" s="159"/>
      <c r="AH25" s="159"/>
      <c r="AI25" s="159"/>
      <c r="AJ25" s="160"/>
      <c r="AK25" s="159"/>
      <c r="AL25" s="159"/>
      <c r="AM25" s="159"/>
      <c r="AN25" s="160"/>
      <c r="AO25" s="173"/>
      <c r="AP25" s="159"/>
      <c r="AQ25" s="159"/>
      <c r="AR25" s="160"/>
      <c r="AS25" s="173"/>
      <c r="AT25" s="159"/>
      <c r="AU25" s="159"/>
      <c r="AV25" s="136"/>
      <c r="AW25" s="136"/>
    </row>
    <row r="26" spans="1:49" ht="12.75" x14ac:dyDescent="0.2">
      <c r="A26" s="137"/>
      <c r="B26" s="159"/>
      <c r="C26" s="172"/>
      <c r="D26" s="172"/>
      <c r="E26" s="172"/>
      <c r="F26" s="172"/>
      <c r="G26" s="172"/>
      <c r="H26" s="172"/>
      <c r="I26" s="172"/>
      <c r="J26" s="172"/>
      <c r="K26" s="172"/>
      <c r="L26" s="90"/>
      <c r="M26" s="159"/>
      <c r="N26" s="159"/>
      <c r="O26" s="159"/>
      <c r="P26" s="160"/>
      <c r="Q26" s="159"/>
      <c r="R26" s="159"/>
      <c r="S26" s="159"/>
      <c r="T26" s="160"/>
      <c r="U26" s="159"/>
      <c r="V26" s="159"/>
      <c r="W26" s="159"/>
      <c r="X26" s="160"/>
      <c r="Y26" s="159"/>
      <c r="Z26" s="159"/>
      <c r="AA26" s="159"/>
      <c r="AB26" s="160"/>
      <c r="AC26" s="159"/>
      <c r="AD26" s="159"/>
      <c r="AE26" s="159"/>
      <c r="AF26" s="160"/>
      <c r="AG26" s="159"/>
      <c r="AH26" s="159"/>
      <c r="AI26" s="159"/>
      <c r="AJ26" s="160"/>
      <c r="AK26" s="159"/>
      <c r="AL26" s="159"/>
      <c r="AM26" s="159"/>
      <c r="AN26" s="160"/>
      <c r="AO26" s="159"/>
      <c r="AP26" s="159"/>
      <c r="AQ26" s="159"/>
      <c r="AR26" s="160"/>
      <c r="AS26" s="159"/>
      <c r="AT26" s="159"/>
      <c r="AU26" s="159"/>
      <c r="AV26" s="136"/>
      <c r="AW26" s="136"/>
    </row>
    <row r="27" spans="1:49" ht="12.75" x14ac:dyDescent="0.2">
      <c r="A27" s="128"/>
      <c r="B27" s="159"/>
      <c r="C27" s="159"/>
      <c r="D27" s="159"/>
      <c r="E27" s="159"/>
      <c r="F27" s="159"/>
      <c r="G27" s="173"/>
      <c r="H27" s="173"/>
      <c r="I27" s="173"/>
      <c r="J27" s="173"/>
      <c r="K27" s="159"/>
      <c r="L27" s="90"/>
      <c r="M27" s="159"/>
      <c r="N27" s="159"/>
      <c r="O27" s="159"/>
      <c r="P27" s="160"/>
      <c r="Q27" s="159"/>
      <c r="R27" s="159"/>
      <c r="S27" s="159"/>
      <c r="T27" s="160"/>
      <c r="U27" s="159"/>
      <c r="V27" s="159"/>
      <c r="W27" s="159"/>
      <c r="X27" s="160"/>
      <c r="Y27" s="159"/>
      <c r="Z27" s="159"/>
      <c r="AA27" s="159"/>
      <c r="AB27" s="160"/>
      <c r="AC27" s="159"/>
      <c r="AD27" s="159"/>
      <c r="AE27" s="159"/>
      <c r="AF27" s="160"/>
      <c r="AG27" s="159"/>
      <c r="AH27" s="159"/>
      <c r="AI27" s="159"/>
      <c r="AJ27" s="160"/>
      <c r="AK27" s="159"/>
      <c r="AL27" s="159"/>
      <c r="AM27" s="159"/>
      <c r="AN27" s="160"/>
      <c r="AO27" s="159"/>
      <c r="AP27" s="159"/>
      <c r="AQ27" s="159" t="s">
        <v>306</v>
      </c>
      <c r="AR27" s="160"/>
      <c r="AS27" s="159"/>
      <c r="AT27" s="159"/>
      <c r="AU27" s="159"/>
      <c r="AV27" s="136"/>
      <c r="AW27" s="136"/>
    </row>
    <row r="28" spans="1:49" ht="12.75" x14ac:dyDescent="0.2">
      <c r="A28" s="163" t="s">
        <v>307</v>
      </c>
      <c r="B28" s="164">
        <v>2015</v>
      </c>
      <c r="C28" s="164">
        <v>2016</v>
      </c>
      <c r="D28" s="164">
        <v>2017</v>
      </c>
      <c r="E28" s="164">
        <v>2018</v>
      </c>
      <c r="F28" s="164">
        <v>2019</v>
      </c>
      <c r="G28" s="164">
        <v>2020</v>
      </c>
      <c r="H28" s="164">
        <v>2021</v>
      </c>
      <c r="I28" s="164">
        <v>2022</v>
      </c>
      <c r="J28" s="164">
        <v>2023</v>
      </c>
      <c r="K28" s="164">
        <v>2024</v>
      </c>
      <c r="L28" s="90"/>
      <c r="M28" s="164" t="s">
        <v>267</v>
      </c>
      <c r="N28" s="164" t="s">
        <v>268</v>
      </c>
      <c r="O28" s="164" t="s">
        <v>269</v>
      </c>
      <c r="P28" s="165" t="s">
        <v>270</v>
      </c>
      <c r="Q28" s="164" t="s">
        <v>131</v>
      </c>
      <c r="R28" s="164" t="s">
        <v>132</v>
      </c>
      <c r="S28" s="164" t="s">
        <v>133</v>
      </c>
      <c r="T28" s="165" t="s">
        <v>134</v>
      </c>
      <c r="U28" s="164" t="s">
        <v>135</v>
      </c>
      <c r="V28" s="164" t="s">
        <v>136</v>
      </c>
      <c r="W28" s="164" t="s">
        <v>137</v>
      </c>
      <c r="X28" s="165" t="s">
        <v>138</v>
      </c>
      <c r="Y28" s="164" t="s">
        <v>139</v>
      </c>
      <c r="Z28" s="164" t="s">
        <v>140</v>
      </c>
      <c r="AA28" s="164" t="s">
        <v>141</v>
      </c>
      <c r="AB28" s="165" t="s">
        <v>142</v>
      </c>
      <c r="AC28" s="164" t="s">
        <v>143</v>
      </c>
      <c r="AD28" s="164" t="s">
        <v>144</v>
      </c>
      <c r="AE28" s="164" t="s">
        <v>145</v>
      </c>
      <c r="AF28" s="165" t="s">
        <v>146</v>
      </c>
      <c r="AG28" s="164" t="s">
        <v>147</v>
      </c>
      <c r="AH28" s="164" t="s">
        <v>148</v>
      </c>
      <c r="AI28" s="164" t="s">
        <v>149</v>
      </c>
      <c r="AJ28" s="165" t="s">
        <v>150</v>
      </c>
      <c r="AK28" s="164" t="s">
        <v>151</v>
      </c>
      <c r="AL28" s="164" t="s">
        <v>152</v>
      </c>
      <c r="AM28" s="164" t="s">
        <v>153</v>
      </c>
      <c r="AN28" s="165" t="s">
        <v>154</v>
      </c>
      <c r="AO28" s="164" t="s">
        <v>155</v>
      </c>
      <c r="AP28" s="164" t="s">
        <v>156</v>
      </c>
      <c r="AQ28" s="164" t="s">
        <v>157</v>
      </c>
      <c r="AR28" s="165" t="s">
        <v>158</v>
      </c>
      <c r="AS28" s="164" t="s">
        <v>159</v>
      </c>
      <c r="AT28" s="164" t="s">
        <v>160</v>
      </c>
      <c r="AU28" s="164" t="s">
        <v>161</v>
      </c>
      <c r="AV28" s="136"/>
      <c r="AW28" s="136"/>
    </row>
    <row r="29" spans="1:49" ht="12.75" x14ac:dyDescent="0.2">
      <c r="A29" s="174" t="s">
        <v>296</v>
      </c>
      <c r="B29" s="168"/>
      <c r="C29" s="168"/>
      <c r="D29" s="168"/>
      <c r="E29" s="168"/>
      <c r="F29" s="168"/>
      <c r="G29" s="168"/>
      <c r="H29" s="168"/>
      <c r="I29" s="175"/>
      <c r="J29" s="168">
        <v>12553</v>
      </c>
      <c r="K29" s="168">
        <v>12425</v>
      </c>
      <c r="L29" s="90"/>
      <c r="M29" s="168"/>
      <c r="N29" s="168"/>
      <c r="O29" s="168"/>
      <c r="P29" s="176"/>
      <c r="Q29" s="168"/>
      <c r="R29" s="168"/>
      <c r="S29" s="168"/>
      <c r="T29" s="176"/>
      <c r="U29" s="168"/>
      <c r="V29" s="168"/>
      <c r="W29" s="168"/>
      <c r="X29" s="176"/>
      <c r="Y29" s="168"/>
      <c r="Z29" s="168"/>
      <c r="AA29" s="168"/>
      <c r="AB29" s="176"/>
      <c r="AC29" s="168"/>
      <c r="AD29" s="168"/>
      <c r="AE29" s="168"/>
      <c r="AF29" s="176"/>
      <c r="AG29" s="175"/>
      <c r="AH29" s="175"/>
      <c r="AI29" s="175"/>
      <c r="AJ29" s="177"/>
      <c r="AK29" s="168">
        <v>2901</v>
      </c>
      <c r="AL29" s="168">
        <f>6057-AK29</f>
        <v>3156</v>
      </c>
      <c r="AM29" s="168">
        <f>9162-AL29-AK29</f>
        <v>3105</v>
      </c>
      <c r="AN29" s="176">
        <f>12553-AM29-AL29-AK29</f>
        <v>3391</v>
      </c>
      <c r="AO29" s="168">
        <v>2685</v>
      </c>
      <c r="AP29" s="168">
        <f>5640-AO29</f>
        <v>2955</v>
      </c>
      <c r="AQ29" s="168">
        <f>9108-5640</f>
        <v>3468</v>
      </c>
      <c r="AR29" s="176">
        <v>3317</v>
      </c>
      <c r="AS29" s="168">
        <v>2912</v>
      </c>
      <c r="AT29" s="168">
        <v>2751</v>
      </c>
      <c r="AU29" s="168">
        <v>2596</v>
      </c>
      <c r="AV29" s="178"/>
      <c r="AW29" s="136"/>
    </row>
    <row r="30" spans="1:49" ht="12.75" x14ac:dyDescent="0.2">
      <c r="A30" s="174" t="s">
        <v>299</v>
      </c>
      <c r="B30" s="168"/>
      <c r="C30" s="168"/>
      <c r="D30" s="168"/>
      <c r="E30" s="168"/>
      <c r="F30" s="168"/>
      <c r="G30" s="168"/>
      <c r="H30" s="168"/>
      <c r="I30" s="175"/>
      <c r="J30" s="168">
        <v>1913</v>
      </c>
      <c r="K30" s="168">
        <v>1641</v>
      </c>
      <c r="L30" s="90"/>
      <c r="M30" s="168"/>
      <c r="N30" s="168"/>
      <c r="O30" s="168"/>
      <c r="P30" s="176"/>
      <c r="Q30" s="168"/>
      <c r="R30" s="168"/>
      <c r="S30" s="168"/>
      <c r="T30" s="176"/>
      <c r="U30" s="168"/>
      <c r="V30" s="168"/>
      <c r="W30" s="168"/>
      <c r="X30" s="176"/>
      <c r="Y30" s="168"/>
      <c r="Z30" s="168"/>
      <c r="AA30" s="168"/>
      <c r="AB30" s="176"/>
      <c r="AC30" s="168"/>
      <c r="AD30" s="168"/>
      <c r="AE30" s="168"/>
      <c r="AF30" s="176"/>
      <c r="AG30" s="175"/>
      <c r="AH30" s="175"/>
      <c r="AI30" s="175"/>
      <c r="AJ30" s="179"/>
      <c r="AK30" s="168">
        <v>561</v>
      </c>
      <c r="AL30" s="168">
        <f>1116-AK30</f>
        <v>555</v>
      </c>
      <c r="AM30" s="168">
        <f>1633-AK30-AL30</f>
        <v>517</v>
      </c>
      <c r="AN30" s="176">
        <f>1913-AM30-AL30-AK30</f>
        <v>280</v>
      </c>
      <c r="AO30" s="168">
        <v>369</v>
      </c>
      <c r="AP30" s="168">
        <f>730-AO30</f>
        <v>361</v>
      </c>
      <c r="AQ30" s="168">
        <f>1235-730</f>
        <v>505</v>
      </c>
      <c r="AR30" s="176">
        <v>406</v>
      </c>
      <c r="AS30" s="168">
        <v>539</v>
      </c>
      <c r="AT30" s="168">
        <v>452</v>
      </c>
      <c r="AU30" s="168">
        <v>511</v>
      </c>
      <c r="AV30" s="178"/>
      <c r="AW30" s="136"/>
    </row>
    <row r="31" spans="1:49" ht="12.75" x14ac:dyDescent="0.2">
      <c r="A31" s="153" t="s">
        <v>301</v>
      </c>
      <c r="B31" s="154"/>
      <c r="C31" s="154"/>
      <c r="D31" s="154"/>
      <c r="E31" s="154"/>
      <c r="F31" s="154"/>
      <c r="G31" s="154"/>
      <c r="H31" s="154"/>
      <c r="I31" s="154"/>
      <c r="J31" s="154">
        <v>14078</v>
      </c>
      <c r="K31" s="154">
        <v>13768</v>
      </c>
      <c r="L31" s="90"/>
      <c r="M31" s="180"/>
      <c r="N31" s="180"/>
      <c r="O31" s="180"/>
      <c r="P31" s="181"/>
      <c r="Q31" s="180"/>
      <c r="R31" s="180"/>
      <c r="S31" s="180"/>
      <c r="T31" s="181"/>
      <c r="U31" s="180"/>
      <c r="V31" s="180"/>
      <c r="W31" s="180"/>
      <c r="X31" s="181"/>
      <c r="Y31" s="180"/>
      <c r="Z31" s="180"/>
      <c r="AA31" s="180"/>
      <c r="AB31" s="181"/>
      <c r="AC31" s="154"/>
      <c r="AD31" s="154"/>
      <c r="AE31" s="154"/>
      <c r="AF31" s="156"/>
      <c r="AG31" s="154"/>
      <c r="AH31" s="154"/>
      <c r="AI31" s="154"/>
      <c r="AJ31" s="156"/>
      <c r="AK31" s="154">
        <v>3374</v>
      </c>
      <c r="AL31" s="154">
        <v>3605</v>
      </c>
      <c r="AM31" s="154">
        <v>3533</v>
      </c>
      <c r="AN31" s="156">
        <v>3566</v>
      </c>
      <c r="AO31" s="154">
        <v>2976</v>
      </c>
      <c r="AP31" s="154">
        <f>6168-AO31</f>
        <v>3192</v>
      </c>
      <c r="AQ31" s="154">
        <v>3896</v>
      </c>
      <c r="AR31" s="156">
        <v>3704</v>
      </c>
      <c r="AS31" s="154">
        <v>3353</v>
      </c>
      <c r="AT31" s="154">
        <v>3083</v>
      </c>
      <c r="AU31" s="154">
        <v>3047</v>
      </c>
      <c r="AV31" s="178"/>
      <c r="AW31" s="136"/>
    </row>
    <row r="32" spans="1:49" ht="12.75" x14ac:dyDescent="0.2">
      <c r="A32" s="128"/>
      <c r="B32" s="159"/>
      <c r="C32" s="159"/>
      <c r="D32" s="159"/>
      <c r="E32" s="159"/>
      <c r="F32" s="159"/>
      <c r="G32" s="173"/>
      <c r="H32" s="173"/>
      <c r="I32" s="173"/>
      <c r="J32" s="173"/>
      <c r="K32" s="173"/>
      <c r="L32" s="90"/>
      <c r="M32" s="159"/>
      <c r="N32" s="159"/>
      <c r="O32" s="159"/>
      <c r="P32" s="160"/>
      <c r="Q32" s="159"/>
      <c r="R32" s="159"/>
      <c r="S32" s="159"/>
      <c r="T32" s="160"/>
      <c r="U32" s="159"/>
      <c r="V32" s="159"/>
      <c r="W32" s="159"/>
      <c r="X32" s="160"/>
      <c r="Y32" s="159"/>
      <c r="Z32" s="159"/>
      <c r="AA32" s="159"/>
      <c r="AB32" s="160"/>
      <c r="AC32" s="159"/>
      <c r="AD32" s="159"/>
      <c r="AE32" s="159"/>
      <c r="AF32" s="160"/>
      <c r="AG32" s="159"/>
      <c r="AH32" s="159"/>
      <c r="AI32" s="159"/>
      <c r="AJ32" s="160"/>
      <c r="AK32" s="159"/>
      <c r="AL32" s="159"/>
      <c r="AM32" s="159"/>
      <c r="AN32" s="160"/>
      <c r="AO32" s="159"/>
      <c r="AP32" s="159"/>
      <c r="AQ32" s="159"/>
      <c r="AR32" s="160"/>
      <c r="AS32" s="159"/>
      <c r="AT32" s="159"/>
      <c r="AU32" s="159"/>
      <c r="AV32" s="136"/>
      <c r="AW32" s="136"/>
    </row>
    <row r="33" spans="1:49" ht="12.75" x14ac:dyDescent="0.2">
      <c r="A33" s="163" t="s">
        <v>308</v>
      </c>
      <c r="B33" s="164">
        <v>2015</v>
      </c>
      <c r="C33" s="164">
        <v>2016</v>
      </c>
      <c r="D33" s="164">
        <v>2017</v>
      </c>
      <c r="E33" s="164">
        <v>2018</v>
      </c>
      <c r="F33" s="164">
        <v>2019</v>
      </c>
      <c r="G33" s="164">
        <v>2020</v>
      </c>
      <c r="H33" s="164">
        <v>2021</v>
      </c>
      <c r="I33" s="164">
        <v>2022</v>
      </c>
      <c r="J33" s="164">
        <v>2023</v>
      </c>
      <c r="K33" s="164">
        <v>2024</v>
      </c>
      <c r="L33" s="90"/>
      <c r="M33" s="164" t="s">
        <v>267</v>
      </c>
      <c r="N33" s="164" t="s">
        <v>268</v>
      </c>
      <c r="O33" s="164" t="s">
        <v>269</v>
      </c>
      <c r="P33" s="165" t="s">
        <v>270</v>
      </c>
      <c r="Q33" s="164" t="s">
        <v>131</v>
      </c>
      <c r="R33" s="164" t="s">
        <v>132</v>
      </c>
      <c r="S33" s="164" t="s">
        <v>133</v>
      </c>
      <c r="T33" s="165" t="s">
        <v>134</v>
      </c>
      <c r="U33" s="164" t="s">
        <v>135</v>
      </c>
      <c r="V33" s="164" t="s">
        <v>136</v>
      </c>
      <c r="W33" s="164" t="s">
        <v>137</v>
      </c>
      <c r="X33" s="165" t="s">
        <v>138</v>
      </c>
      <c r="Y33" s="164" t="s">
        <v>139</v>
      </c>
      <c r="Z33" s="164" t="s">
        <v>140</v>
      </c>
      <c r="AA33" s="164" t="s">
        <v>141</v>
      </c>
      <c r="AB33" s="165" t="s">
        <v>142</v>
      </c>
      <c r="AC33" s="164" t="s">
        <v>143</v>
      </c>
      <c r="AD33" s="164" t="s">
        <v>144</v>
      </c>
      <c r="AE33" s="164" t="s">
        <v>145</v>
      </c>
      <c r="AF33" s="165" t="s">
        <v>146</v>
      </c>
      <c r="AG33" s="164" t="s">
        <v>147</v>
      </c>
      <c r="AH33" s="164" t="s">
        <v>148</v>
      </c>
      <c r="AI33" s="164" t="s">
        <v>149</v>
      </c>
      <c r="AJ33" s="165" t="s">
        <v>150</v>
      </c>
      <c r="AK33" s="164" t="s">
        <v>151</v>
      </c>
      <c r="AL33" s="164" t="s">
        <v>152</v>
      </c>
      <c r="AM33" s="164" t="s">
        <v>153</v>
      </c>
      <c r="AN33" s="165" t="s">
        <v>154</v>
      </c>
      <c r="AO33" s="164" t="s">
        <v>155</v>
      </c>
      <c r="AP33" s="164" t="s">
        <v>156</v>
      </c>
      <c r="AQ33" s="164" t="s">
        <v>157</v>
      </c>
      <c r="AR33" s="165" t="s">
        <v>158</v>
      </c>
      <c r="AS33" s="164" t="s">
        <v>159</v>
      </c>
      <c r="AT33" s="164" t="s">
        <v>160</v>
      </c>
      <c r="AU33" s="164" t="s">
        <v>161</v>
      </c>
      <c r="AV33" s="136"/>
      <c r="AW33" s="136"/>
    </row>
    <row r="34" spans="1:49" ht="12.75" x14ac:dyDescent="0.2">
      <c r="A34" s="174" t="s">
        <v>296</v>
      </c>
      <c r="B34" s="168"/>
      <c r="C34" s="168"/>
      <c r="D34" s="168"/>
      <c r="E34" s="168"/>
      <c r="F34" s="168"/>
      <c r="G34" s="168"/>
      <c r="H34" s="168"/>
      <c r="I34" s="175"/>
      <c r="J34" s="168">
        <v>12202</v>
      </c>
      <c r="K34" s="168">
        <v>12028</v>
      </c>
      <c r="L34" s="90"/>
      <c r="M34" s="168"/>
      <c r="N34" s="168"/>
      <c r="O34" s="168"/>
      <c r="P34" s="176"/>
      <c r="Q34" s="168"/>
      <c r="R34" s="168"/>
      <c r="S34" s="168"/>
      <c r="T34" s="176"/>
      <c r="U34" s="168"/>
      <c r="V34" s="168"/>
      <c r="W34" s="168"/>
      <c r="X34" s="176"/>
      <c r="Y34" s="168"/>
      <c r="Z34" s="168"/>
      <c r="AA34" s="168"/>
      <c r="AB34" s="176"/>
      <c r="AC34" s="168"/>
      <c r="AD34" s="168"/>
      <c r="AE34" s="168"/>
      <c r="AF34" s="176"/>
      <c r="AG34" s="175"/>
      <c r="AH34" s="175"/>
      <c r="AI34" s="175"/>
      <c r="AJ34" s="177"/>
      <c r="AK34" s="168">
        <v>2901</v>
      </c>
      <c r="AL34" s="168">
        <f>6057-AK34</f>
        <v>3156</v>
      </c>
      <c r="AM34" s="168">
        <f>9155-64-AL34-AK34</f>
        <v>3034</v>
      </c>
      <c r="AN34" s="176">
        <v>3111</v>
      </c>
      <c r="AO34" s="168">
        <v>2685</v>
      </c>
      <c r="AP34" s="168">
        <f>5782-AO34</f>
        <v>3097</v>
      </c>
      <c r="AQ34" s="168">
        <f>8697-AP34-AO34</f>
        <v>2915</v>
      </c>
      <c r="AR34" s="176">
        <v>3331</v>
      </c>
      <c r="AS34" s="168">
        <v>2912</v>
      </c>
      <c r="AT34" s="168">
        <f>+AT29-AT62</f>
        <v>2800</v>
      </c>
      <c r="AU34" s="168">
        <v>2697</v>
      </c>
      <c r="AV34" s="178"/>
      <c r="AW34" s="136"/>
    </row>
    <row r="35" spans="1:49" ht="12.75" x14ac:dyDescent="0.2">
      <c r="A35" s="174" t="s">
        <v>299</v>
      </c>
      <c r="B35" s="168"/>
      <c r="C35" s="168"/>
      <c r="D35" s="168"/>
      <c r="E35" s="168"/>
      <c r="F35" s="168"/>
      <c r="G35" s="168"/>
      <c r="H35" s="168"/>
      <c r="I35" s="175"/>
      <c r="J35" s="168">
        <f>1938+133</f>
        <v>2071</v>
      </c>
      <c r="K35" s="168">
        <v>1931</v>
      </c>
      <c r="L35" s="90"/>
      <c r="M35" s="168"/>
      <c r="N35" s="168"/>
      <c r="O35" s="168"/>
      <c r="P35" s="176"/>
      <c r="Q35" s="168"/>
      <c r="R35" s="168"/>
      <c r="S35" s="168"/>
      <c r="T35" s="176"/>
      <c r="U35" s="168"/>
      <c r="V35" s="168"/>
      <c r="W35" s="168"/>
      <c r="X35" s="176"/>
      <c r="Y35" s="168"/>
      <c r="Z35" s="168"/>
      <c r="AA35" s="168"/>
      <c r="AB35" s="176"/>
      <c r="AC35" s="168"/>
      <c r="AD35" s="168"/>
      <c r="AE35" s="168"/>
      <c r="AF35" s="176"/>
      <c r="AG35" s="175"/>
      <c r="AH35" s="175"/>
      <c r="AI35" s="175"/>
      <c r="AJ35" s="179"/>
      <c r="AK35" s="168">
        <v>561</v>
      </c>
      <c r="AL35" s="168">
        <f>1117-AK35</f>
        <v>556</v>
      </c>
      <c r="AM35" s="168">
        <f>1633-AL35-AK35</f>
        <v>516</v>
      </c>
      <c r="AN35" s="176">
        <f>2071-AM35-AL35-AK35</f>
        <v>438</v>
      </c>
      <c r="AO35" s="168">
        <v>494</v>
      </c>
      <c r="AP35" s="168">
        <f>1020-AO35</f>
        <v>526</v>
      </c>
      <c r="AQ35" s="168">
        <f>1527-AP35-AO35-2</f>
        <v>505</v>
      </c>
      <c r="AR35" s="176">
        <v>406</v>
      </c>
      <c r="AS35" s="168">
        <v>539</v>
      </c>
      <c r="AT35" s="168">
        <f>+AT30-AT63</f>
        <v>550</v>
      </c>
      <c r="AU35" s="168">
        <v>505</v>
      </c>
      <c r="AV35" s="178"/>
      <c r="AW35" s="136"/>
    </row>
    <row r="36" spans="1:49" ht="12.75" x14ac:dyDescent="0.2">
      <c r="A36" s="153" t="s">
        <v>301</v>
      </c>
      <c r="B36" s="154"/>
      <c r="C36" s="154"/>
      <c r="D36" s="154"/>
      <c r="E36" s="154"/>
      <c r="F36" s="154"/>
      <c r="G36" s="154"/>
      <c r="H36" s="154"/>
      <c r="I36" s="154"/>
      <c r="J36" s="154">
        <f>SUM(AK36:AN36)</f>
        <v>13948</v>
      </c>
      <c r="K36" s="154">
        <v>13661</v>
      </c>
      <c r="L36" s="90"/>
      <c r="M36" s="180"/>
      <c r="N36" s="180"/>
      <c r="O36" s="180"/>
      <c r="P36" s="181"/>
      <c r="Q36" s="180"/>
      <c r="R36" s="180"/>
      <c r="S36" s="180"/>
      <c r="T36" s="181"/>
      <c r="U36" s="180"/>
      <c r="V36" s="180"/>
      <c r="W36" s="180"/>
      <c r="X36" s="181"/>
      <c r="Y36" s="180"/>
      <c r="Z36" s="180"/>
      <c r="AA36" s="180"/>
      <c r="AB36" s="181"/>
      <c r="AC36" s="154"/>
      <c r="AD36" s="154"/>
      <c r="AE36" s="154"/>
      <c r="AF36" s="156"/>
      <c r="AG36" s="154"/>
      <c r="AH36" s="154"/>
      <c r="AI36" s="154"/>
      <c r="AJ36" s="156"/>
      <c r="AK36" s="154">
        <f>3374-AK64</f>
        <v>3400</v>
      </c>
      <c r="AL36" s="154">
        <f>3605-AL64</f>
        <v>3621</v>
      </c>
      <c r="AM36" s="154">
        <f>3533-64-AM64</f>
        <v>3481</v>
      </c>
      <c r="AN36" s="156">
        <v>3446</v>
      </c>
      <c r="AO36" s="154">
        <f>2976-AO64</f>
        <v>3103</v>
      </c>
      <c r="AP36" s="154">
        <v>3517</v>
      </c>
      <c r="AQ36" s="154">
        <f>9979-AP36-AO36</f>
        <v>3359</v>
      </c>
      <c r="AR36" s="156">
        <v>3682</v>
      </c>
      <c r="AS36" s="154">
        <v>3364</v>
      </c>
      <c r="AT36" s="154">
        <v>3236</v>
      </c>
      <c r="AU36" s="154">
        <v>3140.8887435937941</v>
      </c>
      <c r="AV36" s="178"/>
      <c r="AW36" s="136"/>
    </row>
    <row r="37" spans="1:49" ht="12.75" x14ac:dyDescent="0.2">
      <c r="A37" s="90"/>
      <c r="B37" s="182"/>
      <c r="C37" s="182"/>
      <c r="D37" s="182"/>
      <c r="E37" s="182"/>
      <c r="F37" s="182"/>
      <c r="G37" s="182"/>
      <c r="H37" s="182"/>
      <c r="I37" s="182"/>
      <c r="J37" s="182"/>
      <c r="K37" s="182"/>
      <c r="L37" s="90"/>
      <c r="M37" s="182"/>
      <c r="N37" s="182"/>
      <c r="O37" s="182"/>
      <c r="P37" s="183"/>
      <c r="Q37" s="182"/>
      <c r="R37" s="182"/>
      <c r="S37" s="182"/>
      <c r="T37" s="183"/>
      <c r="U37" s="182"/>
      <c r="V37" s="182"/>
      <c r="W37" s="182"/>
      <c r="X37" s="183"/>
      <c r="Y37" s="182"/>
      <c r="Z37" s="182"/>
      <c r="AA37" s="182"/>
      <c r="AB37" s="183"/>
      <c r="AC37" s="182"/>
      <c r="AD37" s="182"/>
      <c r="AE37" s="182"/>
      <c r="AF37" s="183"/>
      <c r="AG37" s="184"/>
      <c r="AH37" s="182"/>
      <c r="AI37" s="182"/>
      <c r="AJ37" s="183"/>
      <c r="AK37" s="185"/>
      <c r="AL37" s="182"/>
      <c r="AM37" s="182"/>
      <c r="AN37" s="186"/>
      <c r="AO37" s="184"/>
      <c r="AP37" s="182"/>
      <c r="AQ37" s="182"/>
      <c r="AR37" s="186"/>
      <c r="AS37" s="184"/>
      <c r="AT37" s="182"/>
      <c r="AU37" s="182"/>
      <c r="AV37" s="136"/>
      <c r="AW37" s="136"/>
    </row>
    <row r="38" spans="1:49" ht="12.75" x14ac:dyDescent="0.2">
      <c r="A38" s="163" t="s">
        <v>309</v>
      </c>
      <c r="B38" s="164">
        <v>2015</v>
      </c>
      <c r="C38" s="164">
        <v>2016</v>
      </c>
      <c r="D38" s="164">
        <v>2017</v>
      </c>
      <c r="E38" s="164">
        <v>2018</v>
      </c>
      <c r="F38" s="164">
        <v>2019</v>
      </c>
      <c r="G38" s="164">
        <v>2020</v>
      </c>
      <c r="H38" s="164">
        <v>2021</v>
      </c>
      <c r="I38" s="164">
        <v>2022</v>
      </c>
      <c r="J38" s="164">
        <v>2023</v>
      </c>
      <c r="K38" s="164">
        <v>2024</v>
      </c>
      <c r="L38" s="90"/>
      <c r="M38" s="164" t="s">
        <v>267</v>
      </c>
      <c r="N38" s="164" t="s">
        <v>268</v>
      </c>
      <c r="O38" s="164" t="s">
        <v>269</v>
      </c>
      <c r="P38" s="165" t="s">
        <v>270</v>
      </c>
      <c r="Q38" s="164" t="s">
        <v>131</v>
      </c>
      <c r="R38" s="164" t="s">
        <v>132</v>
      </c>
      <c r="S38" s="164" t="s">
        <v>133</v>
      </c>
      <c r="T38" s="165" t="s">
        <v>134</v>
      </c>
      <c r="U38" s="164" t="s">
        <v>135</v>
      </c>
      <c r="V38" s="164" t="s">
        <v>136</v>
      </c>
      <c r="W38" s="164" t="s">
        <v>137</v>
      </c>
      <c r="X38" s="165" t="s">
        <v>138</v>
      </c>
      <c r="Y38" s="164" t="s">
        <v>139</v>
      </c>
      <c r="Z38" s="164" t="s">
        <v>140</v>
      </c>
      <c r="AA38" s="164" t="s">
        <v>141</v>
      </c>
      <c r="AB38" s="165" t="s">
        <v>142</v>
      </c>
      <c r="AC38" s="164" t="s">
        <v>143</v>
      </c>
      <c r="AD38" s="164" t="s">
        <v>144</v>
      </c>
      <c r="AE38" s="164" t="s">
        <v>145</v>
      </c>
      <c r="AF38" s="165" t="s">
        <v>146</v>
      </c>
      <c r="AG38" s="164" t="s">
        <v>147</v>
      </c>
      <c r="AH38" s="164" t="s">
        <v>148</v>
      </c>
      <c r="AI38" s="164" t="s">
        <v>149</v>
      </c>
      <c r="AJ38" s="165" t="s">
        <v>150</v>
      </c>
      <c r="AK38" s="164" t="s">
        <v>151</v>
      </c>
      <c r="AL38" s="164" t="s">
        <v>152</v>
      </c>
      <c r="AM38" s="164" t="s">
        <v>153</v>
      </c>
      <c r="AN38" s="165" t="s">
        <v>154</v>
      </c>
      <c r="AO38" s="164" t="s">
        <v>155</v>
      </c>
      <c r="AP38" s="164" t="s">
        <v>156</v>
      </c>
      <c r="AQ38" s="164" t="s">
        <v>157</v>
      </c>
      <c r="AR38" s="165" t="s">
        <v>158</v>
      </c>
      <c r="AS38" s="164" t="s">
        <v>159</v>
      </c>
      <c r="AT38" s="164" t="s">
        <v>160</v>
      </c>
      <c r="AU38" s="164" t="s">
        <v>161</v>
      </c>
      <c r="AV38" s="136"/>
      <c r="AW38" s="136"/>
    </row>
    <row r="39" spans="1:49" ht="12.75" x14ac:dyDescent="0.2">
      <c r="A39" s="187" t="s">
        <v>310</v>
      </c>
      <c r="B39" s="168"/>
      <c r="C39" s="168"/>
      <c r="D39" s="168"/>
      <c r="E39" s="168"/>
      <c r="F39" s="168"/>
      <c r="G39" s="168"/>
      <c r="H39" s="168"/>
      <c r="I39" s="175"/>
      <c r="J39" s="188">
        <f>+J34/J18</f>
        <v>0.25672207027140753</v>
      </c>
      <c r="K39" s="188">
        <f>+K34/K18</f>
        <v>0.24590096904771641</v>
      </c>
      <c r="L39" s="90"/>
      <c r="M39" s="188"/>
      <c r="N39" s="188"/>
      <c r="O39" s="188"/>
      <c r="P39" s="189"/>
      <c r="Q39" s="188"/>
      <c r="R39" s="188"/>
      <c r="S39" s="188"/>
      <c r="T39" s="189"/>
      <c r="U39" s="188"/>
      <c r="V39" s="188"/>
      <c r="W39" s="188"/>
      <c r="X39" s="189"/>
      <c r="Y39" s="188"/>
      <c r="Z39" s="188"/>
      <c r="AA39" s="188"/>
      <c r="AB39" s="189"/>
      <c r="AC39" s="188"/>
      <c r="AD39" s="188"/>
      <c r="AE39" s="188"/>
      <c r="AF39" s="189"/>
      <c r="AG39" s="190"/>
      <c r="AH39" s="190"/>
      <c r="AI39" s="190"/>
      <c r="AJ39" s="191"/>
      <c r="AK39" s="188">
        <f t="shared" ref="AK39:AR39" si="3">+AK34/AK18</f>
        <v>0.27028789713966273</v>
      </c>
      <c r="AL39" s="188">
        <f t="shared" si="3"/>
        <v>0.25227817745803355</v>
      </c>
      <c r="AM39" s="188">
        <f t="shared" si="3"/>
        <v>0.25867507886435331</v>
      </c>
      <c r="AN39" s="189">
        <f t="shared" si="3"/>
        <v>0.24773053033922598</v>
      </c>
      <c r="AO39" s="182">
        <f t="shared" si="3"/>
        <v>0.23947556189796645</v>
      </c>
      <c r="AP39" s="188">
        <f t="shared" si="3"/>
        <v>0.24744327261105784</v>
      </c>
      <c r="AQ39" s="188">
        <f t="shared" si="3"/>
        <v>0.24547368421052632</v>
      </c>
      <c r="AR39" s="189">
        <f t="shared" si="3"/>
        <v>0.2502441589662685</v>
      </c>
      <c r="AS39" s="182">
        <v>0.249</v>
      </c>
      <c r="AT39" s="188">
        <f>+AT34/AT18</f>
        <v>0.24486226497595104</v>
      </c>
      <c r="AU39" s="188">
        <v>0.23425692695214106</v>
      </c>
      <c r="AV39" s="136"/>
      <c r="AW39" s="136"/>
    </row>
    <row r="40" spans="1:49" ht="12.75" x14ac:dyDescent="0.2">
      <c r="A40" s="90" t="s">
        <v>311</v>
      </c>
      <c r="B40" s="168"/>
      <c r="C40" s="168"/>
      <c r="D40" s="168"/>
      <c r="E40" s="168"/>
      <c r="F40" s="168"/>
      <c r="G40" s="168"/>
      <c r="H40" s="168"/>
      <c r="I40" s="175"/>
      <c r="J40" s="188">
        <f>+J35/J21</f>
        <v>0.16277607482511985</v>
      </c>
      <c r="K40" s="188">
        <f>+K35/K21</f>
        <v>0.13189890710382512</v>
      </c>
      <c r="L40" s="90"/>
      <c r="M40" s="188"/>
      <c r="N40" s="188"/>
      <c r="O40" s="188"/>
      <c r="P40" s="189"/>
      <c r="Q40" s="188"/>
      <c r="R40" s="188"/>
      <c r="S40" s="188"/>
      <c r="T40" s="189"/>
      <c r="U40" s="188"/>
      <c r="V40" s="188"/>
      <c r="W40" s="188"/>
      <c r="X40" s="189"/>
      <c r="Y40" s="188"/>
      <c r="Z40" s="188"/>
      <c r="AA40" s="188"/>
      <c r="AB40" s="189"/>
      <c r="AC40" s="188"/>
      <c r="AD40" s="188"/>
      <c r="AE40" s="188"/>
      <c r="AF40" s="189"/>
      <c r="AG40" s="190"/>
      <c r="AH40" s="190"/>
      <c r="AI40" s="190"/>
      <c r="AJ40" s="192"/>
      <c r="AK40" s="188">
        <f t="shared" ref="AK40:AR40" si="4">+AK35/AK21</f>
        <v>0.17952000000000001</v>
      </c>
      <c r="AL40" s="188">
        <f t="shared" si="4"/>
        <v>0.16266822703335285</v>
      </c>
      <c r="AM40" s="188">
        <f t="shared" si="4"/>
        <v>0.16150234741784036</v>
      </c>
      <c r="AN40" s="193">
        <f t="shared" si="4"/>
        <v>0.14673366834170853</v>
      </c>
      <c r="AO40" s="182">
        <f t="shared" si="4"/>
        <v>0.16751441166497116</v>
      </c>
      <c r="AP40" s="188">
        <f t="shared" si="4"/>
        <v>0.13179654221999498</v>
      </c>
      <c r="AQ40" s="188">
        <f t="shared" si="4"/>
        <v>0.13258072985035443</v>
      </c>
      <c r="AR40" s="193">
        <f t="shared" si="4"/>
        <v>0.10434335646363403</v>
      </c>
      <c r="AS40" s="182">
        <v>0.14099999999999999</v>
      </c>
      <c r="AT40" s="188">
        <f>+AT35/AT21</f>
        <v>0.15006821282401092</v>
      </c>
      <c r="AU40" s="188">
        <v>0.13633909287257021</v>
      </c>
      <c r="AV40" s="136"/>
      <c r="AW40" s="136"/>
    </row>
    <row r="41" spans="1:49" ht="12.75" x14ac:dyDescent="0.2">
      <c r="A41" s="153" t="s">
        <v>312</v>
      </c>
      <c r="B41" s="180"/>
      <c r="C41" s="180"/>
      <c r="D41" s="180"/>
      <c r="E41" s="180"/>
      <c r="F41" s="180"/>
      <c r="G41" s="180"/>
      <c r="H41" s="180"/>
      <c r="I41" s="180"/>
      <c r="J41" s="194">
        <f>+J36/J23</f>
        <v>0.23114528611437946</v>
      </c>
      <c r="K41" s="194">
        <f>+K36/K23</f>
        <v>0.21478208917678132</v>
      </c>
      <c r="L41" s="195"/>
      <c r="M41" s="180"/>
      <c r="N41" s="180"/>
      <c r="O41" s="180"/>
      <c r="P41" s="181"/>
      <c r="Q41" s="180"/>
      <c r="R41" s="180"/>
      <c r="S41" s="180"/>
      <c r="T41" s="181"/>
      <c r="U41" s="180"/>
      <c r="V41" s="180"/>
      <c r="W41" s="180"/>
      <c r="X41" s="181"/>
      <c r="Y41" s="180"/>
      <c r="Z41" s="180"/>
      <c r="AA41" s="180"/>
      <c r="AB41" s="181"/>
      <c r="AC41" s="154"/>
      <c r="AD41" s="154"/>
      <c r="AE41" s="154"/>
      <c r="AF41" s="156"/>
      <c r="AG41" s="154"/>
      <c r="AH41" s="154"/>
      <c r="AI41" s="154"/>
      <c r="AJ41" s="156"/>
      <c r="AK41" s="194">
        <f t="shared" ref="AK41:AR41" si="5">+AK36/AK23</f>
        <v>0.2451687337755985</v>
      </c>
      <c r="AL41" s="194">
        <f t="shared" si="5"/>
        <v>0.22759270898805783</v>
      </c>
      <c r="AM41" s="194">
        <f t="shared" si="5"/>
        <v>0.23211308928452357</v>
      </c>
      <c r="AN41" s="196">
        <f t="shared" si="5"/>
        <v>0.22135149023638231</v>
      </c>
      <c r="AO41" s="194">
        <f t="shared" si="5"/>
        <v>0.21940182422399773</v>
      </c>
      <c r="AP41" s="194">
        <f t="shared" si="5"/>
        <v>0.21300950881230696</v>
      </c>
      <c r="AQ41" s="194">
        <f t="shared" si="5"/>
        <v>0.21396267278170583</v>
      </c>
      <c r="AR41" s="196">
        <f t="shared" si="5"/>
        <v>0.21343690220856762</v>
      </c>
      <c r="AS41" s="197" t="s">
        <v>313</v>
      </c>
      <c r="AT41" s="194">
        <f>+AT36/AT23</f>
        <v>0.2138797091870456</v>
      </c>
      <c r="AU41" s="194">
        <v>0.20606801886850767</v>
      </c>
      <c r="AV41" s="136"/>
      <c r="AW41" s="136"/>
    </row>
    <row r="42" spans="1:49" ht="12.75" x14ac:dyDescent="0.2">
      <c r="A42" s="198"/>
      <c r="B42" s="199"/>
      <c r="C42" s="199"/>
      <c r="D42" s="199"/>
      <c r="E42" s="199"/>
      <c r="F42" s="199"/>
      <c r="G42" s="199"/>
      <c r="H42" s="199"/>
      <c r="I42" s="199"/>
      <c r="J42" s="200"/>
      <c r="K42" s="199"/>
      <c r="L42" s="201"/>
      <c r="M42" s="199"/>
      <c r="N42" s="199"/>
      <c r="O42" s="199"/>
      <c r="P42" s="202"/>
      <c r="Q42" s="199"/>
      <c r="R42" s="199"/>
      <c r="S42" s="199"/>
      <c r="T42" s="202"/>
      <c r="U42" s="199"/>
      <c r="V42" s="199"/>
      <c r="W42" s="199"/>
      <c r="X42" s="202"/>
      <c r="Y42" s="199"/>
      <c r="Z42" s="199"/>
      <c r="AA42" s="199"/>
      <c r="AB42" s="202"/>
      <c r="AC42" s="199"/>
      <c r="AD42" s="199"/>
      <c r="AE42" s="199"/>
      <c r="AF42" s="202"/>
      <c r="AG42" s="199"/>
      <c r="AH42" s="199"/>
      <c r="AI42" s="199"/>
      <c r="AJ42" s="202"/>
      <c r="AK42" s="200"/>
      <c r="AL42" s="200"/>
      <c r="AM42" s="200"/>
      <c r="AN42" s="203"/>
      <c r="AO42" s="200"/>
      <c r="AP42" s="199"/>
      <c r="AQ42" s="199"/>
      <c r="AR42" s="203"/>
      <c r="AS42" s="200"/>
      <c r="AT42" s="199"/>
      <c r="AU42" s="199"/>
      <c r="AV42" s="136"/>
      <c r="AW42" s="136"/>
    </row>
    <row r="43" spans="1:49" ht="12.75" x14ac:dyDescent="0.2">
      <c r="A43" s="128"/>
      <c r="B43" s="159"/>
      <c r="C43" s="159"/>
      <c r="D43" s="159"/>
      <c r="E43" s="159"/>
      <c r="F43" s="159"/>
      <c r="G43" s="173"/>
      <c r="H43" s="173"/>
      <c r="I43" s="173"/>
      <c r="J43" s="173"/>
      <c r="K43" s="159"/>
      <c r="L43" s="90"/>
      <c r="M43" s="159"/>
      <c r="N43" s="159"/>
      <c r="O43" s="159"/>
      <c r="P43" s="160"/>
      <c r="Q43" s="159"/>
      <c r="R43" s="159"/>
      <c r="S43" s="159"/>
      <c r="T43" s="160"/>
      <c r="U43" s="159"/>
      <c r="V43" s="159"/>
      <c r="W43" s="159"/>
      <c r="X43" s="160"/>
      <c r="Y43" s="159"/>
      <c r="Z43" s="159"/>
      <c r="AA43" s="159"/>
      <c r="AB43" s="160"/>
      <c r="AC43" s="159"/>
      <c r="AD43" s="159"/>
      <c r="AE43" s="159"/>
      <c r="AF43" s="160"/>
      <c r="AG43" s="159"/>
      <c r="AH43" s="159"/>
      <c r="AI43" s="159"/>
      <c r="AJ43" s="160"/>
      <c r="AK43" s="159"/>
      <c r="AL43" s="159"/>
      <c r="AM43" s="159"/>
      <c r="AN43" s="160"/>
      <c r="AO43" s="159"/>
      <c r="AP43" s="159"/>
      <c r="AQ43" s="159"/>
      <c r="AR43" s="160"/>
      <c r="AS43" s="159"/>
      <c r="AT43" s="159"/>
      <c r="AU43" s="159"/>
      <c r="AV43" s="136"/>
      <c r="AW43" s="136"/>
    </row>
    <row r="44" spans="1:49" ht="12.75" x14ac:dyDescent="0.2">
      <c r="A44" s="163" t="s">
        <v>314</v>
      </c>
      <c r="B44" s="164">
        <v>2015</v>
      </c>
      <c r="C44" s="164">
        <v>2016</v>
      </c>
      <c r="D44" s="164">
        <v>2017</v>
      </c>
      <c r="E44" s="164">
        <v>2018</v>
      </c>
      <c r="F44" s="164">
        <v>2019</v>
      </c>
      <c r="G44" s="164">
        <v>2020</v>
      </c>
      <c r="H44" s="164">
        <v>2021</v>
      </c>
      <c r="I44" s="164">
        <v>2022</v>
      </c>
      <c r="J44" s="164">
        <v>2023</v>
      </c>
      <c r="K44" s="164">
        <v>2024</v>
      </c>
      <c r="L44" s="90"/>
      <c r="M44" s="164" t="s">
        <v>267</v>
      </c>
      <c r="N44" s="164" t="s">
        <v>268</v>
      </c>
      <c r="O44" s="164" t="s">
        <v>269</v>
      </c>
      <c r="P44" s="165" t="s">
        <v>270</v>
      </c>
      <c r="Q44" s="164" t="s">
        <v>131</v>
      </c>
      <c r="R44" s="164" t="s">
        <v>132</v>
      </c>
      <c r="S44" s="164" t="s">
        <v>133</v>
      </c>
      <c r="T44" s="165" t="s">
        <v>134</v>
      </c>
      <c r="U44" s="164" t="s">
        <v>135</v>
      </c>
      <c r="V44" s="164" t="s">
        <v>136</v>
      </c>
      <c r="W44" s="164" t="s">
        <v>137</v>
      </c>
      <c r="X44" s="165" t="s">
        <v>138</v>
      </c>
      <c r="Y44" s="164" t="s">
        <v>139</v>
      </c>
      <c r="Z44" s="164" t="s">
        <v>140</v>
      </c>
      <c r="AA44" s="164" t="s">
        <v>141</v>
      </c>
      <c r="AB44" s="165" t="s">
        <v>142</v>
      </c>
      <c r="AC44" s="164" t="s">
        <v>143</v>
      </c>
      <c r="AD44" s="164" t="s">
        <v>144</v>
      </c>
      <c r="AE44" s="164" t="s">
        <v>145</v>
      </c>
      <c r="AF44" s="165" t="s">
        <v>146</v>
      </c>
      <c r="AG44" s="164" t="s">
        <v>147</v>
      </c>
      <c r="AH44" s="164" t="s">
        <v>148</v>
      </c>
      <c r="AI44" s="164" t="s">
        <v>149</v>
      </c>
      <c r="AJ44" s="165" t="s">
        <v>150</v>
      </c>
      <c r="AK44" s="164" t="s">
        <v>151</v>
      </c>
      <c r="AL44" s="164" t="s">
        <v>152</v>
      </c>
      <c r="AM44" s="164" t="s">
        <v>153</v>
      </c>
      <c r="AN44" s="165" t="s">
        <v>154</v>
      </c>
      <c r="AO44" s="164" t="s">
        <v>155</v>
      </c>
      <c r="AP44" s="164" t="s">
        <v>156</v>
      </c>
      <c r="AQ44" s="164" t="s">
        <v>157</v>
      </c>
      <c r="AR44" s="165" t="s">
        <v>158</v>
      </c>
      <c r="AS44" s="164" t="s">
        <v>159</v>
      </c>
      <c r="AT44" s="164" t="s">
        <v>160</v>
      </c>
      <c r="AU44" s="164" t="s">
        <v>161</v>
      </c>
      <c r="AV44" s="136"/>
      <c r="AW44" s="136"/>
    </row>
    <row r="45" spans="1:49" ht="12.75" x14ac:dyDescent="0.2">
      <c r="A45" s="131" t="s">
        <v>296</v>
      </c>
      <c r="B45" s="132">
        <v>4370</v>
      </c>
      <c r="C45" s="132">
        <v>3802</v>
      </c>
      <c r="D45" s="168">
        <v>5107</v>
      </c>
      <c r="E45" s="168">
        <v>6713</v>
      </c>
      <c r="F45" s="132">
        <v>7436</v>
      </c>
      <c r="G45" s="132">
        <v>6639</v>
      </c>
      <c r="H45" s="132">
        <f t="shared" ref="H45:H50" si="6">SUM(AC45:AF45)</f>
        <v>7808</v>
      </c>
      <c r="I45" s="133">
        <v>9491</v>
      </c>
      <c r="J45" s="132">
        <v>11792</v>
      </c>
      <c r="K45" s="132">
        <v>11310</v>
      </c>
      <c r="L45" s="90"/>
      <c r="M45" s="168">
        <v>1166</v>
      </c>
      <c r="N45" s="168">
        <v>1242</v>
      </c>
      <c r="O45" s="168">
        <v>1261</v>
      </c>
      <c r="P45" s="176">
        <v>1438</v>
      </c>
      <c r="Q45" s="168">
        <v>1351</v>
      </c>
      <c r="R45" s="168">
        <v>1741</v>
      </c>
      <c r="S45" s="168">
        <v>1755</v>
      </c>
      <c r="T45" s="176">
        <v>1866</v>
      </c>
      <c r="U45" s="168">
        <v>1707</v>
      </c>
      <c r="V45" s="168">
        <v>1961</v>
      </c>
      <c r="W45" s="168">
        <v>1923</v>
      </c>
      <c r="X45" s="176">
        <v>1845</v>
      </c>
      <c r="Y45" s="168">
        <v>1586</v>
      </c>
      <c r="Z45" s="168">
        <v>1441</v>
      </c>
      <c r="AA45" s="168">
        <v>1646</v>
      </c>
      <c r="AB45" s="176">
        <v>1966</v>
      </c>
      <c r="AC45" s="168">
        <v>1696</v>
      </c>
      <c r="AD45" s="168">
        <v>1880</v>
      </c>
      <c r="AE45" s="168">
        <v>1909</v>
      </c>
      <c r="AF45" s="176">
        <v>2323</v>
      </c>
      <c r="AG45" s="175">
        <v>2188</v>
      </c>
      <c r="AH45" s="175">
        <v>1955</v>
      </c>
      <c r="AI45" s="175">
        <v>2474</v>
      </c>
      <c r="AJ45" s="179">
        <v>2874</v>
      </c>
      <c r="AK45" s="168">
        <v>2718</v>
      </c>
      <c r="AL45" s="132">
        <v>2995</v>
      </c>
      <c r="AM45" s="132">
        <v>2868</v>
      </c>
      <c r="AN45" s="176">
        <v>3211</v>
      </c>
      <c r="AO45" s="168">
        <v>2503</v>
      </c>
      <c r="AP45" s="168">
        <v>2763</v>
      </c>
      <c r="AQ45" s="168">
        <v>2923</v>
      </c>
      <c r="AR45" s="176">
        <v>3121</v>
      </c>
      <c r="AS45" s="168">
        <v>2724</v>
      </c>
      <c r="AT45" s="168">
        <v>2577</v>
      </c>
      <c r="AU45" s="168">
        <v>2426</v>
      </c>
      <c r="AV45" s="136"/>
      <c r="AW45" s="136"/>
    </row>
    <row r="46" spans="1:49" ht="12.75" x14ac:dyDescent="0.2">
      <c r="A46" s="131" t="s">
        <v>299</v>
      </c>
      <c r="B46" s="138">
        <v>957</v>
      </c>
      <c r="C46" s="138">
        <v>937</v>
      </c>
      <c r="D46" s="132">
        <v>1146.0051558893001</v>
      </c>
      <c r="E46" s="132">
        <v>1239</v>
      </c>
      <c r="F46" s="132">
        <v>1252</v>
      </c>
      <c r="G46" s="132">
        <v>1097</v>
      </c>
      <c r="H46" s="132">
        <f t="shared" si="6"/>
        <v>1784</v>
      </c>
      <c r="I46" s="133">
        <v>1900</v>
      </c>
      <c r="J46" s="132">
        <v>1780</v>
      </c>
      <c r="K46" s="138">
        <v>1373</v>
      </c>
      <c r="L46" s="90"/>
      <c r="M46" s="132">
        <v>321</v>
      </c>
      <c r="N46" s="132">
        <v>328</v>
      </c>
      <c r="O46" s="132">
        <v>279</v>
      </c>
      <c r="P46" s="134">
        <v>218.0051558893</v>
      </c>
      <c r="Q46" s="132">
        <v>287</v>
      </c>
      <c r="R46" s="132">
        <v>304</v>
      </c>
      <c r="S46" s="132">
        <v>324</v>
      </c>
      <c r="T46" s="134">
        <v>324</v>
      </c>
      <c r="U46" s="132">
        <v>371</v>
      </c>
      <c r="V46" s="132">
        <v>429</v>
      </c>
      <c r="W46" s="132">
        <v>157</v>
      </c>
      <c r="X46" s="134">
        <v>295</v>
      </c>
      <c r="Y46" s="132">
        <v>337</v>
      </c>
      <c r="Z46" s="132">
        <v>143</v>
      </c>
      <c r="AA46" s="132">
        <v>254</v>
      </c>
      <c r="AB46" s="134">
        <v>363</v>
      </c>
      <c r="AC46" s="132">
        <v>386</v>
      </c>
      <c r="AD46" s="132">
        <v>416</v>
      </c>
      <c r="AE46" s="132">
        <v>502</v>
      </c>
      <c r="AF46" s="134">
        <v>480</v>
      </c>
      <c r="AG46" s="133">
        <v>474</v>
      </c>
      <c r="AH46" s="133">
        <v>436</v>
      </c>
      <c r="AI46" s="133">
        <v>514</v>
      </c>
      <c r="AJ46" s="135">
        <v>476</v>
      </c>
      <c r="AK46" s="132">
        <v>532</v>
      </c>
      <c r="AL46" s="132">
        <v>524</v>
      </c>
      <c r="AM46" s="132">
        <v>481</v>
      </c>
      <c r="AN46" s="134">
        <v>243</v>
      </c>
      <c r="AO46" s="132">
        <v>335</v>
      </c>
      <c r="AP46" s="132">
        <v>283</v>
      </c>
      <c r="AQ46" s="132">
        <v>429</v>
      </c>
      <c r="AR46" s="134">
        <v>326</v>
      </c>
      <c r="AS46" s="132">
        <v>461</v>
      </c>
      <c r="AT46" s="132">
        <v>376</v>
      </c>
      <c r="AU46" s="132">
        <v>436</v>
      </c>
      <c r="AV46" s="136"/>
      <c r="AW46" s="136"/>
    </row>
    <row r="47" spans="1:49" ht="12.75" x14ac:dyDescent="0.2">
      <c r="A47" s="131" t="s">
        <v>300</v>
      </c>
      <c r="B47" s="145">
        <v>-152</v>
      </c>
      <c r="C47" s="145">
        <v>-191</v>
      </c>
      <c r="D47" s="168">
        <v>-323</v>
      </c>
      <c r="E47" s="132">
        <v>-567</v>
      </c>
      <c r="F47" s="132">
        <v>-552</v>
      </c>
      <c r="G47" s="132">
        <v>-354</v>
      </c>
      <c r="H47" s="132">
        <f t="shared" si="6"/>
        <v>-597</v>
      </c>
      <c r="I47" s="132">
        <v>-244</v>
      </c>
      <c r="J47" s="132">
        <v>-389</v>
      </c>
      <c r="K47" s="145">
        <v>-298</v>
      </c>
      <c r="L47" s="90"/>
      <c r="M47" s="168">
        <v>-73</v>
      </c>
      <c r="N47" s="168">
        <v>-102</v>
      </c>
      <c r="O47" s="168">
        <v>-20</v>
      </c>
      <c r="P47" s="176">
        <v>-128</v>
      </c>
      <c r="Q47" s="168">
        <v>-123</v>
      </c>
      <c r="R47" s="168">
        <v>-235</v>
      </c>
      <c r="S47" s="168">
        <v>-181</v>
      </c>
      <c r="T47" s="176">
        <v>-28</v>
      </c>
      <c r="U47" s="168">
        <v>-148</v>
      </c>
      <c r="V47" s="168">
        <v>-127</v>
      </c>
      <c r="W47" s="168">
        <v>-153</v>
      </c>
      <c r="X47" s="176">
        <v>-124</v>
      </c>
      <c r="Y47" s="168">
        <v>9</v>
      </c>
      <c r="Z47" s="168">
        <v>-166</v>
      </c>
      <c r="AA47" s="168">
        <v>-80</v>
      </c>
      <c r="AB47" s="176">
        <v>-117</v>
      </c>
      <c r="AC47" s="168">
        <v>-215</v>
      </c>
      <c r="AD47" s="168">
        <v>-114</v>
      </c>
      <c r="AE47" s="168">
        <v>-59</v>
      </c>
      <c r="AF47" s="176">
        <v>-209</v>
      </c>
      <c r="AG47" s="168">
        <v>-31</v>
      </c>
      <c r="AH47" s="168">
        <v>-10</v>
      </c>
      <c r="AI47" s="168">
        <v>-88</v>
      </c>
      <c r="AJ47" s="176">
        <v>-115</v>
      </c>
      <c r="AK47" s="168">
        <v>-89</v>
      </c>
      <c r="AL47" s="168">
        <v>-106</v>
      </c>
      <c r="AM47" s="168">
        <v>-89</v>
      </c>
      <c r="AN47" s="176">
        <v>-105</v>
      </c>
      <c r="AO47" s="168">
        <v>-78</v>
      </c>
      <c r="AP47" s="168">
        <v>-125</v>
      </c>
      <c r="AQ47" s="168">
        <v>-75</v>
      </c>
      <c r="AR47" s="176">
        <v>-20</v>
      </c>
      <c r="AS47" s="168">
        <v>-97</v>
      </c>
      <c r="AT47" s="168">
        <v>-122</v>
      </c>
      <c r="AU47" s="168">
        <v>-60</v>
      </c>
      <c r="AV47" s="136"/>
      <c r="AW47" s="136"/>
    </row>
    <row r="48" spans="1:49" ht="12.75" x14ac:dyDescent="0.2">
      <c r="A48" s="153" t="s">
        <v>192</v>
      </c>
      <c r="B48" s="154">
        <v>5175</v>
      </c>
      <c r="C48" s="154">
        <v>4548</v>
      </c>
      <c r="D48" s="154">
        <v>5930.0051558893001</v>
      </c>
      <c r="E48" s="154">
        <v>7385</v>
      </c>
      <c r="F48" s="154">
        <v>8136</v>
      </c>
      <c r="G48" s="154">
        <v>7382</v>
      </c>
      <c r="H48" s="154">
        <f t="shared" si="6"/>
        <v>8995</v>
      </c>
      <c r="I48" s="154">
        <v>11147</v>
      </c>
      <c r="J48" s="154">
        <v>13183</v>
      </c>
      <c r="K48" s="154">
        <v>12385</v>
      </c>
      <c r="L48" s="121"/>
      <c r="M48" s="154">
        <v>1414</v>
      </c>
      <c r="N48" s="154">
        <v>1468</v>
      </c>
      <c r="O48" s="154">
        <v>1520</v>
      </c>
      <c r="P48" s="156">
        <v>1528.0051558893001</v>
      </c>
      <c r="Q48" s="154">
        <v>1515</v>
      </c>
      <c r="R48" s="154">
        <v>1810</v>
      </c>
      <c r="S48" s="154">
        <v>1898</v>
      </c>
      <c r="T48" s="156">
        <v>2162</v>
      </c>
      <c r="U48" s="154">
        <v>1930</v>
      </c>
      <c r="V48" s="154">
        <v>2263</v>
      </c>
      <c r="W48" s="154">
        <v>1927</v>
      </c>
      <c r="X48" s="156">
        <v>2016</v>
      </c>
      <c r="Y48" s="154">
        <v>1932</v>
      </c>
      <c r="Z48" s="154">
        <v>1418</v>
      </c>
      <c r="AA48" s="154">
        <v>1820</v>
      </c>
      <c r="AB48" s="156">
        <v>2212</v>
      </c>
      <c r="AC48" s="154">
        <v>1867</v>
      </c>
      <c r="AD48" s="154">
        <v>2182</v>
      </c>
      <c r="AE48" s="154">
        <v>2352</v>
      </c>
      <c r="AF48" s="156">
        <v>2594</v>
      </c>
      <c r="AG48" s="154">
        <v>2631</v>
      </c>
      <c r="AH48" s="154">
        <v>2381</v>
      </c>
      <c r="AI48" s="154">
        <v>2900</v>
      </c>
      <c r="AJ48" s="156">
        <v>3235</v>
      </c>
      <c r="AK48" s="154">
        <v>3161</v>
      </c>
      <c r="AL48" s="154">
        <v>3413</v>
      </c>
      <c r="AM48" s="154">
        <v>3260</v>
      </c>
      <c r="AN48" s="156">
        <v>3349</v>
      </c>
      <c r="AO48" s="154">
        <v>2760</v>
      </c>
      <c r="AP48" s="154">
        <v>2921</v>
      </c>
      <c r="AQ48" s="154">
        <v>3277</v>
      </c>
      <c r="AR48" s="156">
        <v>3427</v>
      </c>
      <c r="AS48" s="154">
        <v>3088</v>
      </c>
      <c r="AT48" s="154">
        <v>2831</v>
      </c>
      <c r="AU48" s="154">
        <v>2802</v>
      </c>
      <c r="AV48" s="136"/>
      <c r="AW48" s="136"/>
    </row>
    <row r="49" spans="1:49" ht="12.75" x14ac:dyDescent="0.2">
      <c r="A49" s="131" t="s">
        <v>283</v>
      </c>
      <c r="B49" s="132">
        <v>-220</v>
      </c>
      <c r="C49" s="132">
        <v>-137</v>
      </c>
      <c r="D49" s="132">
        <v>-137</v>
      </c>
      <c r="E49" s="132">
        <v>-184</v>
      </c>
      <c r="F49" s="132">
        <v>-293</v>
      </c>
      <c r="G49" s="132">
        <v>-295</v>
      </c>
      <c r="H49" s="132">
        <f t="shared" si="6"/>
        <v>-31</v>
      </c>
      <c r="I49" s="132">
        <v>-369</v>
      </c>
      <c r="J49" s="132">
        <v>-948</v>
      </c>
      <c r="K49" s="132">
        <v>-946</v>
      </c>
      <c r="L49" s="195"/>
      <c r="M49" s="132">
        <v>-23</v>
      </c>
      <c r="N49" s="132">
        <v>-10</v>
      </c>
      <c r="O49" s="132">
        <v>-19</v>
      </c>
      <c r="P49" s="134">
        <v>-85</v>
      </c>
      <c r="Q49" s="132">
        <v>-57</v>
      </c>
      <c r="R49" s="132">
        <v>-44</v>
      </c>
      <c r="S49" s="132">
        <v>-36.982705969999984</v>
      </c>
      <c r="T49" s="134">
        <v>-46.017294030000016</v>
      </c>
      <c r="U49" s="132">
        <v>-100</v>
      </c>
      <c r="V49" s="132">
        <v>-38</v>
      </c>
      <c r="W49" s="132">
        <v>-61</v>
      </c>
      <c r="X49" s="134">
        <v>-94</v>
      </c>
      <c r="Y49" s="132">
        <v>-46</v>
      </c>
      <c r="Z49" s="132">
        <v>-51</v>
      </c>
      <c r="AA49" s="132">
        <v>-76</v>
      </c>
      <c r="AB49" s="134">
        <v>-122</v>
      </c>
      <c r="AC49" s="132">
        <v>-33</v>
      </c>
      <c r="AD49" s="132">
        <v>-44</v>
      </c>
      <c r="AE49" s="132">
        <v>73</v>
      </c>
      <c r="AF49" s="134">
        <v>-27</v>
      </c>
      <c r="AG49" s="132">
        <v>-67</v>
      </c>
      <c r="AH49" s="132">
        <v>-89</v>
      </c>
      <c r="AI49" s="132">
        <v>-24</v>
      </c>
      <c r="AJ49" s="134">
        <v>-189</v>
      </c>
      <c r="AK49" s="132">
        <v>-197</v>
      </c>
      <c r="AL49" s="132">
        <v>15</v>
      </c>
      <c r="AM49" s="132">
        <v>-331</v>
      </c>
      <c r="AN49" s="134">
        <v>-435</v>
      </c>
      <c r="AO49" s="132">
        <v>-116</v>
      </c>
      <c r="AP49" s="132">
        <v>-265</v>
      </c>
      <c r="AQ49" s="132">
        <v>-264</v>
      </c>
      <c r="AR49" s="134">
        <v>-301</v>
      </c>
      <c r="AS49" s="132">
        <v>-207</v>
      </c>
      <c r="AT49" s="132">
        <v>-131</v>
      </c>
      <c r="AU49" s="132">
        <v>-236</v>
      </c>
      <c r="AV49" s="136"/>
      <c r="AW49" s="136"/>
    </row>
    <row r="50" spans="1:49" ht="12.75" x14ac:dyDescent="0.2">
      <c r="A50" s="153" t="s">
        <v>285</v>
      </c>
      <c r="B50" s="154">
        <v>4955</v>
      </c>
      <c r="C50" s="154">
        <v>4411</v>
      </c>
      <c r="D50" s="154">
        <v>5793</v>
      </c>
      <c r="E50" s="154">
        <v>7201</v>
      </c>
      <c r="F50" s="154">
        <v>7843</v>
      </c>
      <c r="G50" s="154">
        <v>7087</v>
      </c>
      <c r="H50" s="154">
        <f t="shared" si="6"/>
        <v>8964</v>
      </c>
      <c r="I50" s="154">
        <v>10778</v>
      </c>
      <c r="J50" s="154">
        <v>12235</v>
      </c>
      <c r="K50" s="154">
        <v>11439</v>
      </c>
      <c r="L50" s="90"/>
      <c r="M50" s="154">
        <v>1391</v>
      </c>
      <c r="N50" s="154">
        <v>1458</v>
      </c>
      <c r="O50" s="154">
        <v>1501</v>
      </c>
      <c r="P50" s="156">
        <v>1443</v>
      </c>
      <c r="Q50" s="154">
        <v>1458</v>
      </c>
      <c r="R50" s="154">
        <v>1766</v>
      </c>
      <c r="S50" s="154">
        <v>1861.0172940299999</v>
      </c>
      <c r="T50" s="156">
        <v>2116.1874796013699</v>
      </c>
      <c r="U50" s="154">
        <v>1830</v>
      </c>
      <c r="V50" s="154">
        <v>2225</v>
      </c>
      <c r="W50" s="154">
        <v>1866</v>
      </c>
      <c r="X50" s="156">
        <v>1922</v>
      </c>
      <c r="Y50" s="154">
        <v>1886</v>
      </c>
      <c r="Z50" s="154">
        <v>1367</v>
      </c>
      <c r="AA50" s="154">
        <v>1744</v>
      </c>
      <c r="AB50" s="156">
        <v>2090</v>
      </c>
      <c r="AC50" s="154">
        <v>1834</v>
      </c>
      <c r="AD50" s="154">
        <v>2138</v>
      </c>
      <c r="AE50" s="154">
        <v>2425</v>
      </c>
      <c r="AF50" s="156">
        <v>2567</v>
      </c>
      <c r="AG50" s="154">
        <v>2564</v>
      </c>
      <c r="AH50" s="154">
        <v>2292</v>
      </c>
      <c r="AI50" s="154">
        <v>2876</v>
      </c>
      <c r="AJ50" s="156">
        <v>3046</v>
      </c>
      <c r="AK50" s="154">
        <v>2964</v>
      </c>
      <c r="AL50" s="154">
        <v>3428</v>
      </c>
      <c r="AM50" s="154">
        <v>2929</v>
      </c>
      <c r="AN50" s="156">
        <v>2914</v>
      </c>
      <c r="AO50" s="154">
        <v>2644</v>
      </c>
      <c r="AP50" s="154">
        <v>2656</v>
      </c>
      <c r="AQ50" s="154">
        <v>3013</v>
      </c>
      <c r="AR50" s="156">
        <v>3126</v>
      </c>
      <c r="AS50" s="154">
        <v>2881</v>
      </c>
      <c r="AT50" s="154">
        <v>2700</v>
      </c>
      <c r="AU50" s="154">
        <v>2566</v>
      </c>
      <c r="AV50" s="136"/>
      <c r="AW50" s="136"/>
    </row>
    <row r="51" spans="1:49" ht="12.75" x14ac:dyDescent="0.2">
      <c r="A51" s="128"/>
      <c r="B51" s="204"/>
      <c r="C51" s="204"/>
      <c r="D51" s="204"/>
      <c r="E51" s="204"/>
      <c r="F51" s="204"/>
      <c r="G51" s="204"/>
      <c r="H51" s="204"/>
      <c r="I51" s="204"/>
      <c r="J51" s="204"/>
      <c r="K51" s="204"/>
      <c r="L51" s="90"/>
      <c r="M51" s="204"/>
      <c r="N51" s="204"/>
      <c r="O51" s="204"/>
      <c r="P51" s="205"/>
      <c r="Q51" s="204"/>
      <c r="R51" s="204"/>
      <c r="S51" s="204"/>
      <c r="T51" s="205"/>
      <c r="U51" s="204"/>
      <c r="V51" s="204"/>
      <c r="W51" s="204"/>
      <c r="X51" s="205"/>
      <c r="Y51" s="204"/>
      <c r="Z51" s="204"/>
      <c r="AA51" s="204"/>
      <c r="AB51" s="205"/>
      <c r="AC51" s="204"/>
      <c r="AD51" s="204"/>
      <c r="AE51" s="204"/>
      <c r="AF51" s="205"/>
      <c r="AG51" s="204"/>
      <c r="AH51" s="204"/>
      <c r="AI51" s="204"/>
      <c r="AJ51" s="205"/>
      <c r="AK51" s="204"/>
      <c r="AL51" s="204"/>
      <c r="AM51" s="204"/>
      <c r="AN51" s="205"/>
      <c r="AO51" s="204"/>
      <c r="AP51" s="204"/>
      <c r="AQ51" s="204"/>
      <c r="AR51" s="205"/>
      <c r="AS51" s="204"/>
      <c r="AT51" s="204"/>
      <c r="AU51" s="204"/>
      <c r="AV51" s="136"/>
      <c r="AW51" s="136"/>
    </row>
    <row r="52" spans="1:49" ht="12.75" x14ac:dyDescent="0.2">
      <c r="A52" s="128"/>
      <c r="B52" s="204"/>
      <c r="C52" s="204"/>
      <c r="D52" s="204"/>
      <c r="E52" s="204"/>
      <c r="F52" s="204"/>
      <c r="G52" s="204"/>
      <c r="H52" s="204"/>
      <c r="I52" s="204"/>
      <c r="J52" s="204"/>
      <c r="K52" s="204"/>
      <c r="L52" s="90"/>
      <c r="M52" s="204"/>
      <c r="N52" s="204"/>
      <c r="O52" s="204"/>
      <c r="P52" s="205"/>
      <c r="Q52" s="204"/>
      <c r="R52" s="204"/>
      <c r="S52" s="204"/>
      <c r="T52" s="205"/>
      <c r="U52" s="204"/>
      <c r="V52" s="204"/>
      <c r="W52" s="204"/>
      <c r="X52" s="205"/>
      <c r="Y52" s="204"/>
      <c r="Z52" s="204"/>
      <c r="AA52" s="206"/>
      <c r="AB52" s="205"/>
      <c r="AC52" s="204"/>
      <c r="AD52" s="204"/>
      <c r="AE52" s="206"/>
      <c r="AF52" s="205"/>
      <c r="AG52" s="204"/>
      <c r="AH52" s="204"/>
      <c r="AI52" s="206"/>
      <c r="AJ52" s="205"/>
      <c r="AK52" s="204"/>
      <c r="AL52" s="204"/>
      <c r="AM52" s="206"/>
      <c r="AN52" s="205"/>
      <c r="AO52" s="204"/>
      <c r="AP52" s="204"/>
      <c r="AQ52" s="206"/>
      <c r="AR52" s="205"/>
      <c r="AS52" s="204"/>
      <c r="AT52" s="204"/>
      <c r="AU52" s="204"/>
      <c r="AV52" s="136"/>
      <c r="AW52" s="136"/>
    </row>
    <row r="53" spans="1:49" ht="12.75" x14ac:dyDescent="0.2">
      <c r="A53" s="163" t="s">
        <v>315</v>
      </c>
      <c r="B53" s="164">
        <v>2015</v>
      </c>
      <c r="C53" s="164">
        <v>2016</v>
      </c>
      <c r="D53" s="164">
        <v>2017</v>
      </c>
      <c r="E53" s="164">
        <v>2018</v>
      </c>
      <c r="F53" s="164">
        <v>2019</v>
      </c>
      <c r="G53" s="164">
        <v>2020</v>
      </c>
      <c r="H53" s="164">
        <v>2021</v>
      </c>
      <c r="I53" s="164">
        <v>2022</v>
      </c>
      <c r="J53" s="164">
        <v>2023</v>
      </c>
      <c r="K53" s="164">
        <v>2024</v>
      </c>
      <c r="L53" s="90"/>
      <c r="M53" s="164" t="s">
        <v>267</v>
      </c>
      <c r="N53" s="164" t="s">
        <v>268</v>
      </c>
      <c r="O53" s="164" t="s">
        <v>269</v>
      </c>
      <c r="P53" s="165" t="s">
        <v>270</v>
      </c>
      <c r="Q53" s="164" t="s">
        <v>131</v>
      </c>
      <c r="R53" s="164" t="s">
        <v>132</v>
      </c>
      <c r="S53" s="164" t="s">
        <v>133</v>
      </c>
      <c r="T53" s="165" t="s">
        <v>134</v>
      </c>
      <c r="U53" s="164" t="s">
        <v>135</v>
      </c>
      <c r="V53" s="164" t="s">
        <v>136</v>
      </c>
      <c r="W53" s="164" t="s">
        <v>137</v>
      </c>
      <c r="X53" s="165" t="s">
        <v>138</v>
      </c>
      <c r="Y53" s="164" t="s">
        <v>139</v>
      </c>
      <c r="Z53" s="164" t="s">
        <v>140</v>
      </c>
      <c r="AA53" s="164" t="s">
        <v>141</v>
      </c>
      <c r="AB53" s="165" t="s">
        <v>142</v>
      </c>
      <c r="AC53" s="164" t="s">
        <v>143</v>
      </c>
      <c r="AD53" s="164" t="s">
        <v>144</v>
      </c>
      <c r="AE53" s="164" t="s">
        <v>145</v>
      </c>
      <c r="AF53" s="165" t="s">
        <v>146</v>
      </c>
      <c r="AG53" s="164" t="s">
        <v>147</v>
      </c>
      <c r="AH53" s="164" t="s">
        <v>148</v>
      </c>
      <c r="AI53" s="164" t="s">
        <v>149</v>
      </c>
      <c r="AJ53" s="165" t="s">
        <v>150</v>
      </c>
      <c r="AK53" s="164" t="s">
        <v>151</v>
      </c>
      <c r="AL53" s="164" t="s">
        <v>152</v>
      </c>
      <c r="AM53" s="164" t="s">
        <v>153</v>
      </c>
      <c r="AN53" s="165" t="s">
        <v>154</v>
      </c>
      <c r="AO53" s="164" t="s">
        <v>155</v>
      </c>
      <c r="AP53" s="164" t="s">
        <v>156</v>
      </c>
      <c r="AQ53" s="164" t="s">
        <v>157</v>
      </c>
      <c r="AR53" s="165" t="s">
        <v>158</v>
      </c>
      <c r="AS53" s="164" t="s">
        <v>159</v>
      </c>
      <c r="AT53" s="164" t="s">
        <v>160</v>
      </c>
      <c r="AU53" s="164" t="s">
        <v>161</v>
      </c>
      <c r="AV53" s="136"/>
      <c r="AW53" s="136"/>
    </row>
    <row r="54" spans="1:49" ht="12.75" x14ac:dyDescent="0.2">
      <c r="A54" s="131" t="s">
        <v>296</v>
      </c>
      <c r="B54" s="182">
        <v>0.21509081065117883</v>
      </c>
      <c r="C54" s="182">
        <v>0.20118531061487988</v>
      </c>
      <c r="D54" s="182">
        <v>0.22816423178304965</v>
      </c>
      <c r="E54" s="188">
        <v>0.23524877365101612</v>
      </c>
      <c r="F54" s="182">
        <v>0.249</v>
      </c>
      <c r="G54" s="182">
        <v>0.247</v>
      </c>
      <c r="H54" s="182">
        <f>H45/H18</f>
        <v>0.26630286493860844</v>
      </c>
      <c r="I54" s="207">
        <f>I45/I18</f>
        <v>0.24395949002673248</v>
      </c>
      <c r="J54" s="182">
        <f>J45/J18</f>
        <v>0.2480959394066905</v>
      </c>
      <c r="K54" s="182">
        <f>K45/K18</f>
        <v>0.23122214498916466</v>
      </c>
      <c r="L54" s="90"/>
      <c r="M54" s="182">
        <v>0.223</v>
      </c>
      <c r="N54" s="182">
        <v>0.22600000000000001</v>
      </c>
      <c r="O54" s="182">
        <v>0.23300000000000001</v>
      </c>
      <c r="P54" s="183">
        <v>0.23</v>
      </c>
      <c r="Q54" s="182">
        <v>0.22700000000000001</v>
      </c>
      <c r="R54" s="182">
        <v>0.23799999999999999</v>
      </c>
      <c r="S54" s="182">
        <v>0.245</v>
      </c>
      <c r="T54" s="183">
        <v>0.23100000000000001</v>
      </c>
      <c r="U54" s="182">
        <v>0.24</v>
      </c>
      <c r="V54" s="182">
        <v>0.255</v>
      </c>
      <c r="W54" s="182">
        <v>0.26200000000000001</v>
      </c>
      <c r="X54" s="183">
        <v>0.23799999999999999</v>
      </c>
      <c r="Y54" s="182">
        <v>0.24099999999999999</v>
      </c>
      <c r="Z54" s="182">
        <v>0.22438492681407701</v>
      </c>
      <c r="AA54" s="182">
        <v>0.25436563127800998</v>
      </c>
      <c r="AB54" s="183">
        <v>0.26400000000000001</v>
      </c>
      <c r="AC54" s="182">
        <v>0.26536999999999999</v>
      </c>
      <c r="AD54" s="182">
        <v>0.26200000000000001</v>
      </c>
      <c r="AE54" s="182">
        <v>0.26400000000000001</v>
      </c>
      <c r="AF54" s="183">
        <v>0.27300000000000002</v>
      </c>
      <c r="AG54" s="207">
        <f>AG45/AG18</f>
        <v>0.25786682380671772</v>
      </c>
      <c r="AH54" s="207">
        <f>AH45/AH18</f>
        <v>0.21578366445916114</v>
      </c>
      <c r="AI54" s="207">
        <f>AI45/AI18</f>
        <v>0.24568023833167826</v>
      </c>
      <c r="AJ54" s="208">
        <f>AJ45/AJ18</f>
        <v>0.25458410842412971</v>
      </c>
      <c r="AK54" s="182">
        <v>0.25323767818876403</v>
      </c>
      <c r="AL54" s="182">
        <v>0.23899999999999999</v>
      </c>
      <c r="AM54" s="182">
        <v>0.244522124648308</v>
      </c>
      <c r="AN54" s="183">
        <v>0.25569358178053803</v>
      </c>
      <c r="AO54" s="182">
        <v>0.223245270109002</v>
      </c>
      <c r="AP54" s="182">
        <v>0.220757430488974</v>
      </c>
      <c r="AQ54" s="182">
        <v>0.246147368421053</v>
      </c>
      <c r="AR54" s="183">
        <v>0.234467733453535</v>
      </c>
      <c r="AS54" s="182" t="s">
        <v>316</v>
      </c>
      <c r="AT54" s="182">
        <v>0.22536073458679501</v>
      </c>
      <c r="AU54" s="182">
        <v>0.21071831842265265</v>
      </c>
      <c r="AV54" s="136"/>
      <c r="AW54" s="136"/>
    </row>
    <row r="55" spans="1:49" ht="12.75" x14ac:dyDescent="0.2">
      <c r="A55" s="131" t="s">
        <v>299</v>
      </c>
      <c r="B55" s="209">
        <v>0.11832344213649852</v>
      </c>
      <c r="C55" s="209">
        <v>0.11823343848580442</v>
      </c>
      <c r="D55" s="209">
        <v>0.13114847827369075</v>
      </c>
      <c r="E55" s="209">
        <v>0.13011790000000001</v>
      </c>
      <c r="F55" s="209">
        <v>0.11600000000000001</v>
      </c>
      <c r="G55" s="209">
        <v>0.122</v>
      </c>
      <c r="H55" s="209">
        <f>H46/H21</f>
        <v>0.17481626653601176</v>
      </c>
      <c r="I55" s="210">
        <f>I46/I21</f>
        <v>0.17582824356838794</v>
      </c>
      <c r="J55" s="209">
        <f>J46/J21</f>
        <v>0.1399041106657235</v>
      </c>
      <c r="K55" s="209">
        <f>K46/K21</f>
        <v>9.3784153005464485E-2</v>
      </c>
      <c r="L55" s="90"/>
      <c r="M55" s="209">
        <v>0.14799999999999999</v>
      </c>
      <c r="N55" s="209">
        <v>0.14299999999999999</v>
      </c>
      <c r="O55" s="209">
        <v>0.13</v>
      </c>
      <c r="P55" s="211">
        <v>0.10199999999999999</v>
      </c>
      <c r="Q55" s="209">
        <v>0.128</v>
      </c>
      <c r="R55" s="209">
        <v>0.124</v>
      </c>
      <c r="S55" s="209">
        <v>0.13598930000000001</v>
      </c>
      <c r="T55" s="211">
        <v>0.13259570000000001</v>
      </c>
      <c r="U55" s="209">
        <v>0.14237610000000001</v>
      </c>
      <c r="V55" s="209">
        <v>0.14649909999999999</v>
      </c>
      <c r="W55" s="209">
        <v>5.6908899999999998E-2</v>
      </c>
      <c r="X55" s="211">
        <v>0.11799999999999999</v>
      </c>
      <c r="Y55" s="209">
        <v>0.13500000000000001</v>
      </c>
      <c r="Z55" s="209">
        <v>7.0270270270270302E-2</v>
      </c>
      <c r="AA55" s="209">
        <v>0.115664845173042</v>
      </c>
      <c r="AB55" s="211">
        <v>0.159</v>
      </c>
      <c r="AC55" s="209">
        <v>0.16461000000000001</v>
      </c>
      <c r="AD55" s="209">
        <v>0.16500000000000001</v>
      </c>
      <c r="AE55" s="209">
        <v>0.186</v>
      </c>
      <c r="AF55" s="211">
        <v>0.182</v>
      </c>
      <c r="AG55" s="210">
        <f>AG46/AG21</f>
        <v>0.18315301391035549</v>
      </c>
      <c r="AH55" s="210">
        <f>AH46/AH21</f>
        <v>0.15604867573371511</v>
      </c>
      <c r="AI55" s="210">
        <f>AI46/AI21</f>
        <v>0.18959793434157138</v>
      </c>
      <c r="AJ55" s="212">
        <f>AJ46/AJ21</f>
        <v>0.17545152967194988</v>
      </c>
      <c r="AK55" s="209">
        <v>0.17024</v>
      </c>
      <c r="AL55" s="209">
        <v>0.153</v>
      </c>
      <c r="AM55" s="209">
        <v>0.15054773082942099</v>
      </c>
      <c r="AN55" s="211">
        <v>8.1407035175879397E-2</v>
      </c>
      <c r="AO55" s="209">
        <v>0.1135174</v>
      </c>
      <c r="AP55" s="209">
        <v>7.0909546479579005E-2</v>
      </c>
      <c r="AQ55" s="209">
        <v>0.112627986348123</v>
      </c>
      <c r="AR55" s="211">
        <v>8.3783089180159295E-2</v>
      </c>
      <c r="AS55" s="209" t="s">
        <v>317</v>
      </c>
      <c r="AT55" s="209">
        <v>0.102592087312415</v>
      </c>
      <c r="AU55" s="209">
        <v>0.11771058315334773</v>
      </c>
      <c r="AV55" s="136"/>
      <c r="AW55" s="136"/>
    </row>
    <row r="56" spans="1:49" ht="12.75" x14ac:dyDescent="0.2">
      <c r="A56" s="153" t="s">
        <v>301</v>
      </c>
      <c r="B56" s="194">
        <v>0.18054634895161009</v>
      </c>
      <c r="C56" s="194">
        <v>0.16781049369050255</v>
      </c>
      <c r="D56" s="194">
        <v>0.189</v>
      </c>
      <c r="E56" s="194">
        <v>0.19289538983936266</v>
      </c>
      <c r="F56" s="194">
        <v>0.19900000000000001</v>
      </c>
      <c r="G56" s="194">
        <v>0.20399999999999999</v>
      </c>
      <c r="H56" s="194">
        <f>H48/H23</f>
        <v>0.22688863665027115</v>
      </c>
      <c r="I56" s="194">
        <v>0.224</v>
      </c>
      <c r="J56" s="194">
        <f>J48/J23</f>
        <v>0.21846775930928194</v>
      </c>
      <c r="K56" s="194">
        <f>K48/K23</f>
        <v>0.1947204578328407</v>
      </c>
      <c r="L56" s="90"/>
      <c r="M56" s="194">
        <v>0.191</v>
      </c>
      <c r="N56" s="194">
        <v>0.186</v>
      </c>
      <c r="O56" s="194">
        <v>0.2</v>
      </c>
      <c r="P56" s="196">
        <v>0.18099999999999999</v>
      </c>
      <c r="Q56" s="194">
        <v>0.18415860000000001</v>
      </c>
      <c r="R56" s="194">
        <v>0.184</v>
      </c>
      <c r="S56" s="194">
        <v>0.19666355818049944</v>
      </c>
      <c r="T56" s="196">
        <v>0.20477363136957757</v>
      </c>
      <c r="U56" s="194">
        <v>0.19721749999999999</v>
      </c>
      <c r="V56" s="194">
        <v>0.2130041</v>
      </c>
      <c r="W56" s="194">
        <v>0.1896526</v>
      </c>
      <c r="X56" s="196">
        <v>0.19600000000000001</v>
      </c>
      <c r="Y56" s="194">
        <v>0.21199999999999999</v>
      </c>
      <c r="Z56" s="194">
        <v>0.167651927169544</v>
      </c>
      <c r="AA56" s="194">
        <v>0.20861989912883999</v>
      </c>
      <c r="AB56" s="196">
        <v>0.22600000000000001</v>
      </c>
      <c r="AC56" s="194">
        <v>0.21281</v>
      </c>
      <c r="AD56" s="194">
        <v>0.224</v>
      </c>
      <c r="AE56" s="194">
        <v>0.23599999999999999</v>
      </c>
      <c r="AF56" s="196">
        <v>0.23200000000000001</v>
      </c>
      <c r="AG56" s="194">
        <v>0.23699999999999999</v>
      </c>
      <c r="AH56" s="194">
        <v>0.20100000000000001</v>
      </c>
      <c r="AI56" s="194">
        <v>0.22652710513982199</v>
      </c>
      <c r="AJ56" s="196">
        <v>0.23213260619977</v>
      </c>
      <c r="AK56" s="194">
        <v>0.22793481396019599</v>
      </c>
      <c r="AL56" s="194">
        <v>0.215</v>
      </c>
      <c r="AM56" s="194">
        <v>0.217376808695072</v>
      </c>
      <c r="AN56" s="196">
        <v>0.21512076053442999</v>
      </c>
      <c r="AO56" s="194">
        <v>0.1951698</v>
      </c>
      <c r="AP56" s="194">
        <v>0.17691236145599901</v>
      </c>
      <c r="AQ56" s="194">
        <v>0.20873941015351299</v>
      </c>
      <c r="AR56" s="196">
        <v>0.19865515042606199</v>
      </c>
      <c r="AS56" s="197" t="s">
        <v>280</v>
      </c>
      <c r="AT56" s="194">
        <v>0.187111698612029</v>
      </c>
      <c r="AU56" s="194">
        <v>0.18383414250098412</v>
      </c>
      <c r="AV56" s="136"/>
      <c r="AW56" s="136"/>
    </row>
    <row r="57" spans="1:49" ht="12.75" x14ac:dyDescent="0.2">
      <c r="A57" s="128"/>
      <c r="B57" s="213"/>
      <c r="C57" s="213"/>
      <c r="D57" s="213"/>
      <c r="E57" s="213"/>
      <c r="F57" s="213"/>
      <c r="G57" s="213"/>
      <c r="H57" s="213"/>
      <c r="I57" s="213"/>
      <c r="J57" s="213"/>
      <c r="K57" s="213"/>
      <c r="L57" s="90"/>
      <c r="M57" s="213"/>
      <c r="N57" s="213"/>
      <c r="O57" s="213"/>
      <c r="P57" s="214"/>
      <c r="Q57" s="213"/>
      <c r="R57" s="213"/>
      <c r="S57" s="213"/>
      <c r="T57" s="214"/>
      <c r="U57" s="213"/>
      <c r="V57" s="213"/>
      <c r="W57" s="213"/>
      <c r="X57" s="214"/>
      <c r="Y57" s="213"/>
      <c r="Z57" s="213"/>
      <c r="AA57" s="213"/>
      <c r="AB57" s="214"/>
      <c r="AC57" s="213"/>
      <c r="AD57" s="213"/>
      <c r="AE57" s="213"/>
      <c r="AF57" s="214"/>
      <c r="AG57" s="213"/>
      <c r="AH57" s="213"/>
      <c r="AI57" s="213"/>
      <c r="AJ57" s="214"/>
      <c r="AK57" s="213"/>
      <c r="AL57" s="213"/>
      <c r="AM57" s="213"/>
      <c r="AN57" s="214"/>
      <c r="AO57" s="213"/>
      <c r="AP57" s="213"/>
      <c r="AQ57" s="213"/>
      <c r="AR57" s="214"/>
      <c r="AS57" s="213"/>
      <c r="AT57" s="213"/>
      <c r="AU57" s="213"/>
      <c r="AV57" s="136"/>
      <c r="AW57" s="136"/>
    </row>
    <row r="58" spans="1:49" ht="12.75" x14ac:dyDescent="0.2">
      <c r="A58" s="163" t="s">
        <v>318</v>
      </c>
      <c r="B58" s="164">
        <v>2015</v>
      </c>
      <c r="C58" s="164">
        <v>2016</v>
      </c>
      <c r="D58" s="164">
        <v>2017</v>
      </c>
      <c r="E58" s="164">
        <v>2018</v>
      </c>
      <c r="F58" s="164">
        <v>2019</v>
      </c>
      <c r="G58" s="164">
        <v>2020</v>
      </c>
      <c r="H58" s="164">
        <v>2021</v>
      </c>
      <c r="I58" s="164">
        <v>2022</v>
      </c>
      <c r="J58" s="164">
        <v>2023</v>
      </c>
      <c r="K58" s="164">
        <v>2024</v>
      </c>
      <c r="L58" s="90"/>
      <c r="M58" s="164" t="s">
        <v>267</v>
      </c>
      <c r="N58" s="164" t="s">
        <v>268</v>
      </c>
      <c r="O58" s="164" t="s">
        <v>269</v>
      </c>
      <c r="P58" s="165" t="s">
        <v>270</v>
      </c>
      <c r="Q58" s="164" t="s">
        <v>131</v>
      </c>
      <c r="R58" s="164" t="s">
        <v>132</v>
      </c>
      <c r="S58" s="164" t="s">
        <v>133</v>
      </c>
      <c r="T58" s="165" t="s">
        <v>134</v>
      </c>
      <c r="U58" s="164" t="s">
        <v>135</v>
      </c>
      <c r="V58" s="164" t="s">
        <v>136</v>
      </c>
      <c r="W58" s="164" t="s">
        <v>137</v>
      </c>
      <c r="X58" s="165" t="s">
        <v>138</v>
      </c>
      <c r="Y58" s="164" t="s">
        <v>139</v>
      </c>
      <c r="Z58" s="164" t="s">
        <v>140</v>
      </c>
      <c r="AA58" s="164" t="s">
        <v>141</v>
      </c>
      <c r="AB58" s="165" t="s">
        <v>142</v>
      </c>
      <c r="AC58" s="164" t="s">
        <v>143</v>
      </c>
      <c r="AD58" s="164" t="s">
        <v>144</v>
      </c>
      <c r="AE58" s="164" t="s">
        <v>145</v>
      </c>
      <c r="AF58" s="165" t="s">
        <v>146</v>
      </c>
      <c r="AG58" s="164" t="s">
        <v>147</v>
      </c>
      <c r="AH58" s="164" t="s">
        <v>148</v>
      </c>
      <c r="AI58" s="164" t="s">
        <v>149</v>
      </c>
      <c r="AJ58" s="165" t="s">
        <v>150</v>
      </c>
      <c r="AK58" s="164" t="s">
        <v>151</v>
      </c>
      <c r="AL58" s="164" t="s">
        <v>152</v>
      </c>
      <c r="AM58" s="164" t="s">
        <v>153</v>
      </c>
      <c r="AN58" s="165" t="s">
        <v>154</v>
      </c>
      <c r="AO58" s="164" t="s">
        <v>155</v>
      </c>
      <c r="AP58" s="164" t="s">
        <v>156</v>
      </c>
      <c r="AQ58" s="164" t="s">
        <v>157</v>
      </c>
      <c r="AR58" s="165" t="s">
        <v>158</v>
      </c>
      <c r="AS58" s="164" t="s">
        <v>159</v>
      </c>
      <c r="AT58" s="164" t="s">
        <v>160</v>
      </c>
      <c r="AU58" s="164" t="s">
        <v>161</v>
      </c>
      <c r="AV58" s="136"/>
      <c r="AW58" s="136"/>
    </row>
    <row r="59" spans="1:49" ht="12.75" x14ac:dyDescent="0.2">
      <c r="A59" s="131" t="s">
        <v>319</v>
      </c>
      <c r="B59" s="184" t="s">
        <v>195</v>
      </c>
      <c r="C59" s="184" t="s">
        <v>195</v>
      </c>
      <c r="D59" s="184">
        <v>-163</v>
      </c>
      <c r="E59" s="184">
        <v>-66</v>
      </c>
      <c r="F59" s="184">
        <v>-194</v>
      </c>
      <c r="G59" s="184">
        <v>-99</v>
      </c>
      <c r="H59" s="184">
        <v>-270</v>
      </c>
      <c r="I59" s="184">
        <v>37</v>
      </c>
      <c r="J59" s="184">
        <v>-63</v>
      </c>
      <c r="K59" s="184" t="s">
        <v>195</v>
      </c>
      <c r="L59" s="90"/>
      <c r="M59" s="184">
        <v>-45</v>
      </c>
      <c r="N59" s="184">
        <v>-53</v>
      </c>
      <c r="O59" s="184">
        <v>-15</v>
      </c>
      <c r="P59" s="186">
        <v>-50</v>
      </c>
      <c r="Q59" s="184">
        <v>0</v>
      </c>
      <c r="R59" s="184">
        <v>-77</v>
      </c>
      <c r="S59" s="184">
        <v>-56</v>
      </c>
      <c r="T59" s="186">
        <v>67</v>
      </c>
      <c r="U59" s="184">
        <v>-59</v>
      </c>
      <c r="V59" s="184">
        <v>-39</v>
      </c>
      <c r="W59" s="184">
        <v>-54</v>
      </c>
      <c r="X59" s="186">
        <v>-42</v>
      </c>
      <c r="Y59" s="184">
        <v>65</v>
      </c>
      <c r="Z59" s="184">
        <v>-91</v>
      </c>
      <c r="AA59" s="184">
        <v>-21</v>
      </c>
      <c r="AB59" s="186">
        <v>-52</v>
      </c>
      <c r="AC59" s="184">
        <v>-149</v>
      </c>
      <c r="AD59" s="184">
        <v>-15</v>
      </c>
      <c r="AE59" s="184">
        <v>21</v>
      </c>
      <c r="AF59" s="186">
        <v>-127</v>
      </c>
      <c r="AG59" s="184">
        <v>43</v>
      </c>
      <c r="AH59" s="184">
        <v>75</v>
      </c>
      <c r="AI59" s="184">
        <v>-14</v>
      </c>
      <c r="AJ59" s="186">
        <v>-67</v>
      </c>
      <c r="AK59" s="184">
        <v>-26</v>
      </c>
      <c r="AL59" s="184">
        <v>-16</v>
      </c>
      <c r="AM59" s="184">
        <v>-19</v>
      </c>
      <c r="AN59" s="186">
        <v>-2</v>
      </c>
      <c r="AO59" s="184">
        <v>-2</v>
      </c>
      <c r="AP59" s="184">
        <v>-18</v>
      </c>
      <c r="AQ59" s="215">
        <v>-17</v>
      </c>
      <c r="AR59" s="186">
        <v>37</v>
      </c>
      <c r="AS59" s="184">
        <v>-11</v>
      </c>
      <c r="AT59" s="184">
        <v>-6</v>
      </c>
      <c r="AU59" s="184">
        <v>1</v>
      </c>
      <c r="AV59" s="136"/>
      <c r="AW59" s="136"/>
    </row>
    <row r="60" spans="1:49" ht="12.75" x14ac:dyDescent="0.2">
      <c r="A60" s="131" t="s">
        <v>320</v>
      </c>
      <c r="B60" s="184" t="s">
        <v>195</v>
      </c>
      <c r="C60" s="184" t="s">
        <v>195</v>
      </c>
      <c r="D60" s="184" t="s">
        <v>195</v>
      </c>
      <c r="E60" s="184" t="s">
        <v>195</v>
      </c>
      <c r="F60" s="184">
        <v>-28</v>
      </c>
      <c r="G60" s="216" t="s">
        <v>195</v>
      </c>
      <c r="H60" s="216" t="s">
        <v>195</v>
      </c>
      <c r="I60" s="216" t="s">
        <v>195</v>
      </c>
      <c r="J60" s="216" t="s">
        <v>195</v>
      </c>
      <c r="K60" s="184" t="s">
        <v>195</v>
      </c>
      <c r="L60" s="90"/>
      <c r="M60" s="184" t="s">
        <v>195</v>
      </c>
      <c r="N60" s="184" t="s">
        <v>195</v>
      </c>
      <c r="O60" s="184" t="s">
        <v>195</v>
      </c>
      <c r="P60" s="186" t="s">
        <v>195</v>
      </c>
      <c r="Q60" s="184" t="s">
        <v>195</v>
      </c>
      <c r="R60" s="184" t="s">
        <v>195</v>
      </c>
      <c r="S60" s="184" t="s">
        <v>195</v>
      </c>
      <c r="T60" s="186" t="s">
        <v>195</v>
      </c>
      <c r="U60" s="184" t="s">
        <v>195</v>
      </c>
      <c r="V60" s="184" t="s">
        <v>195</v>
      </c>
      <c r="W60" s="184" t="s">
        <v>195</v>
      </c>
      <c r="X60" s="186">
        <v>-28</v>
      </c>
      <c r="Y60" s="184" t="s">
        <v>195</v>
      </c>
      <c r="Z60" s="184" t="s">
        <v>195</v>
      </c>
      <c r="AA60" s="184" t="s">
        <v>195</v>
      </c>
      <c r="AB60" s="186" t="s">
        <v>195</v>
      </c>
      <c r="AC60" s="184" t="s">
        <v>195</v>
      </c>
      <c r="AD60" s="184" t="s">
        <v>195</v>
      </c>
      <c r="AE60" s="184" t="s">
        <v>195</v>
      </c>
      <c r="AF60" s="186" t="s">
        <v>195</v>
      </c>
      <c r="AG60" s="184"/>
      <c r="AH60" s="184"/>
      <c r="AI60" s="184"/>
      <c r="AJ60" s="186"/>
      <c r="AK60" s="184" t="s">
        <v>195</v>
      </c>
      <c r="AL60" s="184" t="s">
        <v>195</v>
      </c>
      <c r="AM60" s="184" t="s">
        <v>195</v>
      </c>
      <c r="AN60" s="186" t="s">
        <v>195</v>
      </c>
      <c r="AO60" s="184" t="s">
        <v>195</v>
      </c>
      <c r="AP60" s="184" t="s">
        <v>195</v>
      </c>
      <c r="AQ60" s="215" t="s">
        <v>195</v>
      </c>
      <c r="AR60" s="186" t="s">
        <v>195</v>
      </c>
      <c r="AS60" s="184" t="s">
        <v>195</v>
      </c>
      <c r="AT60" s="184" t="s">
        <v>195</v>
      </c>
      <c r="AU60" s="184" t="s">
        <v>195</v>
      </c>
      <c r="AV60" s="136"/>
      <c r="AW60" s="136"/>
    </row>
    <row r="61" spans="1:49" ht="12.75" x14ac:dyDescent="0.2">
      <c r="A61" s="187" t="s">
        <v>321</v>
      </c>
      <c r="B61" s="184" t="s">
        <v>195</v>
      </c>
      <c r="C61" s="184" t="s">
        <v>195</v>
      </c>
      <c r="D61" s="184" t="s">
        <v>195</v>
      </c>
      <c r="E61" s="184">
        <v>-328</v>
      </c>
      <c r="F61" s="184" t="s">
        <v>195</v>
      </c>
      <c r="G61" s="216" t="s">
        <v>195</v>
      </c>
      <c r="H61" s="216" t="s">
        <v>195</v>
      </c>
      <c r="I61" s="216" t="s">
        <v>195</v>
      </c>
      <c r="J61" s="216" t="s">
        <v>195</v>
      </c>
      <c r="K61" s="184" t="s">
        <v>195</v>
      </c>
      <c r="L61" s="90"/>
      <c r="M61" s="184" t="s">
        <v>195</v>
      </c>
      <c r="N61" s="184" t="s">
        <v>195</v>
      </c>
      <c r="O61" s="184" t="s">
        <v>195</v>
      </c>
      <c r="P61" s="186" t="s">
        <v>195</v>
      </c>
      <c r="Q61" s="184">
        <v>-95</v>
      </c>
      <c r="R61" s="184">
        <v>-104</v>
      </c>
      <c r="S61" s="184">
        <v>-70</v>
      </c>
      <c r="T61" s="186">
        <v>-59</v>
      </c>
      <c r="U61" s="184" t="s">
        <v>195</v>
      </c>
      <c r="V61" s="184" t="s">
        <v>195</v>
      </c>
      <c r="W61" s="184" t="s">
        <v>195</v>
      </c>
      <c r="X61" s="186" t="s">
        <v>195</v>
      </c>
      <c r="Y61" s="184" t="s">
        <v>195</v>
      </c>
      <c r="Z61" s="184" t="s">
        <v>195</v>
      </c>
      <c r="AA61" s="184" t="s">
        <v>195</v>
      </c>
      <c r="AB61" s="186" t="s">
        <v>195</v>
      </c>
      <c r="AC61" s="184" t="s">
        <v>195</v>
      </c>
      <c r="AD61" s="184" t="s">
        <v>195</v>
      </c>
      <c r="AE61" s="184" t="s">
        <v>195</v>
      </c>
      <c r="AF61" s="186" t="s">
        <v>195</v>
      </c>
      <c r="AG61" s="184"/>
      <c r="AH61" s="184"/>
      <c r="AI61" s="184"/>
      <c r="AJ61" s="186"/>
      <c r="AK61" s="184" t="s">
        <v>195</v>
      </c>
      <c r="AL61" s="184" t="s">
        <v>195</v>
      </c>
      <c r="AM61" s="184" t="s">
        <v>195</v>
      </c>
      <c r="AN61" s="186" t="s">
        <v>195</v>
      </c>
      <c r="AO61" s="184" t="s">
        <v>195</v>
      </c>
      <c r="AP61" s="184" t="s">
        <v>195</v>
      </c>
      <c r="AQ61" s="215" t="s">
        <v>195</v>
      </c>
      <c r="AR61" s="186" t="s">
        <v>195</v>
      </c>
      <c r="AS61" s="184" t="s">
        <v>195</v>
      </c>
      <c r="AT61" s="184" t="s">
        <v>195</v>
      </c>
      <c r="AU61" s="184" t="s">
        <v>195</v>
      </c>
      <c r="AV61" s="136"/>
      <c r="AW61" s="136"/>
    </row>
    <row r="62" spans="1:49" ht="12.75" x14ac:dyDescent="0.2">
      <c r="A62" s="187" t="s">
        <v>322</v>
      </c>
      <c r="B62" s="184" t="s">
        <v>195</v>
      </c>
      <c r="C62" s="184" t="s">
        <v>195</v>
      </c>
      <c r="D62" s="184" t="s">
        <v>195</v>
      </c>
      <c r="E62" s="184" t="s">
        <v>195</v>
      </c>
      <c r="F62" s="184">
        <v>-28</v>
      </c>
      <c r="G62" s="184">
        <v>-84</v>
      </c>
      <c r="H62" s="184">
        <v>167</v>
      </c>
      <c r="I62" s="184">
        <v>-560</v>
      </c>
      <c r="J62" s="184">
        <v>287</v>
      </c>
      <c r="K62" s="184">
        <v>51</v>
      </c>
      <c r="L62" s="217"/>
      <c r="M62" s="184" t="s">
        <v>195</v>
      </c>
      <c r="N62" s="184" t="s">
        <v>195</v>
      </c>
      <c r="O62" s="184" t="s">
        <v>195</v>
      </c>
      <c r="P62" s="186" t="s">
        <v>195</v>
      </c>
      <c r="Q62" s="184" t="s">
        <v>195</v>
      </c>
      <c r="R62" s="184" t="s">
        <v>195</v>
      </c>
      <c r="S62" s="184" t="s">
        <v>195</v>
      </c>
      <c r="T62" s="186" t="s">
        <v>195</v>
      </c>
      <c r="U62" s="184" t="s">
        <v>195</v>
      </c>
      <c r="V62" s="184" t="s">
        <v>195</v>
      </c>
      <c r="W62" s="184" t="s">
        <v>195</v>
      </c>
      <c r="X62" s="186">
        <v>-28</v>
      </c>
      <c r="Y62" s="184">
        <v>-34</v>
      </c>
      <c r="Z62" s="184">
        <v>-17</v>
      </c>
      <c r="AA62" s="184">
        <v>-33</v>
      </c>
      <c r="AB62" s="186" t="s">
        <v>195</v>
      </c>
      <c r="AC62" s="184" t="s">
        <v>195</v>
      </c>
      <c r="AD62" s="184" t="s">
        <v>195</v>
      </c>
      <c r="AE62" s="184" t="s">
        <v>195</v>
      </c>
      <c r="AF62" s="186">
        <v>167</v>
      </c>
      <c r="AG62" s="184"/>
      <c r="AH62" s="184">
        <v>-422</v>
      </c>
      <c r="AI62" s="184">
        <v>-138</v>
      </c>
      <c r="AJ62" s="186"/>
      <c r="AK62" s="184" t="s">
        <v>195</v>
      </c>
      <c r="AL62" s="184" t="s">
        <v>195</v>
      </c>
      <c r="AM62" s="184">
        <v>7</v>
      </c>
      <c r="AN62" s="186">
        <v>280</v>
      </c>
      <c r="AO62" s="184" t="s">
        <v>195</v>
      </c>
      <c r="AP62" s="184">
        <v>-142</v>
      </c>
      <c r="AQ62" s="215">
        <v>208</v>
      </c>
      <c r="AR62" s="186">
        <v>-15</v>
      </c>
      <c r="AS62" s="184" t="s">
        <v>195</v>
      </c>
      <c r="AT62" s="184">
        <v>-49</v>
      </c>
      <c r="AU62" s="184">
        <v>-101</v>
      </c>
      <c r="AV62" s="136"/>
      <c r="AW62" s="136"/>
    </row>
    <row r="63" spans="1:49" ht="12.75" x14ac:dyDescent="0.2">
      <c r="A63" s="131" t="s">
        <v>323</v>
      </c>
      <c r="B63" s="184" t="s">
        <v>195</v>
      </c>
      <c r="C63" s="184" t="s">
        <v>195</v>
      </c>
      <c r="D63" s="184" t="s">
        <v>195</v>
      </c>
      <c r="E63" s="184" t="s">
        <v>195</v>
      </c>
      <c r="F63" s="184">
        <v>-196</v>
      </c>
      <c r="G63" s="184">
        <v>-104</v>
      </c>
      <c r="H63" s="216" t="s">
        <v>195</v>
      </c>
      <c r="I63" s="216">
        <v>-85</v>
      </c>
      <c r="J63" s="216">
        <v>-158</v>
      </c>
      <c r="K63" s="184">
        <v>-290</v>
      </c>
      <c r="L63" s="217"/>
      <c r="M63" s="184" t="s">
        <v>195</v>
      </c>
      <c r="N63" s="184" t="s">
        <v>195</v>
      </c>
      <c r="O63" s="184" t="s">
        <v>195</v>
      </c>
      <c r="P63" s="186" t="s">
        <v>195</v>
      </c>
      <c r="Q63" s="184" t="s">
        <v>195</v>
      </c>
      <c r="R63" s="184" t="s">
        <v>195</v>
      </c>
      <c r="S63" s="184" t="s">
        <v>195</v>
      </c>
      <c r="T63" s="186" t="s">
        <v>195</v>
      </c>
      <c r="U63" s="184" t="s">
        <v>195</v>
      </c>
      <c r="V63" s="184" t="s">
        <v>195</v>
      </c>
      <c r="W63" s="184">
        <v>-179</v>
      </c>
      <c r="X63" s="186">
        <v>-17</v>
      </c>
      <c r="Y63" s="184">
        <v>-10</v>
      </c>
      <c r="Z63" s="184">
        <v>-57</v>
      </c>
      <c r="AA63" s="184">
        <v>-22</v>
      </c>
      <c r="AB63" s="186">
        <v>-15</v>
      </c>
      <c r="AC63" s="184" t="s">
        <v>195</v>
      </c>
      <c r="AD63" s="184" t="s">
        <v>195</v>
      </c>
      <c r="AE63" s="184" t="s">
        <v>195</v>
      </c>
      <c r="AF63" s="186" t="s">
        <v>195</v>
      </c>
      <c r="AG63" s="184"/>
      <c r="AH63" s="184">
        <v>-73</v>
      </c>
      <c r="AI63" s="184">
        <v>-12</v>
      </c>
      <c r="AJ63" s="186"/>
      <c r="AK63" s="184" t="s">
        <v>195</v>
      </c>
      <c r="AL63" s="184" t="s">
        <v>195</v>
      </c>
      <c r="AM63" s="184" t="s">
        <v>195</v>
      </c>
      <c r="AN63" s="186">
        <v>-158</v>
      </c>
      <c r="AO63" s="184">
        <v>-125</v>
      </c>
      <c r="AP63" s="184">
        <v>-165</v>
      </c>
      <c r="AQ63" s="215" t="s">
        <v>195</v>
      </c>
      <c r="AR63" s="186" t="s">
        <v>195</v>
      </c>
      <c r="AS63" s="184" t="s">
        <v>195</v>
      </c>
      <c r="AT63" s="184">
        <v>-98</v>
      </c>
      <c r="AU63" s="184">
        <v>6</v>
      </c>
      <c r="AV63" s="136"/>
      <c r="AW63" s="136"/>
    </row>
    <row r="64" spans="1:49" ht="12.75" x14ac:dyDescent="0.2">
      <c r="A64" s="153" t="s">
        <v>301</v>
      </c>
      <c r="B64" s="218"/>
      <c r="C64" s="218"/>
      <c r="D64" s="154">
        <v>-163</v>
      </c>
      <c r="E64" s="154">
        <v>-394</v>
      </c>
      <c r="F64" s="154">
        <v>-446</v>
      </c>
      <c r="G64" s="154">
        <v>-287</v>
      </c>
      <c r="H64" s="154">
        <v>-103</v>
      </c>
      <c r="I64" s="154">
        <v>-608</v>
      </c>
      <c r="J64" s="154">
        <v>66</v>
      </c>
      <c r="K64" s="218">
        <v>-239</v>
      </c>
      <c r="L64" s="90"/>
      <c r="M64" s="154">
        <v>-45</v>
      </c>
      <c r="N64" s="154">
        <v>-53</v>
      </c>
      <c r="O64" s="154">
        <v>-15</v>
      </c>
      <c r="P64" s="156">
        <v>-50</v>
      </c>
      <c r="Q64" s="154">
        <v>-95</v>
      </c>
      <c r="R64" s="154">
        <v>-181</v>
      </c>
      <c r="S64" s="154">
        <v>-126</v>
      </c>
      <c r="T64" s="156">
        <v>8</v>
      </c>
      <c r="U64" s="154">
        <v>-59</v>
      </c>
      <c r="V64" s="154">
        <v>-39</v>
      </c>
      <c r="W64" s="154">
        <v>-233</v>
      </c>
      <c r="X64" s="156">
        <v>-115</v>
      </c>
      <c r="Y64" s="154">
        <v>21</v>
      </c>
      <c r="Z64" s="154">
        <v>-164.6</v>
      </c>
      <c r="AA64" s="154">
        <v>-75.8</v>
      </c>
      <c r="AB64" s="156">
        <v>-67</v>
      </c>
      <c r="AC64" s="154">
        <v>-149</v>
      </c>
      <c r="AD64" s="154">
        <v>-15</v>
      </c>
      <c r="AE64" s="154">
        <v>21</v>
      </c>
      <c r="AF64" s="156">
        <v>40</v>
      </c>
      <c r="AG64" s="154">
        <v>43</v>
      </c>
      <c r="AH64" s="154">
        <v>-420</v>
      </c>
      <c r="AI64" s="154">
        <v>-164</v>
      </c>
      <c r="AJ64" s="156">
        <v>-67</v>
      </c>
      <c r="AK64" s="154">
        <v>-26</v>
      </c>
      <c r="AL64" s="154">
        <v>-16</v>
      </c>
      <c r="AM64" s="154">
        <v>-12</v>
      </c>
      <c r="AN64" s="156">
        <v>120</v>
      </c>
      <c r="AO64" s="154">
        <v>-127</v>
      </c>
      <c r="AP64" s="154">
        <v>-325</v>
      </c>
      <c r="AQ64" s="154">
        <v>191</v>
      </c>
      <c r="AR64" s="156">
        <v>22</v>
      </c>
      <c r="AS64" s="154">
        <v>-11</v>
      </c>
      <c r="AT64" s="154">
        <v>-153</v>
      </c>
      <c r="AU64" s="154">
        <v>-94</v>
      </c>
      <c r="AV64" s="136"/>
      <c r="AW64" s="136"/>
    </row>
    <row r="65" spans="1:49" ht="12.75" x14ac:dyDescent="0.2">
      <c r="A65" s="128"/>
      <c r="B65" s="213"/>
      <c r="C65" s="213"/>
      <c r="D65" s="213"/>
      <c r="E65" s="213"/>
      <c r="F65" s="213"/>
      <c r="G65" s="213"/>
      <c r="H65" s="213"/>
      <c r="I65" s="213"/>
      <c r="J65" s="213"/>
      <c r="K65" s="213"/>
      <c r="L65" s="90"/>
      <c r="M65" s="213"/>
      <c r="N65" s="213"/>
      <c r="O65" s="213"/>
      <c r="P65" s="214"/>
      <c r="Q65" s="213"/>
      <c r="R65" s="213"/>
      <c r="S65" s="213"/>
      <c r="T65" s="214"/>
      <c r="U65" s="213"/>
      <c r="V65" s="213"/>
      <c r="W65" s="213"/>
      <c r="X65" s="214"/>
      <c r="Y65" s="213"/>
      <c r="Z65" s="213"/>
      <c r="AA65" s="213"/>
      <c r="AB65" s="214"/>
      <c r="AC65" s="213"/>
      <c r="AD65" s="213"/>
      <c r="AE65" s="213"/>
      <c r="AF65" s="214"/>
      <c r="AG65" s="213"/>
      <c r="AH65" s="213"/>
      <c r="AI65" s="213"/>
      <c r="AJ65" s="214"/>
      <c r="AK65" s="213"/>
      <c r="AL65" s="213"/>
      <c r="AM65" s="213"/>
      <c r="AN65" s="214"/>
      <c r="AO65" s="213"/>
      <c r="AP65" s="213"/>
      <c r="AQ65" s="213"/>
      <c r="AR65" s="214"/>
      <c r="AS65" s="213"/>
      <c r="AT65" s="213"/>
      <c r="AU65" s="213"/>
      <c r="AV65" s="136"/>
      <c r="AW65" s="136"/>
    </row>
    <row r="66" spans="1:49" ht="12.75" x14ac:dyDescent="0.2">
      <c r="A66" s="163" t="s">
        <v>324</v>
      </c>
      <c r="B66" s="164">
        <v>2015</v>
      </c>
      <c r="C66" s="164">
        <v>2016</v>
      </c>
      <c r="D66" s="164">
        <v>2017</v>
      </c>
      <c r="E66" s="164">
        <v>2018</v>
      </c>
      <c r="F66" s="164">
        <v>2019</v>
      </c>
      <c r="G66" s="164">
        <v>2020</v>
      </c>
      <c r="H66" s="164">
        <v>2021</v>
      </c>
      <c r="I66" s="164">
        <v>2022</v>
      </c>
      <c r="J66" s="164">
        <v>2023</v>
      </c>
      <c r="K66" s="164">
        <v>2024</v>
      </c>
      <c r="L66" s="90"/>
      <c r="M66" s="164" t="s">
        <v>267</v>
      </c>
      <c r="N66" s="164" t="s">
        <v>268</v>
      </c>
      <c r="O66" s="164" t="s">
        <v>269</v>
      </c>
      <c r="P66" s="165" t="s">
        <v>270</v>
      </c>
      <c r="Q66" s="164" t="s">
        <v>131</v>
      </c>
      <c r="R66" s="164" t="s">
        <v>132</v>
      </c>
      <c r="S66" s="164" t="s">
        <v>133</v>
      </c>
      <c r="T66" s="165" t="s">
        <v>134</v>
      </c>
      <c r="U66" s="164" t="s">
        <v>135</v>
      </c>
      <c r="V66" s="164" t="s">
        <v>136</v>
      </c>
      <c r="W66" s="164" t="s">
        <v>137</v>
      </c>
      <c r="X66" s="165" t="s">
        <v>138</v>
      </c>
      <c r="Y66" s="164" t="s">
        <v>139</v>
      </c>
      <c r="Z66" s="164" t="s">
        <v>140</v>
      </c>
      <c r="AA66" s="164" t="s">
        <v>141</v>
      </c>
      <c r="AB66" s="165" t="s">
        <v>142</v>
      </c>
      <c r="AC66" s="164" t="s">
        <v>143</v>
      </c>
      <c r="AD66" s="164" t="s">
        <v>144</v>
      </c>
      <c r="AE66" s="164" t="s">
        <v>145</v>
      </c>
      <c r="AF66" s="165" t="s">
        <v>146</v>
      </c>
      <c r="AG66" s="164" t="s">
        <v>147</v>
      </c>
      <c r="AH66" s="164" t="s">
        <v>148</v>
      </c>
      <c r="AI66" s="164" t="s">
        <v>149</v>
      </c>
      <c r="AJ66" s="165" t="s">
        <v>150</v>
      </c>
      <c r="AK66" s="164" t="s">
        <v>151</v>
      </c>
      <c r="AL66" s="164" t="s">
        <v>152</v>
      </c>
      <c r="AM66" s="164" t="s">
        <v>153</v>
      </c>
      <c r="AN66" s="165" t="s">
        <v>154</v>
      </c>
      <c r="AO66" s="164" t="s">
        <v>155</v>
      </c>
      <c r="AP66" s="164" t="s">
        <v>156</v>
      </c>
      <c r="AQ66" s="164" t="s">
        <v>157</v>
      </c>
      <c r="AR66" s="165" t="s">
        <v>158</v>
      </c>
      <c r="AS66" s="164" t="s">
        <v>159</v>
      </c>
      <c r="AT66" s="164" t="s">
        <v>160</v>
      </c>
      <c r="AU66" s="164" t="s">
        <v>161</v>
      </c>
      <c r="AV66" s="136"/>
      <c r="AW66" s="136"/>
    </row>
    <row r="67" spans="1:49" ht="12.75" x14ac:dyDescent="0.2">
      <c r="A67" s="131" t="s">
        <v>296</v>
      </c>
      <c r="B67" s="168">
        <v>4370</v>
      </c>
      <c r="C67" s="168">
        <v>3802</v>
      </c>
      <c r="D67" s="168">
        <v>5107</v>
      </c>
      <c r="E67" s="168">
        <v>6713</v>
      </c>
      <c r="F67" s="168">
        <v>7464</v>
      </c>
      <c r="G67" s="168">
        <v>6723</v>
      </c>
      <c r="H67" s="168">
        <v>7641</v>
      </c>
      <c r="I67" s="175">
        <f>I45-I62</f>
        <v>10051</v>
      </c>
      <c r="J67" s="168">
        <f>J45-J62</f>
        <v>11505</v>
      </c>
      <c r="K67" s="168">
        <v>11259</v>
      </c>
      <c r="L67" s="219"/>
      <c r="M67" s="168">
        <v>1166</v>
      </c>
      <c r="N67" s="168">
        <v>1242</v>
      </c>
      <c r="O67" s="168">
        <v>1261</v>
      </c>
      <c r="P67" s="176">
        <v>1438</v>
      </c>
      <c r="Q67" s="168">
        <v>1351</v>
      </c>
      <c r="R67" s="168">
        <v>1741</v>
      </c>
      <c r="S67" s="168">
        <v>1755</v>
      </c>
      <c r="T67" s="176">
        <v>1866</v>
      </c>
      <c r="U67" s="168">
        <v>1707</v>
      </c>
      <c r="V67" s="168">
        <v>1961</v>
      </c>
      <c r="W67" s="168">
        <v>1923</v>
      </c>
      <c r="X67" s="176">
        <v>1873</v>
      </c>
      <c r="Y67" s="168">
        <v>1620</v>
      </c>
      <c r="Z67" s="168">
        <v>1458</v>
      </c>
      <c r="AA67" s="168">
        <v>1679</v>
      </c>
      <c r="AB67" s="176">
        <v>1966</v>
      </c>
      <c r="AC67" s="168">
        <v>1696</v>
      </c>
      <c r="AD67" s="168">
        <v>1880</v>
      </c>
      <c r="AE67" s="168">
        <v>1909</v>
      </c>
      <c r="AF67" s="176">
        <v>2156</v>
      </c>
      <c r="AG67" s="175">
        <f t="shared" ref="AG67:AJ68" si="7">AG45-AG62</f>
        <v>2188</v>
      </c>
      <c r="AH67" s="175">
        <f t="shared" si="7"/>
        <v>2377</v>
      </c>
      <c r="AI67" s="175">
        <f t="shared" si="7"/>
        <v>2612</v>
      </c>
      <c r="AJ67" s="177">
        <f t="shared" si="7"/>
        <v>2874</v>
      </c>
      <c r="AK67" s="168">
        <v>2718</v>
      </c>
      <c r="AL67" s="168">
        <v>2995</v>
      </c>
      <c r="AM67" s="168">
        <v>2861</v>
      </c>
      <c r="AN67" s="176">
        <v>2931</v>
      </c>
      <c r="AO67" s="168">
        <v>2503</v>
      </c>
      <c r="AP67" s="168">
        <v>2905</v>
      </c>
      <c r="AQ67" s="168">
        <v>2715</v>
      </c>
      <c r="AR67" s="176">
        <v>3136</v>
      </c>
      <c r="AS67" s="168">
        <v>2724</v>
      </c>
      <c r="AT67" s="168">
        <v>2626</v>
      </c>
      <c r="AU67" s="168">
        <v>2527</v>
      </c>
      <c r="AV67" s="136"/>
      <c r="AW67" s="136"/>
    </row>
    <row r="68" spans="1:49" ht="12.75" x14ac:dyDescent="0.2">
      <c r="A68" s="131" t="s">
        <v>299</v>
      </c>
      <c r="B68" s="168">
        <v>957</v>
      </c>
      <c r="C68" s="168">
        <v>937</v>
      </c>
      <c r="D68" s="168">
        <v>1146.0051558893001</v>
      </c>
      <c r="E68" s="168">
        <v>1239</v>
      </c>
      <c r="F68" s="168">
        <v>1448</v>
      </c>
      <c r="G68" s="168">
        <v>1201</v>
      </c>
      <c r="H68" s="168">
        <v>1784</v>
      </c>
      <c r="I68" s="175">
        <f>I46-I63</f>
        <v>1985</v>
      </c>
      <c r="J68" s="168">
        <f>J46-J63</f>
        <v>1938</v>
      </c>
      <c r="K68" s="168">
        <v>1663</v>
      </c>
      <c r="L68" s="219"/>
      <c r="M68" s="168">
        <v>321</v>
      </c>
      <c r="N68" s="168">
        <v>328</v>
      </c>
      <c r="O68" s="168">
        <v>279</v>
      </c>
      <c r="P68" s="176">
        <v>218.0051558893</v>
      </c>
      <c r="Q68" s="168">
        <v>287</v>
      </c>
      <c r="R68" s="168">
        <v>304</v>
      </c>
      <c r="S68" s="168">
        <v>324</v>
      </c>
      <c r="T68" s="176">
        <v>324</v>
      </c>
      <c r="U68" s="168">
        <v>371</v>
      </c>
      <c r="V68" s="168">
        <v>429</v>
      </c>
      <c r="W68" s="168">
        <v>336</v>
      </c>
      <c r="X68" s="176">
        <v>312</v>
      </c>
      <c r="Y68" s="168">
        <v>347</v>
      </c>
      <c r="Z68" s="168">
        <v>200</v>
      </c>
      <c r="AA68" s="168">
        <v>276</v>
      </c>
      <c r="AB68" s="176">
        <v>378</v>
      </c>
      <c r="AC68" s="168">
        <v>386</v>
      </c>
      <c r="AD68" s="168">
        <v>416</v>
      </c>
      <c r="AE68" s="168">
        <v>502</v>
      </c>
      <c r="AF68" s="176">
        <v>480</v>
      </c>
      <c r="AG68" s="175">
        <f t="shared" si="7"/>
        <v>474</v>
      </c>
      <c r="AH68" s="175">
        <f t="shared" si="7"/>
        <v>509</v>
      </c>
      <c r="AI68" s="175">
        <f t="shared" si="7"/>
        <v>526</v>
      </c>
      <c r="AJ68" s="179">
        <f t="shared" si="7"/>
        <v>476</v>
      </c>
      <c r="AK68" s="168">
        <v>532</v>
      </c>
      <c r="AL68" s="168">
        <v>524</v>
      </c>
      <c r="AM68" s="168">
        <v>481</v>
      </c>
      <c r="AN68" s="176">
        <v>401</v>
      </c>
      <c r="AO68" s="168">
        <v>460</v>
      </c>
      <c r="AP68" s="168">
        <v>448</v>
      </c>
      <c r="AQ68" s="168">
        <v>429</v>
      </c>
      <c r="AR68" s="176">
        <v>326</v>
      </c>
      <c r="AS68" s="168">
        <v>461</v>
      </c>
      <c r="AT68" s="168">
        <v>474</v>
      </c>
      <c r="AU68" s="168">
        <v>430</v>
      </c>
      <c r="AV68" s="136"/>
      <c r="AW68" s="136"/>
    </row>
    <row r="69" spans="1:49" ht="12.75" x14ac:dyDescent="0.2">
      <c r="A69" s="153" t="s">
        <v>301</v>
      </c>
      <c r="B69" s="154">
        <v>5175</v>
      </c>
      <c r="C69" s="154">
        <v>4548</v>
      </c>
      <c r="D69" s="154">
        <v>6093.0051558893001</v>
      </c>
      <c r="E69" s="154">
        <v>7779</v>
      </c>
      <c r="F69" s="154">
        <v>8582</v>
      </c>
      <c r="G69" s="154">
        <v>7669</v>
      </c>
      <c r="H69" s="154">
        <v>9098</v>
      </c>
      <c r="I69" s="154">
        <v>11755</v>
      </c>
      <c r="J69" s="154">
        <v>13117</v>
      </c>
      <c r="K69" s="154">
        <v>12624</v>
      </c>
      <c r="L69" s="220">
        <f>(K69-J69)/J69</f>
        <v>-3.7584813600670883E-2</v>
      </c>
      <c r="M69" s="154">
        <v>1459</v>
      </c>
      <c r="N69" s="154">
        <v>1521</v>
      </c>
      <c r="O69" s="154">
        <v>1535</v>
      </c>
      <c r="P69" s="156">
        <v>1578.0051558893001</v>
      </c>
      <c r="Q69" s="154">
        <v>1610</v>
      </c>
      <c r="R69" s="154">
        <v>1991</v>
      </c>
      <c r="S69" s="154">
        <v>2024</v>
      </c>
      <c r="T69" s="156">
        <v>2154</v>
      </c>
      <c r="U69" s="154">
        <v>1989</v>
      </c>
      <c r="V69" s="154">
        <v>2302</v>
      </c>
      <c r="W69" s="154">
        <v>2160</v>
      </c>
      <c r="X69" s="156">
        <v>2131</v>
      </c>
      <c r="Y69" s="154">
        <v>1911</v>
      </c>
      <c r="Z69" s="154">
        <v>1582.6</v>
      </c>
      <c r="AA69" s="154">
        <v>1895.8</v>
      </c>
      <c r="AB69" s="156">
        <v>2279</v>
      </c>
      <c r="AC69" s="154">
        <v>2016</v>
      </c>
      <c r="AD69" s="154">
        <v>2197</v>
      </c>
      <c r="AE69" s="154">
        <v>2331</v>
      </c>
      <c r="AF69" s="156">
        <v>2554</v>
      </c>
      <c r="AG69" s="154">
        <v>2588</v>
      </c>
      <c r="AH69" s="154">
        <v>2801</v>
      </c>
      <c r="AI69" s="154">
        <v>3064</v>
      </c>
      <c r="AJ69" s="156">
        <v>3302</v>
      </c>
      <c r="AK69" s="154">
        <v>3187</v>
      </c>
      <c r="AL69" s="154">
        <v>3429</v>
      </c>
      <c r="AM69" s="154">
        <v>3272</v>
      </c>
      <c r="AN69" s="156">
        <v>3229</v>
      </c>
      <c r="AO69" s="154">
        <v>2887</v>
      </c>
      <c r="AP69" s="154">
        <v>3246</v>
      </c>
      <c r="AQ69" s="154">
        <v>3086</v>
      </c>
      <c r="AR69" s="156">
        <v>3405</v>
      </c>
      <c r="AS69" s="154">
        <v>3099</v>
      </c>
      <c r="AT69" s="154">
        <v>2984</v>
      </c>
      <c r="AU69" s="154">
        <v>2896</v>
      </c>
      <c r="AV69" s="136"/>
      <c r="AW69" s="136"/>
    </row>
    <row r="70" spans="1:49" ht="12.75" x14ac:dyDescent="0.2">
      <c r="A70" s="128"/>
      <c r="B70" s="159"/>
      <c r="C70" s="159"/>
      <c r="D70" s="159"/>
      <c r="E70" s="159"/>
      <c r="F70" s="159"/>
      <c r="G70" s="159"/>
      <c r="H70" s="159"/>
      <c r="I70" s="159"/>
      <c r="J70" s="159"/>
      <c r="K70" s="159"/>
      <c r="L70" s="220"/>
      <c r="M70" s="159"/>
      <c r="N70" s="159"/>
      <c r="O70" s="159"/>
      <c r="P70" s="160"/>
      <c r="Q70" s="159"/>
      <c r="R70" s="159"/>
      <c r="S70" s="159"/>
      <c r="T70" s="160"/>
      <c r="U70" s="159"/>
      <c r="V70" s="159"/>
      <c r="W70" s="159"/>
      <c r="X70" s="160"/>
      <c r="Y70" s="159"/>
      <c r="Z70" s="159"/>
      <c r="AA70" s="204"/>
      <c r="AB70" s="160"/>
      <c r="AC70" s="159"/>
      <c r="AD70" s="159"/>
      <c r="AE70" s="204"/>
      <c r="AF70" s="160"/>
      <c r="AG70" s="159"/>
      <c r="AH70" s="159"/>
      <c r="AI70" s="204"/>
      <c r="AJ70" s="160"/>
      <c r="AK70" s="159"/>
      <c r="AL70" s="159"/>
      <c r="AM70" s="204"/>
      <c r="AN70" s="160"/>
      <c r="AO70" s="159"/>
      <c r="AP70" s="159"/>
      <c r="AQ70" s="204"/>
      <c r="AR70" s="160"/>
      <c r="AS70" s="159"/>
      <c r="AT70" s="159"/>
      <c r="AU70" s="159"/>
      <c r="AV70" s="136"/>
      <c r="AW70" s="136"/>
    </row>
    <row r="71" spans="1:49" ht="12.75" x14ac:dyDescent="0.2">
      <c r="A71" s="128"/>
      <c r="B71" s="213"/>
      <c r="C71" s="213"/>
      <c r="D71" s="213"/>
      <c r="E71" s="213"/>
      <c r="F71" s="213"/>
      <c r="G71" s="213"/>
      <c r="H71" s="213"/>
      <c r="I71" s="213"/>
      <c r="J71" s="213"/>
      <c r="K71" s="213"/>
      <c r="L71" s="90"/>
      <c r="M71" s="213"/>
      <c r="N71" s="213"/>
      <c r="O71" s="213"/>
      <c r="P71" s="214"/>
      <c r="Q71" s="213"/>
      <c r="R71" s="213"/>
      <c r="S71" s="213"/>
      <c r="T71" s="214"/>
      <c r="U71" s="213"/>
      <c r="V71" s="213"/>
      <c r="W71" s="213"/>
      <c r="X71" s="214"/>
      <c r="Y71" s="213"/>
      <c r="Z71" s="213"/>
      <c r="AA71" s="206"/>
      <c r="AB71" s="214"/>
      <c r="AC71" s="221"/>
      <c r="AD71" s="221"/>
      <c r="AE71" s="206"/>
      <c r="AF71" s="214"/>
      <c r="AG71" s="221"/>
      <c r="AH71" s="213"/>
      <c r="AI71" s="206"/>
      <c r="AJ71" s="214"/>
      <c r="AK71" s="221"/>
      <c r="AL71" s="221"/>
      <c r="AM71" s="206"/>
      <c r="AN71" s="214"/>
      <c r="AO71" s="221"/>
      <c r="AP71" s="221"/>
      <c r="AQ71" s="206"/>
      <c r="AR71" s="214"/>
      <c r="AS71" s="221"/>
      <c r="AT71" s="221"/>
      <c r="AU71" s="221"/>
      <c r="AV71" s="136"/>
      <c r="AW71" s="136"/>
    </row>
    <row r="72" spans="1:49" ht="12.75" x14ac:dyDescent="0.2">
      <c r="A72" s="163" t="s">
        <v>325</v>
      </c>
      <c r="B72" s="164">
        <v>2015</v>
      </c>
      <c r="C72" s="164">
        <v>2016</v>
      </c>
      <c r="D72" s="164">
        <v>2017</v>
      </c>
      <c r="E72" s="164">
        <v>2018</v>
      </c>
      <c r="F72" s="164">
        <v>2019</v>
      </c>
      <c r="G72" s="164">
        <v>2020</v>
      </c>
      <c r="H72" s="164">
        <v>2021</v>
      </c>
      <c r="I72" s="164">
        <v>2022</v>
      </c>
      <c r="J72" s="164">
        <v>2023</v>
      </c>
      <c r="K72" s="164">
        <v>2024</v>
      </c>
      <c r="L72" s="90"/>
      <c r="M72" s="164" t="s">
        <v>267</v>
      </c>
      <c r="N72" s="164" t="s">
        <v>268</v>
      </c>
      <c r="O72" s="164" t="s">
        <v>269</v>
      </c>
      <c r="P72" s="165" t="s">
        <v>270</v>
      </c>
      <c r="Q72" s="164" t="s">
        <v>131</v>
      </c>
      <c r="R72" s="164" t="s">
        <v>132</v>
      </c>
      <c r="S72" s="164" t="s">
        <v>133</v>
      </c>
      <c r="T72" s="165" t="s">
        <v>134</v>
      </c>
      <c r="U72" s="164" t="s">
        <v>135</v>
      </c>
      <c r="V72" s="164" t="s">
        <v>136</v>
      </c>
      <c r="W72" s="164" t="s">
        <v>137</v>
      </c>
      <c r="X72" s="165" t="s">
        <v>138</v>
      </c>
      <c r="Y72" s="164" t="s">
        <v>139</v>
      </c>
      <c r="Z72" s="164" t="s">
        <v>140</v>
      </c>
      <c r="AA72" s="164" t="s">
        <v>141</v>
      </c>
      <c r="AB72" s="165" t="s">
        <v>142</v>
      </c>
      <c r="AC72" s="164" t="s">
        <v>143</v>
      </c>
      <c r="AD72" s="164" t="s">
        <v>144</v>
      </c>
      <c r="AE72" s="164" t="s">
        <v>145</v>
      </c>
      <c r="AF72" s="165" t="s">
        <v>146</v>
      </c>
      <c r="AG72" s="164" t="s">
        <v>147</v>
      </c>
      <c r="AH72" s="164" t="s">
        <v>148</v>
      </c>
      <c r="AI72" s="164" t="s">
        <v>149</v>
      </c>
      <c r="AJ72" s="165" t="s">
        <v>150</v>
      </c>
      <c r="AK72" s="164" t="s">
        <v>151</v>
      </c>
      <c r="AL72" s="164" t="s">
        <v>152</v>
      </c>
      <c r="AM72" s="164" t="s">
        <v>153</v>
      </c>
      <c r="AN72" s="165" t="s">
        <v>154</v>
      </c>
      <c r="AO72" s="164" t="s">
        <v>155</v>
      </c>
      <c r="AP72" s="164" t="s">
        <v>156</v>
      </c>
      <c r="AQ72" s="164" t="s">
        <v>157</v>
      </c>
      <c r="AR72" s="165" t="s">
        <v>158</v>
      </c>
      <c r="AS72" s="164" t="s">
        <v>159</v>
      </c>
      <c r="AT72" s="164" t="s">
        <v>160</v>
      </c>
      <c r="AU72" s="164" t="s">
        <v>161</v>
      </c>
      <c r="AV72" s="136"/>
      <c r="AW72" s="136"/>
    </row>
    <row r="73" spans="1:49" ht="12.75" x14ac:dyDescent="0.2">
      <c r="A73" s="187" t="s">
        <v>326</v>
      </c>
      <c r="B73" s="188">
        <v>0.21509081065117883</v>
      </c>
      <c r="C73" s="188">
        <v>0.20118531061487988</v>
      </c>
      <c r="D73" s="182">
        <v>0.22816423178304965</v>
      </c>
      <c r="E73" s="188">
        <v>0.23524877365101612</v>
      </c>
      <c r="F73" s="182">
        <v>0.25</v>
      </c>
      <c r="G73" s="182">
        <v>0.25</v>
      </c>
      <c r="H73" s="182">
        <f>H67/H18</f>
        <v>0.26060709413369715</v>
      </c>
      <c r="I73" s="207">
        <f>I67/I18</f>
        <v>0.25835389677154019</v>
      </c>
      <c r="J73" s="182">
        <f>J67/J18</f>
        <v>0.24205764780138861</v>
      </c>
      <c r="K73" s="182">
        <f>K67/K18</f>
        <v>0.2301794987120252</v>
      </c>
      <c r="L73" s="90"/>
      <c r="M73" s="182">
        <v>0.223</v>
      </c>
      <c r="N73" s="182">
        <v>0.22600000000000001</v>
      </c>
      <c r="O73" s="182">
        <v>0.23300000000000001</v>
      </c>
      <c r="P73" s="183">
        <v>0.23</v>
      </c>
      <c r="Q73" s="182">
        <v>0.22700000000000001</v>
      </c>
      <c r="R73" s="182">
        <v>0.23799999999999999</v>
      </c>
      <c r="S73" s="182">
        <v>0.245</v>
      </c>
      <c r="T73" s="183">
        <v>0.23100000000000001</v>
      </c>
      <c r="U73" s="182">
        <v>0.24</v>
      </c>
      <c r="V73" s="182">
        <v>0.255</v>
      </c>
      <c r="W73" s="182">
        <v>0.26200000000000001</v>
      </c>
      <c r="X73" s="183">
        <v>0.24199999999999999</v>
      </c>
      <c r="Y73" s="182">
        <v>0.246</v>
      </c>
      <c r="Z73" s="182">
        <v>0.22709436312675199</v>
      </c>
      <c r="AA73" s="182">
        <v>0.259465306753207</v>
      </c>
      <c r="AB73" s="183">
        <v>0.26400000000000001</v>
      </c>
      <c r="AC73" s="182">
        <v>0.26500000000000001</v>
      </c>
      <c r="AD73" s="182">
        <v>0.26200000000000001</v>
      </c>
      <c r="AE73" s="182">
        <v>0.26400000000000001</v>
      </c>
      <c r="AF73" s="183">
        <v>0.254</v>
      </c>
      <c r="AG73" s="207">
        <f>AG67/AG18</f>
        <v>0.25786682380671772</v>
      </c>
      <c r="AH73" s="207">
        <f>AH67/AH18</f>
        <v>0.26236203090507726</v>
      </c>
      <c r="AI73" s="207">
        <f>AI67/AI18</f>
        <v>0.25938430983118171</v>
      </c>
      <c r="AJ73" s="208">
        <f>AJ67/AJ18</f>
        <v>0.25458410842412971</v>
      </c>
      <c r="AK73" s="182">
        <v>0.25323767818876403</v>
      </c>
      <c r="AL73" s="182">
        <v>0.23899999999999999</v>
      </c>
      <c r="AM73" s="182">
        <v>0.243925313325944</v>
      </c>
      <c r="AN73" s="183">
        <v>0.23339703774486401</v>
      </c>
      <c r="AO73" s="182">
        <v>0.22324295397788099</v>
      </c>
      <c r="AP73" s="182">
        <v>0.23210290827740501</v>
      </c>
      <c r="AQ73" s="182">
        <v>0.22863157894736799</v>
      </c>
      <c r="AR73" s="183">
        <v>0.23559462099015899</v>
      </c>
      <c r="AS73" s="222" t="s">
        <v>316</v>
      </c>
      <c r="AT73" s="182">
        <v>0.229645824223874</v>
      </c>
      <c r="AU73" s="182">
        <v>0.21949101016242509</v>
      </c>
      <c r="AV73" s="136"/>
      <c r="AW73" s="136"/>
    </row>
    <row r="74" spans="1:49" ht="12.75" x14ac:dyDescent="0.2">
      <c r="A74" s="90" t="s">
        <v>327</v>
      </c>
      <c r="B74" s="182">
        <v>0.11832344213649852</v>
      </c>
      <c r="C74" s="182">
        <v>0.11823343848580442</v>
      </c>
      <c r="D74" s="182">
        <v>0.13114847827369075</v>
      </c>
      <c r="E74" s="182">
        <v>0.13011790000000001</v>
      </c>
      <c r="F74" s="182">
        <v>0.13400000000000001</v>
      </c>
      <c r="G74" s="182">
        <v>0.13284879315943299</v>
      </c>
      <c r="H74" s="182">
        <f>H68/H21</f>
        <v>0.17481626653601176</v>
      </c>
      <c r="I74" s="207">
        <f>I68/I21</f>
        <v>0.18369424393855266</v>
      </c>
      <c r="J74" s="182">
        <f>J68/J21</f>
        <v>0.15232256543268097</v>
      </c>
      <c r="K74" s="182">
        <f>K68/K21</f>
        <v>0.11359289617486339</v>
      </c>
      <c r="L74" s="90"/>
      <c r="M74" s="182">
        <v>0.14799999999999999</v>
      </c>
      <c r="N74" s="182">
        <v>0.14299999999999999</v>
      </c>
      <c r="O74" s="182">
        <v>0.13</v>
      </c>
      <c r="P74" s="183">
        <v>0.10199999999999999</v>
      </c>
      <c r="Q74" s="182">
        <v>0.12767809999999999</v>
      </c>
      <c r="R74" s="182">
        <v>0.124</v>
      </c>
      <c r="S74" s="182">
        <v>0.13600000000000001</v>
      </c>
      <c r="T74" s="183">
        <v>0.13300000000000001</v>
      </c>
      <c r="U74" s="182">
        <v>0.14237610000000001</v>
      </c>
      <c r="V74" s="182">
        <v>0.14599999999999999</v>
      </c>
      <c r="W74" s="182">
        <v>0.122</v>
      </c>
      <c r="X74" s="183">
        <v>0.125</v>
      </c>
      <c r="Y74" s="182">
        <v>0.13900000000000001</v>
      </c>
      <c r="Z74" s="182">
        <v>9.7985257985258006E-2</v>
      </c>
      <c r="AA74" s="182">
        <v>0.12568306010929001</v>
      </c>
      <c r="AB74" s="183">
        <v>0.16500000000000001</v>
      </c>
      <c r="AC74" s="182">
        <v>0.16500000000000001</v>
      </c>
      <c r="AD74" s="182">
        <v>0.16500000000000001</v>
      </c>
      <c r="AE74" s="182">
        <v>0.186</v>
      </c>
      <c r="AF74" s="183">
        <v>0.182</v>
      </c>
      <c r="AG74" s="207">
        <f>AG68/AG21</f>
        <v>0.18315301391035549</v>
      </c>
      <c r="AH74" s="207">
        <f>AH68/AH21</f>
        <v>0.18217609162491052</v>
      </c>
      <c r="AI74" s="207">
        <f>AI68/AI21</f>
        <v>0.19402434526005163</v>
      </c>
      <c r="AJ74" s="223">
        <f>AJ68/AJ21</f>
        <v>0.17545152967194988</v>
      </c>
      <c r="AK74" s="182">
        <v>0.17024</v>
      </c>
      <c r="AL74" s="182">
        <v>0.153</v>
      </c>
      <c r="AM74" s="182">
        <v>0.15054773082942099</v>
      </c>
      <c r="AN74" s="183">
        <v>0.134338358458961</v>
      </c>
      <c r="AO74" s="182">
        <v>0.15598507968802999</v>
      </c>
      <c r="AP74" s="182">
        <v>0.11225256827862699</v>
      </c>
      <c r="AQ74" s="182">
        <v>0.112627986348123</v>
      </c>
      <c r="AR74" s="183">
        <v>8.3783089180159295E-2</v>
      </c>
      <c r="AS74" s="222" t="s">
        <v>317</v>
      </c>
      <c r="AT74" s="182">
        <v>0.129331514324693</v>
      </c>
      <c r="AU74" s="182">
        <v>0.11609071274298056</v>
      </c>
      <c r="AV74" s="136"/>
      <c r="AW74" s="136"/>
    </row>
    <row r="75" spans="1:49" ht="12.75" x14ac:dyDescent="0.2">
      <c r="A75" s="153" t="s">
        <v>328</v>
      </c>
      <c r="B75" s="194">
        <v>0.18054634895161009</v>
      </c>
      <c r="C75" s="194">
        <v>0.16781049369050255</v>
      </c>
      <c r="D75" s="194">
        <v>0.19426594412314713</v>
      </c>
      <c r="E75" s="194">
        <v>0.20318662661616821</v>
      </c>
      <c r="F75" s="194">
        <v>0.21009082229675144</v>
      </c>
      <c r="G75" s="194">
        <v>0.21230828857759815</v>
      </c>
      <c r="H75" s="194">
        <v>0.22900000000000001</v>
      </c>
      <c r="I75" s="194">
        <v>0.23699999999999999</v>
      </c>
      <c r="J75" s="194">
        <v>0.217</v>
      </c>
      <c r="K75" s="194">
        <v>0.19800000000000001</v>
      </c>
      <c r="L75" s="224"/>
      <c r="M75" s="194">
        <v>0.19686294329831355</v>
      </c>
      <c r="N75" s="194">
        <v>0.19304480263992893</v>
      </c>
      <c r="O75" s="194">
        <v>0.20170827858081472</v>
      </c>
      <c r="P75" s="196">
        <v>0.18643728212302696</v>
      </c>
      <c r="Q75" s="194">
        <v>0.19600000000000001</v>
      </c>
      <c r="R75" s="194">
        <v>0.20200000000000001</v>
      </c>
      <c r="S75" s="194">
        <v>0.21</v>
      </c>
      <c r="T75" s="196">
        <v>0.20399999999999999</v>
      </c>
      <c r="U75" s="194">
        <v>0.20327031170158405</v>
      </c>
      <c r="V75" s="194">
        <v>0.21663843402973837</v>
      </c>
      <c r="W75" s="194">
        <v>0.21264028352037803</v>
      </c>
      <c r="X75" s="196">
        <v>0.20729571984435799</v>
      </c>
      <c r="Y75" s="194">
        <v>0.20899999999999999</v>
      </c>
      <c r="Z75" s="194">
        <v>0.18711279262236899</v>
      </c>
      <c r="AA75" s="194">
        <v>0.21730857404860199</v>
      </c>
      <c r="AB75" s="196">
        <v>0.23200000000000001</v>
      </c>
      <c r="AC75" s="194">
        <v>0.23</v>
      </c>
      <c r="AD75" s="194">
        <v>0.22600000000000001</v>
      </c>
      <c r="AE75" s="194">
        <v>0.23400000000000001</v>
      </c>
      <c r="AF75" s="196">
        <v>0.22900000000000001</v>
      </c>
      <c r="AG75" s="194">
        <v>0.23300000000000001</v>
      </c>
      <c r="AH75" s="194">
        <v>0.23599999999999999</v>
      </c>
      <c r="AI75" s="194">
        <v>0.23899999999999999</v>
      </c>
      <c r="AJ75" s="196">
        <v>0.23699999999999999</v>
      </c>
      <c r="AK75" s="194">
        <v>0.22980963368906801</v>
      </c>
      <c r="AL75" s="194">
        <v>0.216</v>
      </c>
      <c r="AM75" s="194">
        <v>0.21817696872707901</v>
      </c>
      <c r="AN75" s="196">
        <v>0.20741264131551901</v>
      </c>
      <c r="AO75" s="194">
        <v>0.204129251219685</v>
      </c>
      <c r="AP75" s="194">
        <v>0.196596208588214</v>
      </c>
      <c r="AQ75" s="194">
        <v>0.19657303012930799</v>
      </c>
      <c r="AR75" s="196">
        <v>0.19737986203698299</v>
      </c>
      <c r="AS75" s="225" t="s">
        <v>280</v>
      </c>
      <c r="AT75" s="194">
        <v>0.197224058162591</v>
      </c>
      <c r="AU75" s="194">
        <v>0.19000131216375807</v>
      </c>
      <c r="AV75" s="136"/>
      <c r="AW75" s="136"/>
    </row>
    <row r="76" spans="1:49" ht="12.75" x14ac:dyDescent="0.2">
      <c r="A76" s="131"/>
      <c r="B76" s="184"/>
      <c r="C76" s="184"/>
      <c r="D76" s="184"/>
      <c r="E76" s="184"/>
      <c r="F76" s="184"/>
      <c r="G76" s="184"/>
      <c r="H76" s="184"/>
      <c r="I76" s="184"/>
      <c r="J76" s="184"/>
      <c r="K76" s="184"/>
      <c r="L76" s="90"/>
      <c r="M76" s="184"/>
      <c r="N76" s="184"/>
      <c r="O76" s="184"/>
      <c r="P76" s="186"/>
      <c r="Q76" s="184"/>
      <c r="R76" s="184"/>
      <c r="S76" s="184"/>
      <c r="T76" s="186"/>
      <c r="U76" s="184"/>
      <c r="V76" s="184"/>
      <c r="W76" s="184"/>
      <c r="X76" s="186"/>
      <c r="Y76" s="184"/>
      <c r="Z76" s="184"/>
      <c r="AA76" s="184"/>
      <c r="AB76" s="186"/>
      <c r="AC76" s="184"/>
      <c r="AD76" s="184"/>
      <c r="AE76" s="184"/>
      <c r="AF76" s="186"/>
      <c r="AG76" s="184"/>
      <c r="AH76" s="184"/>
      <c r="AI76" s="184"/>
      <c r="AJ76" s="186"/>
      <c r="AK76" s="184"/>
      <c r="AL76" s="184"/>
      <c r="AM76" s="184"/>
      <c r="AN76" s="186"/>
      <c r="AO76" s="184"/>
      <c r="AP76" s="184"/>
      <c r="AQ76" s="184"/>
      <c r="AR76" s="186"/>
      <c r="AS76" s="184"/>
      <c r="AT76" s="184"/>
      <c r="AU76" s="184"/>
      <c r="AV76" s="136"/>
      <c r="AW76" s="136"/>
    </row>
    <row r="77" spans="1:49" ht="12.75" x14ac:dyDescent="0.2">
      <c r="A77" s="163" t="s">
        <v>329</v>
      </c>
      <c r="B77" s="164">
        <v>2015</v>
      </c>
      <c r="C77" s="164">
        <v>2016</v>
      </c>
      <c r="D77" s="164">
        <v>2017</v>
      </c>
      <c r="E77" s="164">
        <v>2018</v>
      </c>
      <c r="F77" s="164">
        <v>2019</v>
      </c>
      <c r="G77" s="164">
        <v>2020</v>
      </c>
      <c r="H77" s="164">
        <v>2021</v>
      </c>
      <c r="I77" s="164">
        <v>2022</v>
      </c>
      <c r="J77" s="164">
        <v>2023</v>
      </c>
      <c r="K77" s="164">
        <v>2024</v>
      </c>
      <c r="L77" s="90"/>
      <c r="M77" s="164" t="s">
        <v>267</v>
      </c>
      <c r="N77" s="164" t="s">
        <v>268</v>
      </c>
      <c r="O77" s="164" t="s">
        <v>269</v>
      </c>
      <c r="P77" s="165" t="s">
        <v>270</v>
      </c>
      <c r="Q77" s="164" t="s">
        <v>131</v>
      </c>
      <c r="R77" s="164" t="s">
        <v>132</v>
      </c>
      <c r="S77" s="164" t="s">
        <v>133</v>
      </c>
      <c r="T77" s="165" t="s">
        <v>134</v>
      </c>
      <c r="U77" s="164" t="s">
        <v>135</v>
      </c>
      <c r="V77" s="164" t="s">
        <v>136</v>
      </c>
      <c r="W77" s="164" t="s">
        <v>137</v>
      </c>
      <c r="X77" s="165" t="s">
        <v>138</v>
      </c>
      <c r="Y77" s="164" t="s">
        <v>139</v>
      </c>
      <c r="Z77" s="164" t="s">
        <v>140</v>
      </c>
      <c r="AA77" s="164" t="s">
        <v>141</v>
      </c>
      <c r="AB77" s="165" t="s">
        <v>142</v>
      </c>
      <c r="AC77" s="164" t="s">
        <v>143</v>
      </c>
      <c r="AD77" s="164" t="s">
        <v>144</v>
      </c>
      <c r="AE77" s="164" t="s">
        <v>145</v>
      </c>
      <c r="AF77" s="165" t="s">
        <v>146</v>
      </c>
      <c r="AG77" s="164" t="s">
        <v>147</v>
      </c>
      <c r="AH77" s="164" t="s">
        <v>148</v>
      </c>
      <c r="AI77" s="164" t="s">
        <v>149</v>
      </c>
      <c r="AJ77" s="165" t="s">
        <v>150</v>
      </c>
      <c r="AK77" s="164" t="s">
        <v>151</v>
      </c>
      <c r="AL77" s="164" t="s">
        <v>152</v>
      </c>
      <c r="AM77" s="164" t="s">
        <v>153</v>
      </c>
      <c r="AN77" s="165" t="s">
        <v>154</v>
      </c>
      <c r="AO77" s="164" t="s">
        <v>155</v>
      </c>
      <c r="AP77" s="164" t="s">
        <v>156</v>
      </c>
      <c r="AQ77" s="164" t="s">
        <v>157</v>
      </c>
      <c r="AR77" s="165" t="s">
        <v>158</v>
      </c>
      <c r="AS77" s="164" t="s">
        <v>159</v>
      </c>
      <c r="AT77" s="164" t="s">
        <v>160</v>
      </c>
      <c r="AU77" s="164" t="s">
        <v>161</v>
      </c>
      <c r="AV77" s="136"/>
      <c r="AW77" s="136"/>
    </row>
    <row r="78" spans="1:49" ht="22.5" x14ac:dyDescent="0.2">
      <c r="A78" s="187" t="s">
        <v>330</v>
      </c>
      <c r="B78" s="226" t="s">
        <v>195</v>
      </c>
      <c r="C78" s="226" t="s">
        <v>195</v>
      </c>
      <c r="D78" s="227">
        <v>-163</v>
      </c>
      <c r="E78" s="227">
        <v>-66</v>
      </c>
      <c r="F78" s="227">
        <v>-194</v>
      </c>
      <c r="G78" s="227">
        <v>-99</v>
      </c>
      <c r="H78" s="227">
        <v>-270</v>
      </c>
      <c r="I78" s="227">
        <v>37</v>
      </c>
      <c r="J78" s="227">
        <v>-63</v>
      </c>
      <c r="K78" s="226">
        <v>0</v>
      </c>
      <c r="L78" s="228"/>
      <c r="M78" s="227">
        <v>-45</v>
      </c>
      <c r="N78" s="227">
        <v>-53</v>
      </c>
      <c r="O78" s="227">
        <v>-15</v>
      </c>
      <c r="P78" s="229">
        <v>-50</v>
      </c>
      <c r="Q78" s="227">
        <v>0</v>
      </c>
      <c r="R78" s="227">
        <v>-77</v>
      </c>
      <c r="S78" s="227">
        <v>-56</v>
      </c>
      <c r="T78" s="229">
        <v>67</v>
      </c>
      <c r="U78" s="227">
        <v>-59</v>
      </c>
      <c r="V78" s="227">
        <v>-39</v>
      </c>
      <c r="W78" s="227">
        <v>-54</v>
      </c>
      <c r="X78" s="229">
        <v>-42</v>
      </c>
      <c r="Y78" s="227">
        <f>Y59</f>
        <v>65</v>
      </c>
      <c r="Z78" s="227">
        <v>-91</v>
      </c>
      <c r="AA78" s="230">
        <v>-21</v>
      </c>
      <c r="AB78" s="229">
        <v>-52</v>
      </c>
      <c r="AC78" s="227">
        <v>-149</v>
      </c>
      <c r="AD78" s="227">
        <v>-15</v>
      </c>
      <c r="AE78" s="227">
        <v>21</v>
      </c>
      <c r="AF78" s="229">
        <v>-127</v>
      </c>
      <c r="AG78" s="227">
        <v>43</v>
      </c>
      <c r="AH78" s="227">
        <v>75</v>
      </c>
      <c r="AI78" s="227">
        <v>-14</v>
      </c>
      <c r="AJ78" s="229">
        <v>-67</v>
      </c>
      <c r="AK78" s="227">
        <v>-26</v>
      </c>
      <c r="AL78" s="227">
        <v>-16</v>
      </c>
      <c r="AM78" s="227">
        <v>-19</v>
      </c>
      <c r="AN78" s="229">
        <v>-2</v>
      </c>
      <c r="AO78" s="227">
        <v>-2</v>
      </c>
      <c r="AP78" s="227">
        <v>-18</v>
      </c>
      <c r="AQ78" s="227">
        <v>-17</v>
      </c>
      <c r="AR78" s="229">
        <v>37</v>
      </c>
      <c r="AS78" s="227">
        <v>-11</v>
      </c>
      <c r="AT78" s="227">
        <v>-6</v>
      </c>
      <c r="AU78" s="227">
        <v>1</v>
      </c>
      <c r="AV78" s="136"/>
      <c r="AW78" s="136"/>
    </row>
    <row r="79" spans="1:49" ht="12.75" x14ac:dyDescent="0.2">
      <c r="A79" s="131" t="s">
        <v>321</v>
      </c>
      <c r="B79" s="184" t="s">
        <v>195</v>
      </c>
      <c r="C79" s="184" t="s">
        <v>195</v>
      </c>
      <c r="D79" s="184" t="s">
        <v>195</v>
      </c>
      <c r="E79" s="184">
        <v>-328</v>
      </c>
      <c r="F79" s="231">
        <v>-62</v>
      </c>
      <c r="G79" s="231">
        <v>-18</v>
      </c>
      <c r="H79" s="184" t="s">
        <v>195</v>
      </c>
      <c r="I79" s="184" t="s">
        <v>195</v>
      </c>
      <c r="J79" s="184" t="s">
        <v>195</v>
      </c>
      <c r="K79" s="184" t="s">
        <v>195</v>
      </c>
      <c r="L79" s="90"/>
      <c r="M79" s="184" t="s">
        <v>195</v>
      </c>
      <c r="N79" s="184" t="s">
        <v>195</v>
      </c>
      <c r="O79" s="184" t="s">
        <v>195</v>
      </c>
      <c r="P79" s="186" t="s">
        <v>195</v>
      </c>
      <c r="Q79" s="184">
        <v>-95</v>
      </c>
      <c r="R79" s="184">
        <v>-104</v>
      </c>
      <c r="S79" s="184">
        <v>-70</v>
      </c>
      <c r="T79" s="186">
        <v>-59</v>
      </c>
      <c r="U79" s="184">
        <v>-17</v>
      </c>
      <c r="V79" s="184">
        <v>-23</v>
      </c>
      <c r="W79" s="184">
        <v>-11</v>
      </c>
      <c r="X79" s="186">
        <v>-11</v>
      </c>
      <c r="Y79" s="184">
        <v>-6</v>
      </c>
      <c r="Z79" s="184">
        <v>-11</v>
      </c>
      <c r="AA79" s="184">
        <v>-1</v>
      </c>
      <c r="AB79" s="186" t="s">
        <v>195</v>
      </c>
      <c r="AC79" s="184" t="s">
        <v>195</v>
      </c>
      <c r="AD79" s="184" t="s">
        <v>195</v>
      </c>
      <c r="AE79" s="184" t="s">
        <v>195</v>
      </c>
      <c r="AF79" s="186" t="s">
        <v>195</v>
      </c>
      <c r="AG79" s="184" t="s">
        <v>195</v>
      </c>
      <c r="AH79" s="184" t="s">
        <v>195</v>
      </c>
      <c r="AI79" s="184" t="s">
        <v>195</v>
      </c>
      <c r="AJ79" s="186" t="s">
        <v>195</v>
      </c>
      <c r="AK79" s="184" t="s">
        <v>195</v>
      </c>
      <c r="AL79" s="184" t="s">
        <v>195</v>
      </c>
      <c r="AM79" s="184" t="s">
        <v>195</v>
      </c>
      <c r="AN79" s="186" t="s">
        <v>195</v>
      </c>
      <c r="AO79" s="184" t="s">
        <v>195</v>
      </c>
      <c r="AP79" s="184" t="s">
        <v>195</v>
      </c>
      <c r="AQ79" s="184" t="s">
        <v>195</v>
      </c>
      <c r="AR79" s="186" t="s">
        <v>195</v>
      </c>
      <c r="AS79" s="184" t="s">
        <v>195</v>
      </c>
      <c r="AT79" s="184" t="s">
        <v>195</v>
      </c>
      <c r="AU79" s="184" t="s">
        <v>195</v>
      </c>
      <c r="AV79" s="136"/>
      <c r="AW79" s="136"/>
    </row>
    <row r="80" spans="1:49" ht="12.75" x14ac:dyDescent="0.2">
      <c r="A80" s="153" t="s">
        <v>301</v>
      </c>
      <c r="B80" s="218" t="s">
        <v>195</v>
      </c>
      <c r="C80" s="218" t="s">
        <v>195</v>
      </c>
      <c r="D80" s="154">
        <v>-163</v>
      </c>
      <c r="E80" s="154">
        <v>-394</v>
      </c>
      <c r="F80" s="154">
        <f>SUM(U80:X80)</f>
        <v>-256.16971000000001</v>
      </c>
      <c r="G80" s="154">
        <f>SUM(Y80:AB80)</f>
        <v>-117</v>
      </c>
      <c r="H80" s="154">
        <v>-270</v>
      </c>
      <c r="I80" s="154">
        <v>37</v>
      </c>
      <c r="J80" s="154">
        <v>-63</v>
      </c>
      <c r="K80" s="218">
        <v>0</v>
      </c>
      <c r="L80" s="90"/>
      <c r="M80" s="154">
        <v>-45</v>
      </c>
      <c r="N80" s="154">
        <v>-53</v>
      </c>
      <c r="O80" s="154">
        <v>-15</v>
      </c>
      <c r="P80" s="156">
        <v>-50</v>
      </c>
      <c r="Q80" s="154">
        <v>-95</v>
      </c>
      <c r="R80" s="154">
        <v>-181</v>
      </c>
      <c r="S80" s="154">
        <v>-126</v>
      </c>
      <c r="T80" s="156">
        <v>8</v>
      </c>
      <c r="U80" s="154">
        <v>-76</v>
      </c>
      <c r="V80" s="154">
        <v>-62</v>
      </c>
      <c r="W80" s="154">
        <v>-65.169709999999995</v>
      </c>
      <c r="X80" s="156">
        <v>-53</v>
      </c>
      <c r="Y80" s="154">
        <f t="shared" ref="Y80:AD80" si="8">SUM(Y78:Y79)</f>
        <v>59</v>
      </c>
      <c r="Z80" s="154">
        <f t="shared" si="8"/>
        <v>-102</v>
      </c>
      <c r="AA80" s="154">
        <f t="shared" si="8"/>
        <v>-22</v>
      </c>
      <c r="AB80" s="156">
        <f t="shared" si="8"/>
        <v>-52</v>
      </c>
      <c r="AC80" s="154">
        <f t="shared" si="8"/>
        <v>-149</v>
      </c>
      <c r="AD80" s="154">
        <f t="shared" si="8"/>
        <v>-15</v>
      </c>
      <c r="AE80" s="154">
        <v>21</v>
      </c>
      <c r="AF80" s="156">
        <v>-127</v>
      </c>
      <c r="AG80" s="154">
        <v>43</v>
      </c>
      <c r="AH80" s="154">
        <v>75</v>
      </c>
      <c r="AI80" s="154">
        <v>-14</v>
      </c>
      <c r="AJ80" s="156">
        <v>-67</v>
      </c>
      <c r="AK80" s="154">
        <v>-26</v>
      </c>
      <c r="AL80" s="154">
        <v>-16</v>
      </c>
      <c r="AM80" s="154">
        <v>-19</v>
      </c>
      <c r="AN80" s="156">
        <v>-2</v>
      </c>
      <c r="AO80" s="154">
        <v>-2</v>
      </c>
      <c r="AP80" s="154">
        <v>-18</v>
      </c>
      <c r="AQ80" s="154">
        <v>-17</v>
      </c>
      <c r="AR80" s="156">
        <v>37</v>
      </c>
      <c r="AS80" s="154">
        <v>-11</v>
      </c>
      <c r="AT80" s="154">
        <v>-6</v>
      </c>
      <c r="AU80" s="154">
        <v>1</v>
      </c>
      <c r="AV80" s="136"/>
      <c r="AW80" s="136"/>
    </row>
    <row r="81" spans="1:49" ht="12.75" x14ac:dyDescent="0.2">
      <c r="A81" s="128"/>
      <c r="B81" s="159"/>
      <c r="C81" s="159"/>
      <c r="D81" s="159"/>
      <c r="E81" s="159"/>
      <c r="F81" s="159"/>
      <c r="G81" s="129"/>
      <c r="H81" s="129"/>
      <c r="I81" s="129"/>
      <c r="J81" s="129"/>
      <c r="K81" s="159"/>
      <c r="L81" s="90"/>
      <c r="M81" s="159"/>
      <c r="N81" s="159"/>
      <c r="O81" s="159"/>
      <c r="P81" s="160"/>
      <c r="Q81" s="159"/>
      <c r="R81" s="159"/>
      <c r="S81" s="159"/>
      <c r="T81" s="160"/>
      <c r="U81" s="159"/>
      <c r="V81" s="159"/>
      <c r="W81" s="159"/>
      <c r="X81" s="160"/>
      <c r="Y81" s="159"/>
      <c r="Z81" s="159"/>
      <c r="AA81" s="159"/>
      <c r="AB81" s="160"/>
      <c r="AC81" s="159"/>
      <c r="AD81" s="159"/>
      <c r="AE81" s="159"/>
      <c r="AF81" s="160"/>
      <c r="AG81" s="159"/>
      <c r="AH81" s="159"/>
      <c r="AI81" s="159"/>
      <c r="AJ81" s="160"/>
      <c r="AK81" s="159"/>
      <c r="AL81" s="159"/>
      <c r="AM81" s="159"/>
      <c r="AN81" s="160"/>
      <c r="AO81" s="159"/>
      <c r="AP81" s="159"/>
      <c r="AQ81" s="159"/>
      <c r="AR81" s="160"/>
      <c r="AS81" s="159"/>
      <c r="AT81" s="159"/>
      <c r="AU81" s="159"/>
      <c r="AV81" s="136"/>
      <c r="AW81" s="136"/>
    </row>
    <row r="82" spans="1:49" ht="12.75" x14ac:dyDescent="0.2">
      <c r="A82" s="128"/>
      <c r="B82" s="159"/>
      <c r="C82" s="159"/>
      <c r="D82" s="159"/>
      <c r="E82" s="159"/>
      <c r="F82" s="159"/>
      <c r="G82" s="159"/>
      <c r="H82" s="159"/>
      <c r="I82" s="159"/>
      <c r="J82" s="159"/>
      <c r="K82" s="159"/>
      <c r="L82" s="90"/>
      <c r="M82" s="159"/>
      <c r="N82" s="159"/>
      <c r="O82" s="159"/>
      <c r="P82" s="160"/>
      <c r="Q82" s="159"/>
      <c r="R82" s="159"/>
      <c r="S82" s="159"/>
      <c r="T82" s="160"/>
      <c r="U82" s="159"/>
      <c r="V82" s="159"/>
      <c r="W82" s="159"/>
      <c r="X82" s="160"/>
      <c r="Y82" s="159"/>
      <c r="Z82" s="159"/>
      <c r="AA82" s="159"/>
      <c r="AB82" s="160"/>
      <c r="AC82" s="159"/>
      <c r="AD82" s="159"/>
      <c r="AE82" s="159"/>
      <c r="AF82" s="160"/>
      <c r="AG82" s="159"/>
      <c r="AH82" s="159"/>
      <c r="AI82" s="159"/>
      <c r="AJ82" s="160"/>
      <c r="AK82" s="159"/>
      <c r="AL82" s="159"/>
      <c r="AM82" s="159"/>
      <c r="AN82" s="160"/>
      <c r="AO82" s="159"/>
      <c r="AP82" s="159"/>
      <c r="AQ82" s="159"/>
      <c r="AR82" s="160"/>
      <c r="AS82" s="159"/>
      <c r="AT82" s="159"/>
      <c r="AU82" s="159"/>
      <c r="AV82" s="136"/>
      <c r="AW82" s="136"/>
    </row>
    <row r="83" spans="1:49" ht="12.75" x14ac:dyDescent="0.2">
      <c r="A83" s="163" t="s">
        <v>331</v>
      </c>
      <c r="B83" s="164">
        <v>2015</v>
      </c>
      <c r="C83" s="164">
        <v>2016</v>
      </c>
      <c r="D83" s="164">
        <v>2017</v>
      </c>
      <c r="E83" s="164">
        <v>2018</v>
      </c>
      <c r="F83" s="164">
        <v>2019</v>
      </c>
      <c r="G83" s="164">
        <v>2020</v>
      </c>
      <c r="H83" s="164">
        <v>2021</v>
      </c>
      <c r="I83" s="164">
        <v>2022</v>
      </c>
      <c r="J83" s="164">
        <v>2023</v>
      </c>
      <c r="K83" s="164">
        <v>2024</v>
      </c>
      <c r="L83" s="90"/>
      <c r="M83" s="164" t="s">
        <v>267</v>
      </c>
      <c r="N83" s="164" t="s">
        <v>268</v>
      </c>
      <c r="O83" s="164" t="s">
        <v>269</v>
      </c>
      <c r="P83" s="165" t="s">
        <v>270</v>
      </c>
      <c r="Q83" s="164" t="s">
        <v>131</v>
      </c>
      <c r="R83" s="164" t="s">
        <v>132</v>
      </c>
      <c r="S83" s="164" t="s">
        <v>133</v>
      </c>
      <c r="T83" s="165" t="s">
        <v>134</v>
      </c>
      <c r="U83" s="164" t="s">
        <v>135</v>
      </c>
      <c r="V83" s="164" t="s">
        <v>136</v>
      </c>
      <c r="W83" s="164" t="s">
        <v>137</v>
      </c>
      <c r="X83" s="165" t="s">
        <v>138</v>
      </c>
      <c r="Y83" s="164" t="s">
        <v>139</v>
      </c>
      <c r="Z83" s="164" t="s">
        <v>140</v>
      </c>
      <c r="AA83" s="164" t="s">
        <v>141</v>
      </c>
      <c r="AB83" s="165" t="s">
        <v>142</v>
      </c>
      <c r="AC83" s="164" t="s">
        <v>143</v>
      </c>
      <c r="AD83" s="164" t="s">
        <v>144</v>
      </c>
      <c r="AE83" s="164" t="s">
        <v>145</v>
      </c>
      <c r="AF83" s="165" t="s">
        <v>146</v>
      </c>
      <c r="AG83" s="164" t="s">
        <v>147</v>
      </c>
      <c r="AH83" s="164" t="s">
        <v>148</v>
      </c>
      <c r="AI83" s="164" t="s">
        <v>149</v>
      </c>
      <c r="AJ83" s="165" t="s">
        <v>150</v>
      </c>
      <c r="AK83" s="164" t="s">
        <v>151</v>
      </c>
      <c r="AL83" s="164" t="s">
        <v>152</v>
      </c>
      <c r="AM83" s="164" t="s">
        <v>153</v>
      </c>
      <c r="AN83" s="165" t="s">
        <v>154</v>
      </c>
      <c r="AO83" s="164" t="s">
        <v>155</v>
      </c>
      <c r="AP83" s="164" t="s">
        <v>156</v>
      </c>
      <c r="AQ83" s="164" t="s">
        <v>157</v>
      </c>
      <c r="AR83" s="165" t="s">
        <v>158</v>
      </c>
      <c r="AS83" s="164" t="s">
        <v>159</v>
      </c>
      <c r="AT83" s="164" t="s">
        <v>160</v>
      </c>
      <c r="AU83" s="164" t="s">
        <v>161</v>
      </c>
      <c r="AV83" s="136"/>
      <c r="AW83" s="136"/>
    </row>
    <row r="84" spans="1:49" ht="12.75" x14ac:dyDescent="0.2">
      <c r="A84" s="131" t="s">
        <v>296</v>
      </c>
      <c r="B84" s="232">
        <v>0.71526139764126029</v>
      </c>
      <c r="C84" s="232">
        <v>0.70454460724005519</v>
      </c>
      <c r="D84" s="233">
        <v>0.71922496063751162</v>
      </c>
      <c r="E84" s="233">
        <v>0.74988833127512544</v>
      </c>
      <c r="F84" s="233">
        <v>0.73460309658392731</v>
      </c>
      <c r="G84" s="233">
        <v>0.75</v>
      </c>
      <c r="H84" s="233">
        <f>H18/SUM(H18+H21)</f>
        <v>0.74180898165717901</v>
      </c>
      <c r="I84" s="234">
        <f>I18/(I18+I21)</f>
        <v>0.78261919130959567</v>
      </c>
      <c r="J84" s="233">
        <f>J18/SUM(J18+J21)</f>
        <v>0.78884038969013992</v>
      </c>
      <c r="K84" s="233">
        <f>K18/SUM(K18+K21)</f>
        <v>0.76964471158384995</v>
      </c>
      <c r="L84" s="90"/>
      <c r="M84" s="233">
        <v>0.70722124373391138</v>
      </c>
      <c r="N84" s="233">
        <v>0.70521047227926081</v>
      </c>
      <c r="O84" s="233">
        <v>0.7163111170001325</v>
      </c>
      <c r="P84" s="235">
        <v>0.74538745387453875</v>
      </c>
      <c r="Q84" s="233">
        <v>0.72581827063996096</v>
      </c>
      <c r="R84" s="233">
        <v>0.74920732330980877</v>
      </c>
      <c r="S84" s="233">
        <v>0.75083682008368202</v>
      </c>
      <c r="T84" s="235">
        <v>0.76836909056388836</v>
      </c>
      <c r="U84" s="233">
        <v>0.73199588477366251</v>
      </c>
      <c r="V84" s="233">
        <v>0.72468949943545347</v>
      </c>
      <c r="W84" s="233">
        <v>0.72621051589266261</v>
      </c>
      <c r="X84" s="235">
        <v>0.75563799668066001</v>
      </c>
      <c r="Y84" s="233">
        <v>0.72424042272126821</v>
      </c>
      <c r="Z84" s="233">
        <v>0.75937093531985334</v>
      </c>
      <c r="AA84" s="233">
        <v>0.75</v>
      </c>
      <c r="AB84" s="235">
        <v>0.77</v>
      </c>
      <c r="AC84" s="233">
        <v>0.75</v>
      </c>
      <c r="AD84" s="233">
        <v>0.74</v>
      </c>
      <c r="AE84" s="233">
        <v>0.73</v>
      </c>
      <c r="AF84" s="235">
        <v>0.76076255258211756</v>
      </c>
      <c r="AG84" s="234">
        <f t="shared" ref="AG84:AO84" si="9">AG18/(AG18+AG21)</f>
        <v>0.76627833468797979</v>
      </c>
      <c r="AH84" s="234">
        <f t="shared" si="9"/>
        <v>0.76429897081154041</v>
      </c>
      <c r="AI84" s="234">
        <f t="shared" si="9"/>
        <v>0.78788827165323527</v>
      </c>
      <c r="AJ84" s="236">
        <f t="shared" si="9"/>
        <v>0.80624196543350946</v>
      </c>
      <c r="AK84" s="233">
        <f t="shared" si="9"/>
        <v>0.77449848462981674</v>
      </c>
      <c r="AL84" s="233">
        <f t="shared" si="9"/>
        <v>0.78540934203917634</v>
      </c>
      <c r="AM84" s="233">
        <f t="shared" si="9"/>
        <v>0.78591530420798716</v>
      </c>
      <c r="AN84" s="237">
        <f t="shared" si="9"/>
        <v>0.80795213279289713</v>
      </c>
      <c r="AO84" s="233">
        <f t="shared" si="9"/>
        <v>0.79175199491561332</v>
      </c>
      <c r="AP84" s="233">
        <v>0.76</v>
      </c>
      <c r="AQ84" s="233">
        <v>0.75641760621695653</v>
      </c>
      <c r="AR84" s="237">
        <v>0.77</v>
      </c>
      <c r="AS84" s="233">
        <v>0.75</v>
      </c>
      <c r="AT84" s="233">
        <v>0.76</v>
      </c>
      <c r="AU84" s="233">
        <v>0.75534706731400081</v>
      </c>
      <c r="AV84" s="136"/>
      <c r="AW84" s="136"/>
    </row>
    <row r="85" spans="1:49" ht="12.75" x14ac:dyDescent="0.2">
      <c r="A85" s="131" t="s">
        <v>299</v>
      </c>
      <c r="B85" s="232">
        <v>0.28473860235873966</v>
      </c>
      <c r="C85" s="232">
        <v>0.29545539275994481</v>
      </c>
      <c r="D85" s="233">
        <v>0.28077503936248838</v>
      </c>
      <c r="E85" s="233">
        <v>0.25011166872487456</v>
      </c>
      <c r="F85" s="233">
        <v>0.26539690341607275</v>
      </c>
      <c r="G85" s="233">
        <v>0.25</v>
      </c>
      <c r="H85" s="233">
        <f>100%-H84</f>
        <v>0.25819101834282099</v>
      </c>
      <c r="I85" s="234">
        <f>I21/(I21+I18)</f>
        <v>0.21738080869040435</v>
      </c>
      <c r="J85" s="233">
        <f>100%-J84</f>
        <v>0.21115961030986008</v>
      </c>
      <c r="K85" s="233">
        <f>100%-K84</f>
        <v>0.23035528841615005</v>
      </c>
      <c r="L85" s="90"/>
      <c r="M85" s="233">
        <v>0.29277875626608862</v>
      </c>
      <c r="N85" s="233">
        <v>0.29478952772073924</v>
      </c>
      <c r="O85" s="233">
        <v>0.2836888829998675</v>
      </c>
      <c r="P85" s="235">
        <v>0.25461254612546125</v>
      </c>
      <c r="Q85" s="233">
        <v>0.27418172936003909</v>
      </c>
      <c r="R85" s="233">
        <v>0.25079267669019129</v>
      </c>
      <c r="S85" s="233">
        <v>0.24916317991631798</v>
      </c>
      <c r="T85" s="235">
        <v>0.23163090943611164</v>
      </c>
      <c r="U85" s="233">
        <v>0.26800411522633744</v>
      </c>
      <c r="V85" s="233">
        <v>0.27531050056454648</v>
      </c>
      <c r="W85" s="233">
        <v>0.27378948410733733</v>
      </c>
      <c r="X85" s="235">
        <v>0.24436200331934005</v>
      </c>
      <c r="Y85" s="233">
        <v>0.27575957727873185</v>
      </c>
      <c r="Z85" s="233">
        <v>0.24062906468014664</v>
      </c>
      <c r="AA85" s="233">
        <v>0.25</v>
      </c>
      <c r="AB85" s="235">
        <v>0.23</v>
      </c>
      <c r="AC85" s="233">
        <v>0.25</v>
      </c>
      <c r="AD85" s="233">
        <v>0.26</v>
      </c>
      <c r="AE85" s="233">
        <v>0.27</v>
      </c>
      <c r="AF85" s="235">
        <v>0.23664190459142576</v>
      </c>
      <c r="AG85" s="234">
        <f>AG21/(AG21+AG18)</f>
        <v>0.23372166531202024</v>
      </c>
      <c r="AH85" s="234">
        <f>AH21/(AH21+AH18)</f>
        <v>0.23570102918845959</v>
      </c>
      <c r="AI85" s="234">
        <f>AI21/(AI21+AI18)</f>
        <v>0.21211172834676473</v>
      </c>
      <c r="AJ85" s="238">
        <f>AJ21/(AJ21+AJ18)</f>
        <v>0.19375803456649049</v>
      </c>
      <c r="AK85" s="233">
        <f>100%-AK84</f>
        <v>0.22550151537018326</v>
      </c>
      <c r="AL85" s="233">
        <f>100%-AL84</f>
        <v>0.21459065796082366</v>
      </c>
      <c r="AM85" s="233">
        <f>100%-AM84</f>
        <v>0.21408469579201284</v>
      </c>
      <c r="AN85" s="239">
        <f>100%-AN84</f>
        <v>0.19204786720710287</v>
      </c>
      <c r="AO85" s="233">
        <f>100%-AO84</f>
        <v>0.20824800508438668</v>
      </c>
      <c r="AP85" s="233">
        <v>0.24</v>
      </c>
      <c r="AQ85" s="233">
        <v>0.24262691891203261</v>
      </c>
      <c r="AR85" s="239">
        <v>0.23</v>
      </c>
      <c r="AS85" s="233">
        <v>0.25</v>
      </c>
      <c r="AT85" s="233">
        <v>0.24</v>
      </c>
      <c r="AU85" s="233">
        <v>0.24301272798845297</v>
      </c>
      <c r="AV85" s="136"/>
      <c r="AW85" s="136"/>
    </row>
    <row r="86" spans="1:49" ht="12.75" x14ac:dyDescent="0.2">
      <c r="A86" s="90"/>
      <c r="B86" s="90"/>
      <c r="C86" s="90"/>
      <c r="D86" s="90"/>
      <c r="E86" s="90"/>
      <c r="F86" s="90"/>
      <c r="G86" s="90"/>
      <c r="H86" s="90"/>
      <c r="I86" s="90"/>
      <c r="J86" s="90"/>
      <c r="K86" s="90"/>
      <c r="L86" s="90"/>
      <c r="M86" s="90"/>
      <c r="N86" s="90"/>
      <c r="O86" s="90"/>
      <c r="P86" s="93"/>
      <c r="Q86" s="90"/>
      <c r="R86" s="90"/>
      <c r="S86" s="90"/>
      <c r="T86" s="93"/>
      <c r="U86" s="90"/>
      <c r="V86" s="90"/>
      <c r="W86" s="90"/>
      <c r="X86" s="93"/>
      <c r="Y86" s="90"/>
      <c r="Z86" s="90"/>
      <c r="AA86" s="90"/>
      <c r="AB86" s="93"/>
      <c r="AC86" s="90"/>
      <c r="AD86" s="90"/>
      <c r="AE86" s="90"/>
      <c r="AF86" s="93"/>
      <c r="AG86" s="90"/>
      <c r="AH86" s="90"/>
      <c r="AI86" s="90"/>
      <c r="AJ86" s="93"/>
      <c r="AK86" s="90"/>
      <c r="AL86" s="90"/>
      <c r="AM86" s="90"/>
      <c r="AN86" s="93"/>
      <c r="AO86" s="90"/>
      <c r="AP86" s="90"/>
      <c r="AQ86" s="90"/>
      <c r="AR86" s="93"/>
      <c r="AS86" s="90"/>
      <c r="AT86" s="90"/>
      <c r="AU86" s="90"/>
      <c r="AV86" s="136"/>
      <c r="AW86" s="136"/>
    </row>
    <row r="87" spans="1:49" ht="12.75" x14ac:dyDescent="0.2">
      <c r="A87" s="163" t="s">
        <v>332</v>
      </c>
      <c r="B87" s="164">
        <v>2015</v>
      </c>
      <c r="C87" s="164">
        <v>2016</v>
      </c>
      <c r="D87" s="164">
        <v>2017</v>
      </c>
      <c r="E87" s="164">
        <v>2018</v>
      </c>
      <c r="F87" s="164">
        <v>2019</v>
      </c>
      <c r="G87" s="164">
        <v>2020</v>
      </c>
      <c r="H87" s="164">
        <v>2021</v>
      </c>
      <c r="I87" s="164">
        <v>2022</v>
      </c>
      <c r="J87" s="164">
        <v>2023</v>
      </c>
      <c r="K87" s="164">
        <v>2024</v>
      </c>
      <c r="L87" s="90"/>
      <c r="M87" s="164" t="s">
        <v>267</v>
      </c>
      <c r="N87" s="164" t="s">
        <v>268</v>
      </c>
      <c r="O87" s="164" t="s">
        <v>269</v>
      </c>
      <c r="P87" s="165" t="s">
        <v>270</v>
      </c>
      <c r="Q87" s="164" t="s">
        <v>131</v>
      </c>
      <c r="R87" s="164" t="s">
        <v>132</v>
      </c>
      <c r="S87" s="164" t="s">
        <v>133</v>
      </c>
      <c r="T87" s="165" t="s">
        <v>134</v>
      </c>
      <c r="U87" s="164" t="s">
        <v>135</v>
      </c>
      <c r="V87" s="164" t="s">
        <v>136</v>
      </c>
      <c r="W87" s="164" t="s">
        <v>137</v>
      </c>
      <c r="X87" s="165" t="s">
        <v>138</v>
      </c>
      <c r="Y87" s="164" t="s">
        <v>139</v>
      </c>
      <c r="Z87" s="164" t="s">
        <v>140</v>
      </c>
      <c r="AA87" s="164" t="s">
        <v>141</v>
      </c>
      <c r="AB87" s="165" t="s">
        <v>142</v>
      </c>
      <c r="AC87" s="164" t="s">
        <v>143</v>
      </c>
      <c r="AD87" s="164" t="s">
        <v>144</v>
      </c>
      <c r="AE87" s="164" t="s">
        <v>145</v>
      </c>
      <c r="AF87" s="165" t="s">
        <v>146</v>
      </c>
      <c r="AG87" s="164" t="s">
        <v>147</v>
      </c>
      <c r="AH87" s="164" t="s">
        <v>148</v>
      </c>
      <c r="AI87" s="164" t="s">
        <v>149</v>
      </c>
      <c r="AJ87" s="165" t="s">
        <v>150</v>
      </c>
      <c r="AK87" s="164" t="s">
        <v>151</v>
      </c>
      <c r="AL87" s="164" t="s">
        <v>152</v>
      </c>
      <c r="AM87" s="164" t="s">
        <v>153</v>
      </c>
      <c r="AN87" s="165" t="s">
        <v>154</v>
      </c>
      <c r="AO87" s="164" t="s">
        <v>155</v>
      </c>
      <c r="AP87" s="164" t="s">
        <v>156</v>
      </c>
      <c r="AQ87" s="164" t="s">
        <v>157</v>
      </c>
      <c r="AR87" s="165" t="s">
        <v>158</v>
      </c>
      <c r="AS87" s="164" t="s">
        <v>159</v>
      </c>
      <c r="AT87" s="164" t="s">
        <v>160</v>
      </c>
      <c r="AU87" s="164" t="s">
        <v>161</v>
      </c>
      <c r="AV87" s="136"/>
      <c r="AW87" s="136"/>
    </row>
    <row r="88" spans="1:49" ht="12.75" x14ac:dyDescent="0.2">
      <c r="A88" s="131" t="s">
        <v>333</v>
      </c>
      <c r="B88" s="232">
        <v>0.3</v>
      </c>
      <c r="C88" s="232">
        <v>0.28999999999999998</v>
      </c>
      <c r="D88" s="232">
        <v>0.33</v>
      </c>
      <c r="E88" s="233">
        <v>0.37</v>
      </c>
      <c r="F88" s="233">
        <v>0.34</v>
      </c>
      <c r="G88" s="233">
        <v>0.32064963924172174</v>
      </c>
      <c r="H88" s="233">
        <f>H90/(H90+H91)</f>
        <v>0.30858950031625554</v>
      </c>
      <c r="I88" s="234">
        <f>I90/(I90+I91)</f>
        <v>0.33075839871253271</v>
      </c>
      <c r="J88" s="240">
        <f>J90/(J90+J91)</f>
        <v>0.33873832008364729</v>
      </c>
      <c r="K88" s="232">
        <f>K90/(K90+K91)</f>
        <v>0.34185102432577019</v>
      </c>
      <c r="L88" s="90"/>
      <c r="M88" s="233">
        <v>0.3</v>
      </c>
      <c r="N88" s="233">
        <v>0.32</v>
      </c>
      <c r="O88" s="233">
        <v>0.32</v>
      </c>
      <c r="P88" s="235">
        <v>0.38</v>
      </c>
      <c r="Q88" s="233">
        <v>0.33</v>
      </c>
      <c r="R88" s="233">
        <v>0.37</v>
      </c>
      <c r="S88" s="233">
        <v>0.37</v>
      </c>
      <c r="T88" s="235">
        <v>0.41</v>
      </c>
      <c r="U88" s="233">
        <v>0.34392486011191048</v>
      </c>
      <c r="V88" s="233">
        <v>0.34085499381129203</v>
      </c>
      <c r="W88" s="233">
        <v>0.32</v>
      </c>
      <c r="X88" s="235">
        <v>0.36</v>
      </c>
      <c r="Y88" s="233">
        <v>0.28000000000000003</v>
      </c>
      <c r="Z88" s="233">
        <v>0.33</v>
      </c>
      <c r="AA88" s="233">
        <v>0.31</v>
      </c>
      <c r="AB88" s="235">
        <v>0.35</v>
      </c>
      <c r="AC88" s="233">
        <v>0.28999999999999998</v>
      </c>
      <c r="AD88" s="233">
        <v>0.31</v>
      </c>
      <c r="AE88" s="233">
        <v>0.28000000000000003</v>
      </c>
      <c r="AF88" s="235">
        <v>0.33930009845162445</v>
      </c>
      <c r="AG88" s="234">
        <f>AG90/(AG90+AG91)+0.01</f>
        <v>0.34405581143321595</v>
      </c>
      <c r="AH88" s="234">
        <f>AH90/(AH90+AH91)</f>
        <v>0.29947696979922389</v>
      </c>
      <c r="AI88" s="234">
        <f>AI90/(AI90+AI91)</f>
        <v>0.32509193333854941</v>
      </c>
      <c r="AJ88" s="236">
        <f>AJ90/(AJ90+AJ91)</f>
        <v>0.35973432366804742</v>
      </c>
      <c r="AK88" s="240">
        <f>+AK19/AK23</f>
        <v>0.29708681857513702</v>
      </c>
      <c r="AL88" s="240">
        <f>+AL19/AL23</f>
        <v>0.34500314267756127</v>
      </c>
      <c r="AM88" s="240">
        <f>+AM19/AM23</f>
        <v>0.32473161298926451</v>
      </c>
      <c r="AN88" s="241">
        <f>+AN19/AN23</f>
        <v>0.38095709146968137</v>
      </c>
      <c r="AO88" s="242">
        <v>0.33288552640882413</v>
      </c>
      <c r="AP88" s="233">
        <v>0.33593764596842107</v>
      </c>
      <c r="AQ88" s="233">
        <v>0.32991486893530797</v>
      </c>
      <c r="AR88" s="243">
        <v>0.37</v>
      </c>
      <c r="AS88" s="242">
        <v>0.33</v>
      </c>
      <c r="AT88" s="233">
        <v>0.33126239259748841</v>
      </c>
      <c r="AU88" s="233">
        <v>0.34280278178716705</v>
      </c>
      <c r="AV88" s="136"/>
      <c r="AW88" s="136"/>
    </row>
    <row r="89" spans="1:49" ht="12.75" x14ac:dyDescent="0.2">
      <c r="A89" s="131" t="s">
        <v>334</v>
      </c>
      <c r="B89" s="232">
        <v>0.7</v>
      </c>
      <c r="C89" s="232">
        <v>0.71</v>
      </c>
      <c r="D89" s="232">
        <v>0.67</v>
      </c>
      <c r="E89" s="233">
        <v>0.63</v>
      </c>
      <c r="F89" s="233">
        <v>0.66</v>
      </c>
      <c r="G89" s="233">
        <v>0.67935036075827826</v>
      </c>
      <c r="H89" s="233">
        <f>H91/(H90+H91)</f>
        <v>0.69141049968374446</v>
      </c>
      <c r="I89" s="234">
        <f>I91/(I90+I91)</f>
        <v>0.66924160128746735</v>
      </c>
      <c r="J89" s="240">
        <f>J91/(J90+J91)</f>
        <v>0.66126167991635276</v>
      </c>
      <c r="K89" s="232">
        <f>K91/(K90+K91)</f>
        <v>0.65814897567422981</v>
      </c>
      <c r="L89" s="90"/>
      <c r="M89" s="233">
        <v>0.7</v>
      </c>
      <c r="N89" s="233">
        <v>0.68</v>
      </c>
      <c r="O89" s="233">
        <v>0.68</v>
      </c>
      <c r="P89" s="235">
        <v>0.62</v>
      </c>
      <c r="Q89" s="233">
        <v>0.67</v>
      </c>
      <c r="R89" s="233">
        <v>0.63</v>
      </c>
      <c r="S89" s="233">
        <v>0.63</v>
      </c>
      <c r="T89" s="235">
        <v>0.59</v>
      </c>
      <c r="U89" s="233">
        <v>0.65607513988808952</v>
      </c>
      <c r="V89" s="233">
        <v>0.65914500618870797</v>
      </c>
      <c r="W89" s="233">
        <v>0.68</v>
      </c>
      <c r="X89" s="235">
        <v>0.64</v>
      </c>
      <c r="Y89" s="233">
        <v>0.72</v>
      </c>
      <c r="Z89" s="233">
        <v>0.67269717393874895</v>
      </c>
      <c r="AA89" s="233">
        <v>0.69</v>
      </c>
      <c r="AB89" s="235">
        <v>0.65</v>
      </c>
      <c r="AC89" s="233">
        <v>0.71</v>
      </c>
      <c r="AD89" s="233">
        <v>0.69</v>
      </c>
      <c r="AE89" s="233">
        <v>0.72</v>
      </c>
      <c r="AF89" s="235">
        <v>0.65810435872191886</v>
      </c>
      <c r="AG89" s="234">
        <v>0.66</v>
      </c>
      <c r="AH89" s="234">
        <f>AH91/(AH90+AH91)</f>
        <v>0.70052303020077611</v>
      </c>
      <c r="AI89" s="234">
        <f>AI91/(AI90+AI91)</f>
        <v>0.67490806666145065</v>
      </c>
      <c r="AJ89" s="238">
        <f>AJ91/(AJ90+AJ91)</f>
        <v>0.64026567633195253</v>
      </c>
      <c r="AK89" s="240">
        <f>AK91/AK23</f>
        <v>0.70219209691375828</v>
      </c>
      <c r="AL89" s="240">
        <v>0.65</v>
      </c>
      <c r="AM89" s="240">
        <v>0.68</v>
      </c>
      <c r="AN89" s="241">
        <f>AN91/AN23</f>
        <v>0.61743705035971219</v>
      </c>
      <c r="AO89" s="233">
        <v>0.66838718800820196</v>
      </c>
      <c r="AP89" s="233">
        <v>0.66382009129764397</v>
      </c>
      <c r="AQ89" s="233">
        <v>0.66919335451841522</v>
      </c>
      <c r="AR89" s="243">
        <f>AR91/AR23</f>
        <v>0.63236913802098427</v>
      </c>
      <c r="AS89" s="233">
        <v>0.67</v>
      </c>
      <c r="AT89" s="233">
        <v>0.66682088565763387</v>
      </c>
      <c r="AU89" s="233">
        <v>0.65555701351528672</v>
      </c>
      <c r="AV89" s="136"/>
      <c r="AW89" s="136"/>
    </row>
    <row r="90" spans="1:49" ht="12.75" x14ac:dyDescent="0.2">
      <c r="A90" s="131" t="s">
        <v>335</v>
      </c>
      <c r="B90" s="168">
        <v>8510</v>
      </c>
      <c r="C90" s="168">
        <v>7710</v>
      </c>
      <c r="D90" s="132">
        <v>10276</v>
      </c>
      <c r="E90" s="132">
        <v>14238</v>
      </c>
      <c r="F90" s="132">
        <v>13862</v>
      </c>
      <c r="G90" s="132">
        <v>11382</v>
      </c>
      <c r="H90" s="132">
        <f>H19</f>
        <v>12197</v>
      </c>
      <c r="I90" s="133">
        <f>I19</f>
        <v>16442</v>
      </c>
      <c r="J90" s="244">
        <f>J19</f>
        <v>20410</v>
      </c>
      <c r="K90" s="168">
        <f>K19</f>
        <v>21726</v>
      </c>
      <c r="L90" s="90"/>
      <c r="M90" s="132">
        <v>2219</v>
      </c>
      <c r="N90" s="132">
        <v>2469</v>
      </c>
      <c r="O90" s="132">
        <v>2414</v>
      </c>
      <c r="P90" s="134">
        <v>3174</v>
      </c>
      <c r="Q90" s="132">
        <v>2678</v>
      </c>
      <c r="R90" s="132">
        <v>3640</v>
      </c>
      <c r="S90" s="132">
        <v>3570</v>
      </c>
      <c r="T90" s="134">
        <v>4350</v>
      </c>
      <c r="U90" s="132">
        <v>3313</v>
      </c>
      <c r="V90" s="132">
        <v>3638</v>
      </c>
      <c r="W90" s="132">
        <v>3198</v>
      </c>
      <c r="X90" s="134">
        <v>3713</v>
      </c>
      <c r="Y90" s="132">
        <v>2519</v>
      </c>
      <c r="Z90" s="132">
        <v>2768</v>
      </c>
      <c r="AA90" s="132">
        <v>2688</v>
      </c>
      <c r="AB90" s="134">
        <v>3407</v>
      </c>
      <c r="AC90" s="132">
        <v>2562</v>
      </c>
      <c r="AD90" s="168">
        <v>3052</v>
      </c>
      <c r="AE90" s="168">
        <v>2792</v>
      </c>
      <c r="AF90" s="134">
        <v>3791</v>
      </c>
      <c r="AG90" s="133">
        <f>AG19</f>
        <v>3699</v>
      </c>
      <c r="AH90" s="133">
        <f>AH19</f>
        <v>3550</v>
      </c>
      <c r="AI90" s="133">
        <f>AI19</f>
        <v>4155</v>
      </c>
      <c r="AJ90" s="135">
        <f>AJ19</f>
        <v>5037</v>
      </c>
      <c r="AK90" s="244">
        <f>+AK19</f>
        <v>4120</v>
      </c>
      <c r="AL90" s="244">
        <f>+AL19</f>
        <v>5489</v>
      </c>
      <c r="AM90" s="244">
        <f>+AM19</f>
        <v>4870</v>
      </c>
      <c r="AN90" s="245">
        <f>+AN19</f>
        <v>5930.74</v>
      </c>
      <c r="AO90" s="132">
        <v>4708</v>
      </c>
      <c r="AP90" s="168">
        <v>5546.6664725846003</v>
      </c>
      <c r="AQ90" s="168">
        <v>5178</v>
      </c>
      <c r="AR90" s="176">
        <f>+AR19</f>
        <v>6293</v>
      </c>
      <c r="AS90" s="132">
        <v>5072</v>
      </c>
      <c r="AT90" s="168">
        <v>5012</v>
      </c>
      <c r="AU90" s="168">
        <v>5225</v>
      </c>
      <c r="AV90" s="136"/>
      <c r="AW90" s="136"/>
    </row>
    <row r="91" spans="1:49" ht="12.75" x14ac:dyDescent="0.2">
      <c r="A91" s="90" t="s">
        <v>336</v>
      </c>
      <c r="B91" s="246">
        <v>19895</v>
      </c>
      <c r="C91" s="246">
        <v>19113</v>
      </c>
      <c r="D91" s="121">
        <v>20844.760383407502</v>
      </c>
      <c r="E91" s="121">
        <v>23821</v>
      </c>
      <c r="F91" s="121">
        <v>26829</v>
      </c>
      <c r="G91" s="121">
        <v>24569</v>
      </c>
      <c r="H91" s="121">
        <f>H20+H21</f>
        <v>27328</v>
      </c>
      <c r="I91" s="247">
        <f>I21+I20</f>
        <v>33268</v>
      </c>
      <c r="J91" s="248">
        <f>J20+J21</f>
        <v>39843</v>
      </c>
      <c r="K91" s="246">
        <f>K20+K21</f>
        <v>41828</v>
      </c>
      <c r="L91" s="90"/>
      <c r="M91" s="121">
        <v>5161.7719271698006</v>
      </c>
      <c r="N91" s="121">
        <v>5323</v>
      </c>
      <c r="O91" s="121">
        <v>5133</v>
      </c>
      <c r="P91" s="249">
        <v>5227.1511000085002</v>
      </c>
      <c r="Q91" s="121">
        <v>5510</v>
      </c>
      <c r="R91" s="121">
        <v>6137</v>
      </c>
      <c r="S91" s="121">
        <v>5990</v>
      </c>
      <c r="T91" s="249">
        <v>6184.3818536147</v>
      </c>
      <c r="U91" s="121">
        <v>6407</v>
      </c>
      <c r="V91" s="121">
        <v>6990</v>
      </c>
      <c r="W91" s="121">
        <v>6901</v>
      </c>
      <c r="X91" s="249">
        <v>6531</v>
      </c>
      <c r="Y91" s="121">
        <v>6565</v>
      </c>
      <c r="Z91" s="121">
        <v>5689</v>
      </c>
      <c r="AA91" s="121">
        <v>5979</v>
      </c>
      <c r="AB91" s="249">
        <v>6336</v>
      </c>
      <c r="AC91" s="121">
        <v>6174</v>
      </c>
      <c r="AD91" s="121">
        <v>6652</v>
      </c>
      <c r="AE91" s="121">
        <v>7149</v>
      </c>
      <c r="AF91" s="249">
        <v>7353</v>
      </c>
      <c r="AG91" s="247">
        <f>AG21+AG20</f>
        <v>7374</v>
      </c>
      <c r="AH91" s="247">
        <f>AH21+AH20</f>
        <v>8304</v>
      </c>
      <c r="AI91" s="247">
        <f>AI21+AI20</f>
        <v>8626</v>
      </c>
      <c r="AJ91" s="250">
        <f>AJ21+AJ20</f>
        <v>8965</v>
      </c>
      <c r="AK91" s="248">
        <f t="shared" ref="AK91:AS91" si="10">+AK20+AK21</f>
        <v>9738</v>
      </c>
      <c r="AL91" s="248">
        <f t="shared" si="10"/>
        <v>10439</v>
      </c>
      <c r="AM91" s="248">
        <f t="shared" si="10"/>
        <v>10054</v>
      </c>
      <c r="AN91" s="251">
        <f t="shared" si="10"/>
        <v>9612.26</v>
      </c>
      <c r="AO91" s="246">
        <f t="shared" si="10"/>
        <v>9453</v>
      </c>
      <c r="AP91" s="246">
        <f t="shared" si="10"/>
        <v>10960.3335274154</v>
      </c>
      <c r="AQ91" s="246">
        <f t="shared" si="10"/>
        <v>10505.6664725846</v>
      </c>
      <c r="AR91" s="252">
        <f t="shared" si="10"/>
        <v>10909</v>
      </c>
      <c r="AS91" s="246">
        <f t="shared" si="10"/>
        <v>10443</v>
      </c>
      <c r="AT91" s="246">
        <v>10088</v>
      </c>
      <c r="AU91" s="246">
        <v>9992</v>
      </c>
      <c r="AV91" s="136"/>
      <c r="AW91" s="136"/>
    </row>
    <row r="92" spans="1:49" ht="12.75" x14ac:dyDescent="0.2">
      <c r="A92" s="90"/>
      <c r="B92" s="90"/>
      <c r="C92" s="90"/>
      <c r="D92" s="90"/>
      <c r="E92" s="90"/>
      <c r="F92" s="90"/>
      <c r="G92" s="90"/>
      <c r="H92" s="253"/>
      <c r="I92" s="253"/>
      <c r="J92" s="253"/>
      <c r="K92" s="90"/>
      <c r="L92" s="90"/>
      <c r="M92" s="90"/>
      <c r="N92" s="90"/>
      <c r="O92" s="90"/>
      <c r="P92" s="93"/>
      <c r="Q92" s="90"/>
      <c r="R92" s="90"/>
      <c r="S92" s="90"/>
      <c r="T92" s="93"/>
      <c r="U92" s="90"/>
      <c r="V92" s="90"/>
      <c r="W92" s="90"/>
      <c r="X92" s="93"/>
      <c r="Y92" s="90"/>
      <c r="Z92" s="90"/>
      <c r="AA92" s="90"/>
      <c r="AB92" s="93"/>
      <c r="AC92" s="90"/>
      <c r="AD92" s="90"/>
      <c r="AE92" s="90"/>
      <c r="AF92" s="93"/>
      <c r="AG92" s="90"/>
      <c r="AH92" s="90"/>
      <c r="AI92" s="90"/>
      <c r="AJ92" s="93"/>
      <c r="AK92" s="121"/>
      <c r="AL92" s="121"/>
      <c r="AM92" s="121"/>
      <c r="AN92" s="249"/>
      <c r="AO92" s="121"/>
      <c r="AP92" s="90"/>
      <c r="AQ92" s="90"/>
      <c r="AR92" s="249"/>
      <c r="AS92" s="121"/>
      <c r="AT92" s="90"/>
      <c r="AU92" s="90"/>
      <c r="AV92" s="136"/>
      <c r="AW92" s="136"/>
    </row>
    <row r="93" spans="1:49" ht="12.75" x14ac:dyDescent="0.2">
      <c r="A93" s="163" t="s">
        <v>337</v>
      </c>
      <c r="B93" s="164">
        <f t="shared" ref="B93:I93" si="11">B87</f>
        <v>2015</v>
      </c>
      <c r="C93" s="164">
        <f t="shared" si="11"/>
        <v>2016</v>
      </c>
      <c r="D93" s="164">
        <f t="shared" si="11"/>
        <v>2017</v>
      </c>
      <c r="E93" s="164">
        <f t="shared" si="11"/>
        <v>2018</v>
      </c>
      <c r="F93" s="164">
        <f t="shared" si="11"/>
        <v>2019</v>
      </c>
      <c r="G93" s="164">
        <f t="shared" si="11"/>
        <v>2020</v>
      </c>
      <c r="H93" s="164">
        <f t="shared" si="11"/>
        <v>2021</v>
      </c>
      <c r="I93" s="164">
        <f t="shared" si="11"/>
        <v>2022</v>
      </c>
      <c r="J93" s="164">
        <v>2023</v>
      </c>
      <c r="K93" s="164">
        <v>2024</v>
      </c>
      <c r="L93" s="90"/>
      <c r="M93" s="164" t="str">
        <f t="shared" ref="M93:AM93" si="12">M87</f>
        <v>Q117</v>
      </c>
      <c r="N93" s="164" t="str">
        <f t="shared" si="12"/>
        <v>Q217</v>
      </c>
      <c r="O93" s="164" t="str">
        <f t="shared" si="12"/>
        <v>Q317</v>
      </c>
      <c r="P93" s="165" t="str">
        <f t="shared" si="12"/>
        <v>Q417</v>
      </c>
      <c r="Q93" s="164" t="str">
        <f t="shared" si="12"/>
        <v>Q118</v>
      </c>
      <c r="R93" s="164" t="str">
        <f t="shared" si="12"/>
        <v>Q218</v>
      </c>
      <c r="S93" s="164" t="str">
        <f t="shared" si="12"/>
        <v>Q318</v>
      </c>
      <c r="T93" s="165" t="str">
        <f t="shared" si="12"/>
        <v>Q418</v>
      </c>
      <c r="U93" s="164" t="str">
        <f t="shared" si="12"/>
        <v>Q119</v>
      </c>
      <c r="V93" s="164" t="str">
        <f t="shared" si="12"/>
        <v>Q219</v>
      </c>
      <c r="W93" s="164" t="str">
        <f t="shared" si="12"/>
        <v>Q319</v>
      </c>
      <c r="X93" s="165" t="str">
        <f t="shared" si="12"/>
        <v>Q419</v>
      </c>
      <c r="Y93" s="164" t="str">
        <f t="shared" si="12"/>
        <v>Q120</v>
      </c>
      <c r="Z93" s="164" t="str">
        <f t="shared" si="12"/>
        <v>Q220</v>
      </c>
      <c r="AA93" s="164" t="str">
        <f t="shared" si="12"/>
        <v>Q320</v>
      </c>
      <c r="AB93" s="165" t="str">
        <f t="shared" si="12"/>
        <v>Q420</v>
      </c>
      <c r="AC93" s="164" t="str">
        <f t="shared" si="12"/>
        <v>Q121</v>
      </c>
      <c r="AD93" s="164" t="str">
        <f t="shared" si="12"/>
        <v>Q221</v>
      </c>
      <c r="AE93" s="164" t="str">
        <f t="shared" si="12"/>
        <v>Q321</v>
      </c>
      <c r="AF93" s="165" t="str">
        <f t="shared" si="12"/>
        <v>Q421</v>
      </c>
      <c r="AG93" s="164" t="str">
        <f t="shared" si="12"/>
        <v>Q122</v>
      </c>
      <c r="AH93" s="164" t="str">
        <f t="shared" si="12"/>
        <v>Q222</v>
      </c>
      <c r="AI93" s="164" t="str">
        <f t="shared" si="12"/>
        <v>Q322</v>
      </c>
      <c r="AJ93" s="165" t="str">
        <f t="shared" si="12"/>
        <v>Q422</v>
      </c>
      <c r="AK93" s="164" t="str">
        <f t="shared" si="12"/>
        <v>Q123</v>
      </c>
      <c r="AL93" s="164" t="str">
        <f t="shared" si="12"/>
        <v>Q223</v>
      </c>
      <c r="AM93" s="164" t="str">
        <f t="shared" si="12"/>
        <v>Q323</v>
      </c>
      <c r="AN93" s="165" t="s">
        <v>154</v>
      </c>
      <c r="AO93" s="164" t="s">
        <v>155</v>
      </c>
      <c r="AP93" s="164" t="s">
        <v>156</v>
      </c>
      <c r="AQ93" s="164" t="s">
        <v>157</v>
      </c>
      <c r="AR93" s="165" t="s">
        <v>158</v>
      </c>
      <c r="AS93" s="164" t="s">
        <v>159</v>
      </c>
      <c r="AT93" s="164" t="s">
        <v>160</v>
      </c>
      <c r="AU93" s="164" t="s">
        <v>161</v>
      </c>
      <c r="AV93" s="136"/>
      <c r="AW93" s="136"/>
    </row>
    <row r="94" spans="1:49" ht="12.75" x14ac:dyDescent="0.2">
      <c r="A94" s="90" t="s">
        <v>338</v>
      </c>
      <c r="B94" s="155">
        <f t="shared" ref="B94:K94" si="13">B19/SUM(B19:B21)</f>
        <v>0.29959514170040485</v>
      </c>
      <c r="C94" s="155">
        <f t="shared" si="13"/>
        <v>0.28743988368191475</v>
      </c>
      <c r="D94" s="155">
        <f t="shared" si="13"/>
        <v>0.33019758750749556</v>
      </c>
      <c r="E94" s="155">
        <f t="shared" si="13"/>
        <v>0.3741033658267427</v>
      </c>
      <c r="F94" s="155">
        <f t="shared" si="13"/>
        <v>0.34066501191909759</v>
      </c>
      <c r="G94" s="155">
        <f t="shared" si="13"/>
        <v>0.31659759116575337</v>
      </c>
      <c r="H94" s="155">
        <f t="shared" si="13"/>
        <v>0.30858950031625554</v>
      </c>
      <c r="I94" s="155">
        <f t="shared" si="13"/>
        <v>0.33075839871253271</v>
      </c>
      <c r="J94" s="155">
        <f t="shared" si="13"/>
        <v>0.33873832008364729</v>
      </c>
      <c r="K94" s="155">
        <f t="shared" si="13"/>
        <v>0.34185102432577019</v>
      </c>
      <c r="L94" s="254"/>
      <c r="M94" s="155">
        <f t="shared" ref="M94:AT94" si="14">M19/SUM(M19:M21)</f>
        <v>0.30064606004576655</v>
      </c>
      <c r="N94" s="155">
        <f t="shared" si="14"/>
        <v>0.31686344969199176</v>
      </c>
      <c r="O94" s="155">
        <f t="shared" si="14"/>
        <v>0.31986219689943024</v>
      </c>
      <c r="P94" s="235">
        <f t="shared" si="14"/>
        <v>0.37780537002801773</v>
      </c>
      <c r="Q94" s="155">
        <f t="shared" si="14"/>
        <v>0.32706399609184172</v>
      </c>
      <c r="R94" s="155">
        <f t="shared" si="14"/>
        <v>0.37230234223176845</v>
      </c>
      <c r="S94" s="155">
        <f t="shared" si="14"/>
        <v>0.37343096234309625</v>
      </c>
      <c r="T94" s="235">
        <f t="shared" si="14"/>
        <v>0.41293357887035098</v>
      </c>
      <c r="U94" s="155">
        <f t="shared" si="14"/>
        <v>0.34084362139917695</v>
      </c>
      <c r="V94" s="155">
        <f t="shared" si="14"/>
        <v>0.3423033496424539</v>
      </c>
      <c r="W94" s="155">
        <f t="shared" si="14"/>
        <v>0.31666501633825134</v>
      </c>
      <c r="X94" s="235">
        <f t="shared" si="14"/>
        <v>0.36245607184693479</v>
      </c>
      <c r="Y94" s="155">
        <f t="shared" si="14"/>
        <v>0.27730074856891235</v>
      </c>
      <c r="Z94" s="155">
        <f t="shared" si="14"/>
        <v>0.32730282606125105</v>
      </c>
      <c r="AA94" s="155">
        <f t="shared" si="14"/>
        <v>0.31014191761855314</v>
      </c>
      <c r="AB94" s="235">
        <f t="shared" si="14"/>
        <v>0.34975369458128081</v>
      </c>
      <c r="AC94" s="155">
        <f t="shared" si="14"/>
        <v>0.29326923076923078</v>
      </c>
      <c r="AD94" s="155">
        <f t="shared" si="14"/>
        <v>0.31450948062654577</v>
      </c>
      <c r="AE94" s="155">
        <f t="shared" si="14"/>
        <v>0.28085705663414146</v>
      </c>
      <c r="AF94" s="235">
        <f t="shared" si="14"/>
        <v>0.34018305814788224</v>
      </c>
      <c r="AG94" s="155">
        <f t="shared" si="14"/>
        <v>0.33405581143321594</v>
      </c>
      <c r="AH94" s="155">
        <f t="shared" si="14"/>
        <v>0.29947696979922389</v>
      </c>
      <c r="AI94" s="155">
        <f t="shared" si="14"/>
        <v>0.32509193333854941</v>
      </c>
      <c r="AJ94" s="235">
        <f t="shared" si="14"/>
        <v>0.35973432366804742</v>
      </c>
      <c r="AK94" s="155">
        <f t="shared" si="14"/>
        <v>0.29730119786404963</v>
      </c>
      <c r="AL94" s="155">
        <f t="shared" si="14"/>
        <v>0.34461325966850831</v>
      </c>
      <c r="AM94" s="155">
        <f t="shared" si="14"/>
        <v>0.32632002144197264</v>
      </c>
      <c r="AN94" s="235">
        <f t="shared" si="14"/>
        <v>0.38156983851251364</v>
      </c>
      <c r="AO94" s="155">
        <f t="shared" si="14"/>
        <v>0.33246239672339523</v>
      </c>
      <c r="AP94" s="155">
        <f t="shared" si="14"/>
        <v>0.33601905086233719</v>
      </c>
      <c r="AQ94" s="155">
        <f t="shared" si="14"/>
        <v>0.33016663653502931</v>
      </c>
      <c r="AR94" s="235">
        <f t="shared" si="14"/>
        <v>0.36582955470294154</v>
      </c>
      <c r="AS94" s="155">
        <f t="shared" si="14"/>
        <v>0.32690944247502418</v>
      </c>
      <c r="AT94" s="155">
        <f t="shared" si="14"/>
        <v>0.33192052980132453</v>
      </c>
      <c r="AU94" s="155">
        <f t="shared" ref="AU94" si="15">AU19/SUM(AU19:AU21)</f>
        <v>0.34336597226785831</v>
      </c>
      <c r="AV94" s="136"/>
      <c r="AW94" s="136"/>
    </row>
    <row r="95" spans="1:49" ht="12.75" x14ac:dyDescent="0.2">
      <c r="A95" s="90" t="s">
        <v>339</v>
      </c>
      <c r="B95" s="155">
        <f t="shared" ref="B95:K95" si="16">B20/SUM(B19:B21)</f>
        <v>0.41566625594085549</v>
      </c>
      <c r="C95" s="155">
        <f t="shared" si="16"/>
        <v>0.41710472355814038</v>
      </c>
      <c r="D95" s="155">
        <f t="shared" si="16"/>
        <v>0.38902521128186834</v>
      </c>
      <c r="E95" s="155">
        <f t="shared" si="16"/>
        <v>0.3757849654483828</v>
      </c>
      <c r="F95" s="155">
        <f t="shared" si="16"/>
        <v>0.39394460691553412</v>
      </c>
      <c r="G95" s="155">
        <f t="shared" si="16"/>
        <v>0.43239409195849909</v>
      </c>
      <c r="H95" s="155">
        <f t="shared" si="16"/>
        <v>0.43321948134092347</v>
      </c>
      <c r="I95" s="155">
        <f t="shared" si="16"/>
        <v>0.45186079259706297</v>
      </c>
      <c r="J95" s="155">
        <f t="shared" si="16"/>
        <v>0.45010206960649263</v>
      </c>
      <c r="K95" s="155">
        <f t="shared" si="16"/>
        <v>0.42779368725807976</v>
      </c>
      <c r="L95" s="90"/>
      <c r="M95" s="155">
        <f t="shared" ref="M95:AT95" si="17">M20/SUM(M19:M21)</f>
        <v>0.40656613654778834</v>
      </c>
      <c r="N95" s="155">
        <f t="shared" si="17"/>
        <v>0.388347022587269</v>
      </c>
      <c r="O95" s="155">
        <f t="shared" si="17"/>
        <v>0.39644892010070226</v>
      </c>
      <c r="P95" s="235">
        <f t="shared" si="17"/>
        <v>0.36758666321397021</v>
      </c>
      <c r="Q95" s="155">
        <f t="shared" si="17"/>
        <v>0.39875427454811918</v>
      </c>
      <c r="R95" s="155">
        <f t="shared" si="17"/>
        <v>0.37690498107804032</v>
      </c>
      <c r="S95" s="155">
        <f t="shared" si="17"/>
        <v>0.37740585774058577</v>
      </c>
      <c r="T95" s="235">
        <f t="shared" si="17"/>
        <v>0.35544390792421071</v>
      </c>
      <c r="U95" s="155">
        <f t="shared" si="17"/>
        <v>0.39115226337448561</v>
      </c>
      <c r="V95" s="155">
        <f t="shared" si="17"/>
        <v>0.38238614979299962</v>
      </c>
      <c r="W95" s="155">
        <f t="shared" si="17"/>
        <v>0.40954549955441133</v>
      </c>
      <c r="X95" s="235">
        <f t="shared" si="17"/>
        <v>0.39320577899258102</v>
      </c>
      <c r="Y95" s="155">
        <f t="shared" si="17"/>
        <v>0.4469396741523558</v>
      </c>
      <c r="Z95" s="155">
        <f t="shared" si="17"/>
        <v>0.43206810925860234</v>
      </c>
      <c r="AA95" s="155">
        <f t="shared" si="17"/>
        <v>0.43648321218414676</v>
      </c>
      <c r="AB95" s="235">
        <f t="shared" si="17"/>
        <v>0.4154351395730706</v>
      </c>
      <c r="AC95" s="155">
        <f t="shared" si="17"/>
        <v>0.43830128205128205</v>
      </c>
      <c r="AD95" s="155">
        <f t="shared" si="17"/>
        <v>0.42611294311624071</v>
      </c>
      <c r="AE95" s="155">
        <f t="shared" si="17"/>
        <v>0.44764108238607786</v>
      </c>
      <c r="AF95" s="235">
        <f t="shared" si="17"/>
        <v>0.42255922469490309</v>
      </c>
      <c r="AG95" s="155">
        <f t="shared" si="17"/>
        <v>0.43222252325476385</v>
      </c>
      <c r="AH95" s="155">
        <f t="shared" si="17"/>
        <v>0.46482200101231652</v>
      </c>
      <c r="AI95" s="155">
        <f t="shared" si="17"/>
        <v>0.46279633831468586</v>
      </c>
      <c r="AJ95" s="235">
        <f t="shared" si="17"/>
        <v>0.44650764176546209</v>
      </c>
      <c r="AK95" s="155">
        <f t="shared" si="17"/>
        <v>0.47719728676576706</v>
      </c>
      <c r="AL95" s="155">
        <f t="shared" si="17"/>
        <v>0.44079608237066803</v>
      </c>
      <c r="AM95" s="155">
        <f t="shared" si="17"/>
        <v>0.45959528276601447</v>
      </c>
      <c r="AN95" s="235">
        <f t="shared" si="17"/>
        <v>0.42638229428038349</v>
      </c>
      <c r="AO95" s="155">
        <f t="shared" si="17"/>
        <v>0.45928959819221804</v>
      </c>
      <c r="AP95" s="155">
        <f t="shared" si="17"/>
        <v>0.42220473298693884</v>
      </c>
      <c r="AQ95" s="155">
        <f t="shared" si="17"/>
        <v>0.42697439891511096</v>
      </c>
      <c r="AR95" s="235">
        <f t="shared" si="17"/>
        <v>0.40797581676549238</v>
      </c>
      <c r="AS95" s="155">
        <f t="shared" si="17"/>
        <v>0.42745729938768934</v>
      </c>
      <c r="AT95" s="155">
        <f t="shared" si="17"/>
        <v>0.42536423841059601</v>
      </c>
      <c r="AU95" s="155">
        <f>AU20/SUM(AU19:AU21)</f>
        <v>0.4132220542813958</v>
      </c>
      <c r="AV95" s="136"/>
      <c r="AW95" s="136"/>
    </row>
    <row r="96" spans="1:49" ht="12.75" x14ac:dyDescent="0.2">
      <c r="A96" s="90" t="s">
        <v>340</v>
      </c>
      <c r="B96" s="155">
        <f t="shared" ref="B96:K96" si="18">B21/SUM(B19:B21)</f>
        <v>0.28473860235873966</v>
      </c>
      <c r="C96" s="155">
        <f t="shared" si="18"/>
        <v>0.29545539275994481</v>
      </c>
      <c r="D96" s="155">
        <f t="shared" si="18"/>
        <v>0.2807772012106361</v>
      </c>
      <c r="E96" s="155">
        <f t="shared" si="18"/>
        <v>0.25011166872487456</v>
      </c>
      <c r="F96" s="155">
        <f t="shared" si="18"/>
        <v>0.26539038116536828</v>
      </c>
      <c r="G96" s="155">
        <f t="shared" si="18"/>
        <v>0.25100831687574754</v>
      </c>
      <c r="H96" s="155">
        <f t="shared" si="18"/>
        <v>0.25819101834282099</v>
      </c>
      <c r="I96" s="155">
        <f t="shared" si="18"/>
        <v>0.21738080869040435</v>
      </c>
      <c r="J96" s="155">
        <f t="shared" si="18"/>
        <v>0.21115961030986008</v>
      </c>
      <c r="K96" s="155">
        <f t="shared" si="18"/>
        <v>0.23035528841615005</v>
      </c>
      <c r="L96" s="90"/>
      <c r="M96" s="155">
        <f t="shared" ref="M96:AT96" si="19">M21/SUM(M19:M21)</f>
        <v>0.29278780340644506</v>
      </c>
      <c r="N96" s="155">
        <f t="shared" si="19"/>
        <v>0.29478952772073924</v>
      </c>
      <c r="O96" s="155">
        <f t="shared" si="19"/>
        <v>0.2836888829998675</v>
      </c>
      <c r="P96" s="255">
        <f t="shared" si="19"/>
        <v>0.25460796675801195</v>
      </c>
      <c r="Q96" s="155">
        <f t="shared" si="19"/>
        <v>0.27418172936003909</v>
      </c>
      <c r="R96" s="155">
        <f t="shared" si="19"/>
        <v>0.25079267669019129</v>
      </c>
      <c r="S96" s="155">
        <f t="shared" si="19"/>
        <v>0.24916317991631798</v>
      </c>
      <c r="T96" s="255">
        <f t="shared" si="19"/>
        <v>0.23162251320543822</v>
      </c>
      <c r="U96" s="155">
        <f t="shared" si="19"/>
        <v>0.26800411522633744</v>
      </c>
      <c r="V96" s="155">
        <f t="shared" si="19"/>
        <v>0.27531050056454648</v>
      </c>
      <c r="W96" s="155">
        <f t="shared" si="19"/>
        <v>0.27378948410733733</v>
      </c>
      <c r="X96" s="255">
        <f t="shared" si="19"/>
        <v>0.24433814916048419</v>
      </c>
      <c r="Y96" s="155">
        <f t="shared" si="19"/>
        <v>0.27575957727873185</v>
      </c>
      <c r="Z96" s="155">
        <f t="shared" si="19"/>
        <v>0.24062906468014664</v>
      </c>
      <c r="AA96" s="155">
        <f t="shared" si="19"/>
        <v>0.25337487019730009</v>
      </c>
      <c r="AB96" s="255">
        <f t="shared" si="19"/>
        <v>0.2348111658456486</v>
      </c>
      <c r="AC96" s="155">
        <f t="shared" si="19"/>
        <v>0.26842948717948717</v>
      </c>
      <c r="AD96" s="155">
        <f t="shared" si="19"/>
        <v>0.25937757625721353</v>
      </c>
      <c r="AE96" s="155">
        <f t="shared" si="19"/>
        <v>0.27150186097978068</v>
      </c>
      <c r="AF96" s="255">
        <f t="shared" si="19"/>
        <v>0.23725771715721464</v>
      </c>
      <c r="AG96" s="155">
        <f t="shared" si="19"/>
        <v>0.23372166531202024</v>
      </c>
      <c r="AH96" s="155">
        <f t="shared" si="19"/>
        <v>0.23570102918845959</v>
      </c>
      <c r="AI96" s="155">
        <f t="shared" si="19"/>
        <v>0.21211172834676473</v>
      </c>
      <c r="AJ96" s="255">
        <f t="shared" si="19"/>
        <v>0.19375803456649049</v>
      </c>
      <c r="AK96" s="155">
        <f t="shared" si="19"/>
        <v>0.22550151537018329</v>
      </c>
      <c r="AL96" s="155">
        <f t="shared" si="19"/>
        <v>0.21459065796082372</v>
      </c>
      <c r="AM96" s="155">
        <f t="shared" si="19"/>
        <v>0.21408469579201286</v>
      </c>
      <c r="AN96" s="255">
        <f t="shared" si="19"/>
        <v>0.19204786720710287</v>
      </c>
      <c r="AO96" s="155">
        <f t="shared" si="19"/>
        <v>0.20824800508438671</v>
      </c>
      <c r="AP96" s="155">
        <f t="shared" si="19"/>
        <v>0.24177621615072392</v>
      </c>
      <c r="AQ96" s="155">
        <f t="shared" si="19"/>
        <v>0.24285896454985972</v>
      </c>
      <c r="AR96" s="255">
        <f t="shared" si="19"/>
        <v>0.22619462853156611</v>
      </c>
      <c r="AS96" s="155">
        <f t="shared" si="19"/>
        <v>0.24563325813728651</v>
      </c>
      <c r="AT96" s="155">
        <f t="shared" si="19"/>
        <v>0.24271523178807947</v>
      </c>
      <c r="AU96" s="155">
        <v>0.25</v>
      </c>
      <c r="AV96" s="136"/>
      <c r="AW96" s="136"/>
    </row>
    <row r="97" spans="1:49" ht="12.75" x14ac:dyDescent="0.2">
      <c r="A97" s="90"/>
      <c r="B97" s="90"/>
      <c r="C97" s="90"/>
      <c r="D97" s="90"/>
      <c r="E97" s="90"/>
      <c r="F97" s="90"/>
      <c r="G97" s="90"/>
      <c r="H97" s="253"/>
      <c r="I97" s="253"/>
      <c r="J97" s="253"/>
      <c r="K97" s="90"/>
      <c r="L97" s="90"/>
      <c r="M97" s="90"/>
      <c r="N97" s="90"/>
      <c r="O97" s="90"/>
      <c r="P97" s="93"/>
      <c r="Q97" s="90"/>
      <c r="R97" s="90"/>
      <c r="S97" s="90"/>
      <c r="T97" s="93"/>
      <c r="U97" s="90"/>
      <c r="V97" s="90"/>
      <c r="W97" s="90"/>
      <c r="X97" s="93"/>
      <c r="Y97" s="90"/>
      <c r="Z97" s="90"/>
      <c r="AA97" s="90"/>
      <c r="AB97" s="93"/>
      <c r="AC97" s="90"/>
      <c r="AD97" s="90"/>
      <c r="AE97" s="90"/>
      <c r="AF97" s="93"/>
      <c r="AG97" s="90"/>
      <c r="AH97" s="90"/>
      <c r="AI97" s="90"/>
      <c r="AJ97" s="93"/>
      <c r="AK97" s="90"/>
      <c r="AL97" s="155"/>
      <c r="AM97" s="155"/>
      <c r="AN97" s="93"/>
      <c r="AO97" s="90"/>
      <c r="AP97" s="90"/>
      <c r="AQ97" s="90"/>
      <c r="AR97" s="93"/>
      <c r="AS97" s="90"/>
      <c r="AT97" s="90"/>
      <c r="AU97" s="90"/>
      <c r="AV97" s="136"/>
      <c r="AW97" s="136"/>
    </row>
    <row r="98" spans="1:49" ht="12.75" x14ac:dyDescent="0.2">
      <c r="A98" s="163" t="s">
        <v>341</v>
      </c>
      <c r="B98" s="164">
        <v>2015</v>
      </c>
      <c r="C98" s="164">
        <v>2016</v>
      </c>
      <c r="D98" s="164">
        <v>2017</v>
      </c>
      <c r="E98" s="164">
        <v>2018</v>
      </c>
      <c r="F98" s="164">
        <v>2019</v>
      </c>
      <c r="G98" s="164">
        <v>2020</v>
      </c>
      <c r="H98" s="164">
        <v>2021</v>
      </c>
      <c r="I98" s="164">
        <v>2022</v>
      </c>
      <c r="J98" s="164">
        <v>2023</v>
      </c>
      <c r="K98" s="164">
        <v>2024</v>
      </c>
      <c r="L98" s="90"/>
      <c r="M98" s="164" t="s">
        <v>267</v>
      </c>
      <c r="N98" s="164" t="s">
        <v>268</v>
      </c>
      <c r="O98" s="164" t="s">
        <v>269</v>
      </c>
      <c r="P98" s="165" t="s">
        <v>270</v>
      </c>
      <c r="Q98" s="164" t="s">
        <v>131</v>
      </c>
      <c r="R98" s="164" t="s">
        <v>132</v>
      </c>
      <c r="S98" s="164" t="s">
        <v>133</v>
      </c>
      <c r="T98" s="165" t="s">
        <v>134</v>
      </c>
      <c r="U98" s="164" t="s">
        <v>135</v>
      </c>
      <c r="V98" s="164" t="s">
        <v>136</v>
      </c>
      <c r="W98" s="164" t="s">
        <v>137</v>
      </c>
      <c r="X98" s="165" t="s">
        <v>138</v>
      </c>
      <c r="Y98" s="164" t="s">
        <v>139</v>
      </c>
      <c r="Z98" s="164" t="s">
        <v>140</v>
      </c>
      <c r="AA98" s="164" t="s">
        <v>141</v>
      </c>
      <c r="AB98" s="165" t="s">
        <v>142</v>
      </c>
      <c r="AC98" s="164" t="s">
        <v>143</v>
      </c>
      <c r="AD98" s="164" t="s">
        <v>144</v>
      </c>
      <c r="AE98" s="164" t="s">
        <v>145</v>
      </c>
      <c r="AF98" s="165" t="s">
        <v>146</v>
      </c>
      <c r="AG98" s="164" t="s">
        <v>147</v>
      </c>
      <c r="AH98" s="164" t="s">
        <v>148</v>
      </c>
      <c r="AI98" s="164" t="s">
        <v>149</v>
      </c>
      <c r="AJ98" s="165" t="s">
        <v>150</v>
      </c>
      <c r="AK98" s="164" t="s">
        <v>151</v>
      </c>
      <c r="AL98" s="164" t="s">
        <v>152</v>
      </c>
      <c r="AM98" s="164" t="s">
        <v>153</v>
      </c>
      <c r="AN98" s="165" t="s">
        <v>154</v>
      </c>
      <c r="AO98" s="164" t="s">
        <v>155</v>
      </c>
      <c r="AP98" s="164" t="s">
        <v>156</v>
      </c>
      <c r="AQ98" s="164" t="s">
        <v>157</v>
      </c>
      <c r="AR98" s="165" t="s">
        <v>158</v>
      </c>
      <c r="AS98" s="164" t="s">
        <v>159</v>
      </c>
      <c r="AT98" s="164" t="s">
        <v>160</v>
      </c>
      <c r="AU98" s="164" t="s">
        <v>161</v>
      </c>
      <c r="AV98" s="136"/>
      <c r="AW98" s="136"/>
    </row>
    <row r="99" spans="1:49" ht="12.75" x14ac:dyDescent="0.2">
      <c r="A99" s="90" t="s">
        <v>338</v>
      </c>
      <c r="B99" s="155">
        <f t="shared" ref="B99:K99" si="20">B19/(B19+B20)</f>
        <v>0.41886105232071663</v>
      </c>
      <c r="C99" s="155">
        <f t="shared" si="20"/>
        <v>0.4079796803894592</v>
      </c>
      <c r="D99" s="155">
        <f t="shared" si="20"/>
        <v>0.45910333774638767</v>
      </c>
      <c r="E99" s="155">
        <f t="shared" si="20"/>
        <v>0.49887876664330766</v>
      </c>
      <c r="F99" s="155">
        <f t="shared" si="20"/>
        <v>0.46373611668673892</v>
      </c>
      <c r="G99" s="155">
        <f t="shared" si="20"/>
        <v>0.42269840680358006</v>
      </c>
      <c r="H99" s="155">
        <f t="shared" si="20"/>
        <v>0.41599590723055935</v>
      </c>
      <c r="I99" s="155">
        <f t="shared" si="20"/>
        <v>0.42263006374665846</v>
      </c>
      <c r="J99" s="155">
        <f t="shared" si="20"/>
        <v>0.42941300231432777</v>
      </c>
      <c r="K99" s="155">
        <f t="shared" si="20"/>
        <v>0.44416731406141391</v>
      </c>
      <c r="L99" s="90"/>
      <c r="M99" s="155">
        <f t="shared" ref="M99:AT99" si="21">M19/(M19+M20)</f>
        <v>0.4251143595852776</v>
      </c>
      <c r="N99" s="155">
        <f t="shared" si="21"/>
        <v>0.44931756141947227</v>
      </c>
      <c r="O99" s="155">
        <f t="shared" si="21"/>
        <v>0.44654088050314467</v>
      </c>
      <c r="P99" s="235">
        <f t="shared" si="21"/>
        <v>0.50685458547873297</v>
      </c>
      <c r="Q99" s="155">
        <f t="shared" si="21"/>
        <v>0.45061416792865555</v>
      </c>
      <c r="R99" s="155">
        <f t="shared" si="21"/>
        <v>0.49692832764505118</v>
      </c>
      <c r="S99" s="155">
        <f t="shared" si="21"/>
        <v>0.49735302312621898</v>
      </c>
      <c r="T99" s="235">
        <f t="shared" si="21"/>
        <v>0.53740978355962099</v>
      </c>
      <c r="U99" s="155">
        <f t="shared" si="21"/>
        <v>0.4656359803232607</v>
      </c>
      <c r="V99" s="155">
        <f t="shared" si="21"/>
        <v>0.4723448454946767</v>
      </c>
      <c r="W99" s="155">
        <f t="shared" si="21"/>
        <v>0.43605126806653943</v>
      </c>
      <c r="X99" s="235">
        <f t="shared" si="21"/>
        <v>0.47965379149980625</v>
      </c>
      <c r="Y99" s="155">
        <f t="shared" si="21"/>
        <v>0.38288493692050463</v>
      </c>
      <c r="Z99" s="155">
        <f t="shared" si="21"/>
        <v>0.43101837433821238</v>
      </c>
      <c r="AA99" s="155">
        <f t="shared" si="21"/>
        <v>0.41539174779786742</v>
      </c>
      <c r="AB99" s="235">
        <f t="shared" si="21"/>
        <v>0.4570815450643777</v>
      </c>
      <c r="AC99" s="155">
        <f t="shared" si="21"/>
        <v>0.4008762322015334</v>
      </c>
      <c r="AD99" s="155">
        <f t="shared" si="21"/>
        <v>0.42465562821761516</v>
      </c>
      <c r="AE99" s="155">
        <f t="shared" si="21"/>
        <v>0.38552885943109638</v>
      </c>
      <c r="AF99" s="235">
        <f t="shared" si="21"/>
        <v>0.44600000000000001</v>
      </c>
      <c r="AG99" s="155">
        <f t="shared" si="21"/>
        <v>0.43594578668238065</v>
      </c>
      <c r="AH99" s="155">
        <f t="shared" si="21"/>
        <v>0.39183222958057395</v>
      </c>
      <c r="AI99" s="155">
        <f t="shared" si="21"/>
        <v>0.41261171797418073</v>
      </c>
      <c r="AJ99" s="235">
        <f t="shared" si="21"/>
        <v>0.44618655328195589</v>
      </c>
      <c r="AK99" s="256">
        <f t="shared" si="21"/>
        <v>0.38386285288362992</v>
      </c>
      <c r="AL99" s="256">
        <f t="shared" si="21"/>
        <v>0.43876898481215026</v>
      </c>
      <c r="AM99" s="256">
        <f t="shared" si="21"/>
        <v>0.41521016284423223</v>
      </c>
      <c r="AN99" s="241">
        <f t="shared" si="21"/>
        <v>0.47226787705048573</v>
      </c>
      <c r="AO99" s="155">
        <f t="shared" si="21"/>
        <v>0.41990724224045667</v>
      </c>
      <c r="AP99" s="155">
        <f t="shared" si="21"/>
        <v>0.44316606524325663</v>
      </c>
      <c r="AQ99" s="155">
        <f t="shared" si="21"/>
        <v>0.43607019178234946</v>
      </c>
      <c r="AR99" s="257">
        <f t="shared" si="21"/>
        <v>0.47276688453159044</v>
      </c>
      <c r="AS99" s="155">
        <f t="shared" si="21"/>
        <v>0.43335611756664388</v>
      </c>
      <c r="AT99" s="155">
        <f t="shared" si="21"/>
        <v>0.43830345430695233</v>
      </c>
      <c r="AU99" s="155">
        <v>0.45383479544862332</v>
      </c>
      <c r="AV99" s="136"/>
      <c r="AW99" s="136"/>
    </row>
    <row r="100" spans="1:49" ht="12.75" x14ac:dyDescent="0.2">
      <c r="A100" s="90" t="s">
        <v>339</v>
      </c>
      <c r="B100" s="155">
        <f t="shared" ref="B100:K100" si="22">100%-B99</f>
        <v>0.58113894767928342</v>
      </c>
      <c r="C100" s="155">
        <f t="shared" si="22"/>
        <v>0.5920203196105408</v>
      </c>
      <c r="D100" s="155">
        <f t="shared" si="22"/>
        <v>0.54089666225361233</v>
      </c>
      <c r="E100" s="155">
        <f t="shared" si="22"/>
        <v>0.50112123335669234</v>
      </c>
      <c r="F100" s="155">
        <f t="shared" si="22"/>
        <v>0.53626388331326114</v>
      </c>
      <c r="G100" s="155">
        <f t="shared" si="22"/>
        <v>0.57730159319641994</v>
      </c>
      <c r="H100" s="155">
        <f t="shared" si="22"/>
        <v>0.58400409276944065</v>
      </c>
      <c r="I100" s="155">
        <f t="shared" si="22"/>
        <v>0.57736993625334154</v>
      </c>
      <c r="J100" s="155">
        <f t="shared" si="22"/>
        <v>0.57058699768567223</v>
      </c>
      <c r="K100" s="155">
        <f t="shared" si="22"/>
        <v>0.55583268593858604</v>
      </c>
      <c r="L100" s="90"/>
      <c r="M100" s="155">
        <f t="shared" ref="M100:AT100" si="23">100%-M99</f>
        <v>0.57488564041472245</v>
      </c>
      <c r="N100" s="155">
        <f t="shared" si="23"/>
        <v>0.55068243858052779</v>
      </c>
      <c r="O100" s="155">
        <f t="shared" si="23"/>
        <v>0.55345911949685533</v>
      </c>
      <c r="P100" s="235">
        <f t="shared" si="23"/>
        <v>0.49314541452126703</v>
      </c>
      <c r="Q100" s="155">
        <f t="shared" si="23"/>
        <v>0.5493858320713445</v>
      </c>
      <c r="R100" s="155">
        <f t="shared" si="23"/>
        <v>0.50307167235494887</v>
      </c>
      <c r="S100" s="155">
        <f t="shared" si="23"/>
        <v>0.50264697687378102</v>
      </c>
      <c r="T100" s="235">
        <f t="shared" si="23"/>
        <v>0.46259021644037901</v>
      </c>
      <c r="U100" s="155">
        <f t="shared" si="23"/>
        <v>0.5343640196767393</v>
      </c>
      <c r="V100" s="155">
        <f t="shared" si="23"/>
        <v>0.5276551545053233</v>
      </c>
      <c r="W100" s="155">
        <f t="shared" si="23"/>
        <v>0.56394873193346062</v>
      </c>
      <c r="X100" s="235">
        <f t="shared" si="23"/>
        <v>0.52034620850019375</v>
      </c>
      <c r="Y100" s="155">
        <f t="shared" si="23"/>
        <v>0.61711506307949537</v>
      </c>
      <c r="Z100" s="155">
        <f t="shared" si="23"/>
        <v>0.56898162566178767</v>
      </c>
      <c r="AA100" s="155">
        <f t="shared" si="23"/>
        <v>0.58460825220213253</v>
      </c>
      <c r="AB100" s="235">
        <f t="shared" si="23"/>
        <v>0.5429184549356223</v>
      </c>
      <c r="AC100" s="155">
        <f t="shared" si="23"/>
        <v>0.59912376779846666</v>
      </c>
      <c r="AD100" s="155">
        <f t="shared" si="23"/>
        <v>0.57534437178238484</v>
      </c>
      <c r="AE100" s="155">
        <f t="shared" si="23"/>
        <v>0.61447114056890362</v>
      </c>
      <c r="AF100" s="235">
        <f t="shared" si="23"/>
        <v>0.55400000000000005</v>
      </c>
      <c r="AG100" s="155">
        <f t="shared" si="23"/>
        <v>0.5640542133176194</v>
      </c>
      <c r="AH100" s="155">
        <f t="shared" si="23"/>
        <v>0.60816777041942605</v>
      </c>
      <c r="AI100" s="155">
        <f t="shared" si="23"/>
        <v>0.58738828202581927</v>
      </c>
      <c r="AJ100" s="235">
        <f t="shared" si="23"/>
        <v>0.55381344671804411</v>
      </c>
      <c r="AK100" s="256">
        <f t="shared" si="23"/>
        <v>0.61613714711637013</v>
      </c>
      <c r="AL100" s="256">
        <f t="shared" si="23"/>
        <v>0.56123101518784968</v>
      </c>
      <c r="AM100" s="256">
        <f t="shared" si="23"/>
        <v>0.58478983715576782</v>
      </c>
      <c r="AN100" s="241">
        <f t="shared" si="23"/>
        <v>0.52773212294951422</v>
      </c>
      <c r="AO100" s="155">
        <f t="shared" si="23"/>
        <v>0.58009275775954339</v>
      </c>
      <c r="AP100" s="155">
        <f t="shared" si="23"/>
        <v>0.55683393475674337</v>
      </c>
      <c r="AQ100" s="155">
        <f t="shared" si="23"/>
        <v>0.56392980821765049</v>
      </c>
      <c r="AR100" s="255">
        <f t="shared" si="23"/>
        <v>0.52723311546840956</v>
      </c>
      <c r="AS100" s="155">
        <f t="shared" si="23"/>
        <v>0.56664388243335617</v>
      </c>
      <c r="AT100" s="155">
        <f t="shared" si="23"/>
        <v>0.56169654569304761</v>
      </c>
      <c r="AU100" s="155">
        <v>0.54616520455137674</v>
      </c>
      <c r="AV100" s="136"/>
      <c r="AW100" s="136"/>
    </row>
    <row r="101" spans="1:49" ht="12.75" x14ac:dyDescent="0.2">
      <c r="A101" s="90"/>
      <c r="B101" s="155"/>
      <c r="C101" s="155"/>
      <c r="D101" s="155"/>
      <c r="E101" s="155"/>
      <c r="F101" s="155"/>
      <c r="G101" s="155"/>
      <c r="H101" s="155"/>
      <c r="I101" s="155"/>
      <c r="J101" s="155"/>
      <c r="K101" s="155"/>
      <c r="L101" s="90"/>
      <c r="M101" s="155"/>
      <c r="N101" s="155"/>
      <c r="O101" s="155"/>
      <c r="P101" s="235"/>
      <c r="Q101" s="155"/>
      <c r="R101" s="155"/>
      <c r="S101" s="155"/>
      <c r="T101" s="235"/>
      <c r="U101" s="155"/>
      <c r="V101" s="155"/>
      <c r="W101" s="155"/>
      <c r="X101" s="235"/>
      <c r="Y101" s="155"/>
      <c r="Z101" s="155"/>
      <c r="AA101" s="155"/>
      <c r="AB101" s="235"/>
      <c r="AC101" s="155"/>
      <c r="AD101" s="155"/>
      <c r="AE101" s="155"/>
      <c r="AF101" s="235"/>
      <c r="AG101" s="155"/>
      <c r="AH101" s="155"/>
      <c r="AI101" s="155"/>
      <c r="AJ101" s="235"/>
      <c r="AK101" s="155"/>
      <c r="AL101" s="155"/>
      <c r="AM101" s="155"/>
      <c r="AN101" s="235"/>
      <c r="AO101" s="155"/>
      <c r="AP101" s="155"/>
      <c r="AQ101" s="155"/>
      <c r="AR101" s="235"/>
      <c r="AS101" s="155"/>
      <c r="AT101" s="155"/>
      <c r="AU101" s="155"/>
      <c r="AV101" s="136"/>
      <c r="AW101" s="136"/>
    </row>
    <row r="102" spans="1:49" ht="12.75" x14ac:dyDescent="0.2">
      <c r="A102" s="163" t="s">
        <v>164</v>
      </c>
      <c r="B102" s="164">
        <v>2015</v>
      </c>
      <c r="C102" s="164">
        <v>2016</v>
      </c>
      <c r="D102" s="164">
        <v>2017</v>
      </c>
      <c r="E102" s="164">
        <v>2018</v>
      </c>
      <c r="F102" s="164">
        <v>2019</v>
      </c>
      <c r="G102" s="164">
        <v>2020</v>
      </c>
      <c r="H102" s="164">
        <v>2021</v>
      </c>
      <c r="I102" s="164">
        <v>2022</v>
      </c>
      <c r="J102" s="164">
        <v>2023</v>
      </c>
      <c r="K102" s="164">
        <v>2024</v>
      </c>
      <c r="L102" s="90"/>
      <c r="M102" s="164" t="s">
        <v>267</v>
      </c>
      <c r="N102" s="164" t="s">
        <v>268</v>
      </c>
      <c r="O102" s="164" t="s">
        <v>269</v>
      </c>
      <c r="P102" s="165" t="s">
        <v>270</v>
      </c>
      <c r="Q102" s="164" t="s">
        <v>131</v>
      </c>
      <c r="R102" s="164" t="s">
        <v>132</v>
      </c>
      <c r="S102" s="164" t="s">
        <v>133</v>
      </c>
      <c r="T102" s="165" t="s">
        <v>134</v>
      </c>
      <c r="U102" s="164" t="s">
        <v>135</v>
      </c>
      <c r="V102" s="164" t="s">
        <v>136</v>
      </c>
      <c r="W102" s="164" t="s">
        <v>137</v>
      </c>
      <c r="X102" s="165" t="s">
        <v>138</v>
      </c>
      <c r="Y102" s="164" t="s">
        <v>139</v>
      </c>
      <c r="Z102" s="164" t="s">
        <v>140</v>
      </c>
      <c r="AA102" s="164" t="s">
        <v>141</v>
      </c>
      <c r="AB102" s="165" t="s">
        <v>142</v>
      </c>
      <c r="AC102" s="164" t="s">
        <v>143</v>
      </c>
      <c r="AD102" s="164" t="s">
        <v>144</v>
      </c>
      <c r="AE102" s="164" t="s">
        <v>145</v>
      </c>
      <c r="AF102" s="165" t="s">
        <v>146</v>
      </c>
      <c r="AG102" s="164" t="s">
        <v>147</v>
      </c>
      <c r="AH102" s="164" t="s">
        <v>148</v>
      </c>
      <c r="AI102" s="164" t="s">
        <v>149</v>
      </c>
      <c r="AJ102" s="165" t="s">
        <v>150</v>
      </c>
      <c r="AK102" s="164" t="s">
        <v>151</v>
      </c>
      <c r="AL102" s="164" t="s">
        <v>152</v>
      </c>
      <c r="AM102" s="164" t="s">
        <v>153</v>
      </c>
      <c r="AN102" s="165" t="s">
        <v>154</v>
      </c>
      <c r="AO102" s="164" t="s">
        <v>155</v>
      </c>
      <c r="AP102" s="164" t="s">
        <v>156</v>
      </c>
      <c r="AQ102" s="164" t="s">
        <v>157</v>
      </c>
      <c r="AR102" s="165" t="s">
        <v>158</v>
      </c>
      <c r="AS102" s="164" t="s">
        <v>159</v>
      </c>
      <c r="AT102" s="164" t="s">
        <v>160</v>
      </c>
      <c r="AU102" s="164" t="s">
        <v>161</v>
      </c>
      <c r="AV102" s="136"/>
      <c r="AW102" s="136"/>
    </row>
    <row r="103" spans="1:49" ht="12.75" x14ac:dyDescent="0.2">
      <c r="A103" s="90" t="s">
        <v>342</v>
      </c>
      <c r="B103" s="132">
        <v>94.566126888812335</v>
      </c>
      <c r="C103" s="132">
        <v>102.72515610117472</v>
      </c>
      <c r="D103" s="132">
        <v>109.78986775176296</v>
      </c>
      <c r="E103" s="132">
        <v>104.04695164681151</v>
      </c>
      <c r="F103" s="132">
        <v>95.376534742899196</v>
      </c>
      <c r="G103" s="132">
        <f>G4/G18*100</f>
        <v>101.20696698481078</v>
      </c>
      <c r="H103" s="132">
        <f>H4/H18*100</f>
        <v>117.71145975443382</v>
      </c>
      <c r="I103" s="133">
        <f>I4/I18*100</f>
        <v>109.73421756117622</v>
      </c>
      <c r="J103" s="132">
        <f>J4/J18*100</f>
        <v>98.205343993267419</v>
      </c>
      <c r="K103" s="132">
        <f>K4/K18*100</f>
        <v>96.951792942715784</v>
      </c>
      <c r="L103" s="90"/>
      <c r="M103" s="132">
        <v>118.77832019793486</v>
      </c>
      <c r="N103" s="132">
        <v>115.06893147488444</v>
      </c>
      <c r="O103" s="132">
        <v>115.85275619681835</v>
      </c>
      <c r="P103" s="134">
        <v>92.43053337591823</v>
      </c>
      <c r="Q103" s="132">
        <v>125.22295137136126</v>
      </c>
      <c r="R103" s="132">
        <v>108.49146757679181</v>
      </c>
      <c r="S103" s="132">
        <v>100.16717748676511</v>
      </c>
      <c r="T103" s="134">
        <v>87.916975537435135</v>
      </c>
      <c r="U103" s="132">
        <v>101.86929023190443</v>
      </c>
      <c r="V103" s="132">
        <v>99.675408984679308</v>
      </c>
      <c r="W103" s="132">
        <v>93.727842923370602</v>
      </c>
      <c r="X103" s="134">
        <v>86.692506459948319</v>
      </c>
      <c r="Y103" s="132">
        <v>107.9343365253078</v>
      </c>
      <c r="Z103" s="132">
        <v>95.437558393023977</v>
      </c>
      <c r="AA103" s="132">
        <v>109</v>
      </c>
      <c r="AB103" s="134">
        <v>93</v>
      </c>
      <c r="AC103" s="132">
        <v>125</v>
      </c>
      <c r="AD103" s="132">
        <v>117</v>
      </c>
      <c r="AE103" s="132">
        <v>129</v>
      </c>
      <c r="AF103" s="134">
        <v>104</v>
      </c>
      <c r="AG103" s="133">
        <f>AG4/AG18*100</f>
        <v>127.75486152033</v>
      </c>
      <c r="AH103" s="133">
        <f>AH4/AH18*100</f>
        <v>120.27593818984548</v>
      </c>
      <c r="AI103" s="133">
        <f>AI4/AI18*100</f>
        <v>97.229394240317774</v>
      </c>
      <c r="AJ103" s="258">
        <f>AJ4/AJ18*100</f>
        <v>98.883869253255384</v>
      </c>
      <c r="AK103" s="132">
        <f>AK4/AK18*100</f>
        <v>107.5095499860244</v>
      </c>
      <c r="AL103" s="132">
        <v>98</v>
      </c>
      <c r="AM103" s="132">
        <v>96.436183817887283</v>
      </c>
      <c r="AN103" s="134">
        <v>91.981207198598497</v>
      </c>
      <c r="AO103" s="132">
        <v>98.332144131287905</v>
      </c>
      <c r="AP103" s="132">
        <v>98.977309044423137</v>
      </c>
      <c r="AQ103" s="132">
        <v>100</v>
      </c>
      <c r="AR103" s="134">
        <v>91.503267973856211</v>
      </c>
      <c r="AS103" s="132">
        <v>106</v>
      </c>
      <c r="AT103" s="132">
        <v>100.62090074333187</v>
      </c>
      <c r="AU103" s="132">
        <v>99.357248327977061</v>
      </c>
      <c r="AV103" s="136"/>
      <c r="AW103" s="136"/>
    </row>
    <row r="104" spans="1:49" ht="12.75" x14ac:dyDescent="0.2">
      <c r="A104" s="90" t="s">
        <v>340</v>
      </c>
      <c r="B104" s="132">
        <v>100.25964391691396</v>
      </c>
      <c r="C104" s="132">
        <v>100.27760252365931</v>
      </c>
      <c r="D104" s="132">
        <v>103.53659387401122</v>
      </c>
      <c r="E104" s="132">
        <v>100.96648807647861</v>
      </c>
      <c r="F104" s="132">
        <v>99.712936382998436</v>
      </c>
      <c r="G104" s="132">
        <f>G7/G21*100</f>
        <v>101.78413120567376</v>
      </c>
      <c r="H104" s="132">
        <f>H7/H21*100</f>
        <v>108.03527682508573</v>
      </c>
      <c r="I104" s="133">
        <f>I7/I21*100</f>
        <v>98.741439940773645</v>
      </c>
      <c r="J104" s="132">
        <f>J7/J21*100</f>
        <v>94.820403992769002</v>
      </c>
      <c r="K104" s="132">
        <f>K7/K21*100</f>
        <v>100.1571038251366</v>
      </c>
      <c r="L104" s="90"/>
      <c r="M104" s="132">
        <v>108.3412565233827</v>
      </c>
      <c r="N104" s="132">
        <v>98.807825565245977</v>
      </c>
      <c r="O104" s="132">
        <v>104.5846457733349</v>
      </c>
      <c r="P104" s="134">
        <v>102.71154745208042</v>
      </c>
      <c r="Q104" s="132">
        <v>113.58574610244989</v>
      </c>
      <c r="R104" s="132">
        <v>100.73409461663947</v>
      </c>
      <c r="S104" s="132">
        <v>95.927791771620491</v>
      </c>
      <c r="T104" s="134">
        <v>94.508196721311478</v>
      </c>
      <c r="U104" s="132">
        <v>105.95009596928983</v>
      </c>
      <c r="V104" s="132">
        <v>96.582365003417635</v>
      </c>
      <c r="W104" s="132">
        <v>96.383363471971066</v>
      </c>
      <c r="X104" s="134">
        <v>100.55932880543348</v>
      </c>
      <c r="Y104" s="132">
        <v>104.55089820359282</v>
      </c>
      <c r="Z104" s="132">
        <v>97.297297297297305</v>
      </c>
      <c r="AA104" s="132">
        <v>102</v>
      </c>
      <c r="AB104" s="134">
        <v>102</v>
      </c>
      <c r="AC104" s="132">
        <v>114</v>
      </c>
      <c r="AD104" s="132">
        <v>106</v>
      </c>
      <c r="AE104" s="132">
        <v>106</v>
      </c>
      <c r="AF104" s="134">
        <v>106</v>
      </c>
      <c r="AG104" s="133">
        <f>AG7/AG21*100</f>
        <v>114.76043276661514</v>
      </c>
      <c r="AH104" s="133">
        <f>AH7/AH21*100</f>
        <v>89.298496778811739</v>
      </c>
      <c r="AI104" s="133">
        <f>AI7/AI21*100</f>
        <v>92.290667650313537</v>
      </c>
      <c r="AJ104" s="135">
        <f>AJ7/AJ21*100</f>
        <v>99.631404349428678</v>
      </c>
      <c r="AK104" s="132">
        <f>AK7/AK21*100</f>
        <v>100.25599999999999</v>
      </c>
      <c r="AL104" s="132">
        <v>93</v>
      </c>
      <c r="AM104" s="132">
        <v>91.517996870109542</v>
      </c>
      <c r="AN104" s="134">
        <v>94.706867671691796</v>
      </c>
      <c r="AO104" s="132">
        <v>105.86639538826721</v>
      </c>
      <c r="AP104" s="132">
        <v>98.897519418692056</v>
      </c>
      <c r="AQ104" s="132">
        <v>96</v>
      </c>
      <c r="AR104" s="134">
        <v>101.20791570290413</v>
      </c>
      <c r="AS104" s="132">
        <v>110</v>
      </c>
      <c r="AT104" s="132">
        <v>102.12824010914052</v>
      </c>
      <c r="AU104" s="132">
        <v>99.27105831533477</v>
      </c>
      <c r="AV104" s="136"/>
      <c r="AW104" s="136"/>
    </row>
    <row r="105" spans="1:49" ht="12.75" x14ac:dyDescent="0.2">
      <c r="A105" s="153" t="s">
        <v>303</v>
      </c>
      <c r="B105" s="259">
        <v>96.120434009001158</v>
      </c>
      <c r="C105" s="259">
        <v>101.9629547634861</v>
      </c>
      <c r="D105" s="259">
        <v>107.86485465678139</v>
      </c>
      <c r="E105" s="259">
        <v>102.91236776805536</v>
      </c>
      <c r="F105" s="259">
        <v>96.678009253592506</v>
      </c>
      <c r="G105" s="259">
        <f>G9/G23*100</f>
        <v>101.26515696805272</v>
      </c>
      <c r="H105" s="259">
        <f>H9/H23*100</f>
        <v>115.14188422247446</v>
      </c>
      <c r="I105" s="259">
        <f>I9/I23*100</f>
        <v>107.09944862558859</v>
      </c>
      <c r="J105" s="259">
        <f>J9/J23*100</f>
        <v>97.607013240972435</v>
      </c>
      <c r="K105" s="259">
        <f>K9/K23*100</f>
        <v>97.813030627004593</v>
      </c>
      <c r="L105" s="90"/>
      <c r="M105" s="259">
        <v>114.96040280340173</v>
      </c>
      <c r="N105" s="259">
        <v>109.93166026423151</v>
      </c>
      <c r="O105" s="259">
        <v>112.89299955331273</v>
      </c>
      <c r="P105" s="260">
        <v>95.203213610586019</v>
      </c>
      <c r="Q105" s="259">
        <v>121.89967205150005</v>
      </c>
      <c r="R105" s="259">
        <v>106.50208269836432</v>
      </c>
      <c r="S105" s="259">
        <v>97.533934307325666</v>
      </c>
      <c r="T105" s="260">
        <v>89.676075014207228</v>
      </c>
      <c r="U105" s="259">
        <v>102.84108329075114</v>
      </c>
      <c r="V105" s="259">
        <v>99.313005834744956</v>
      </c>
      <c r="W105" s="259">
        <v>94.506792675723574</v>
      </c>
      <c r="X105" s="260">
        <v>90.233463035019454</v>
      </c>
      <c r="Y105" s="259">
        <v>106.98489161375082</v>
      </c>
      <c r="Z105" s="259">
        <v>95.826436509813192</v>
      </c>
      <c r="AA105" s="259">
        <v>107</v>
      </c>
      <c r="AB105" s="260">
        <v>95</v>
      </c>
      <c r="AC105" s="259">
        <v>122</v>
      </c>
      <c r="AD105" s="259">
        <v>114</v>
      </c>
      <c r="AE105" s="259">
        <v>123</v>
      </c>
      <c r="AF105" s="260">
        <v>104</v>
      </c>
      <c r="AG105" s="259">
        <v>125</v>
      </c>
      <c r="AH105" s="259">
        <v>112.71486349848333</v>
      </c>
      <c r="AI105" s="259">
        <v>96</v>
      </c>
      <c r="AJ105" s="260">
        <v>98</v>
      </c>
      <c r="AK105" s="259">
        <f>AK9/AK23*100</f>
        <v>106.10758580905681</v>
      </c>
      <c r="AL105" s="259">
        <v>97</v>
      </c>
      <c r="AM105" s="259">
        <v>95.752483830099351</v>
      </c>
      <c r="AN105" s="260">
        <v>92.420349434737929</v>
      </c>
      <c r="AO105" s="259">
        <v>100.13434207735274</v>
      </c>
      <c r="AP105" s="259">
        <v>99.018835927563444</v>
      </c>
      <c r="AQ105" s="259">
        <v>99</v>
      </c>
      <c r="AR105" s="260">
        <v>93.803257782157559</v>
      </c>
      <c r="AS105" s="259">
        <v>107</v>
      </c>
      <c r="AT105" s="259">
        <v>100.96497025776603</v>
      </c>
      <c r="AU105" s="259">
        <v>99.343918120981499</v>
      </c>
      <c r="AV105" s="136"/>
      <c r="AW105" s="136"/>
    </row>
    <row r="106" spans="1:49" ht="12.75" x14ac:dyDescent="0.2">
      <c r="A106" s="90"/>
      <c r="B106" s="261"/>
      <c r="C106" s="261"/>
      <c r="D106" s="261"/>
      <c r="E106" s="261"/>
      <c r="F106" s="261"/>
      <c r="G106" s="261"/>
      <c r="H106" s="261"/>
      <c r="I106" s="261"/>
      <c r="J106" s="261"/>
      <c r="K106" s="261"/>
      <c r="L106" s="90"/>
      <c r="M106" s="261"/>
      <c r="N106" s="261"/>
      <c r="O106" s="261"/>
      <c r="P106" s="262"/>
      <c r="Q106" s="261"/>
      <c r="R106" s="261"/>
      <c r="S106" s="261"/>
      <c r="T106" s="262"/>
      <c r="U106" s="261"/>
      <c r="V106" s="261"/>
      <c r="W106" s="261"/>
      <c r="X106" s="262"/>
      <c r="Y106" s="261"/>
      <c r="Z106" s="261"/>
      <c r="AA106" s="261"/>
      <c r="AB106" s="262"/>
      <c r="AC106" s="261"/>
      <c r="AD106" s="261"/>
      <c r="AE106" s="261"/>
      <c r="AF106" s="262"/>
      <c r="AG106" s="261"/>
      <c r="AH106" s="261"/>
      <c r="AI106" s="261"/>
      <c r="AJ106" s="262"/>
      <c r="AK106" s="261"/>
      <c r="AL106" s="261"/>
      <c r="AM106" s="261"/>
      <c r="AN106" s="262"/>
      <c r="AO106" s="261"/>
      <c r="AP106" s="261"/>
      <c r="AQ106" s="261"/>
      <c r="AR106" s="262"/>
      <c r="AS106" s="261"/>
      <c r="AT106" s="261"/>
      <c r="AU106" s="261"/>
      <c r="AV106" s="136"/>
      <c r="AW106" s="136"/>
    </row>
    <row r="107" spans="1:49" ht="12.75" x14ac:dyDescent="0.2">
      <c r="A107" s="163" t="s">
        <v>343</v>
      </c>
      <c r="B107" s="164">
        <v>2015</v>
      </c>
      <c r="C107" s="164">
        <v>2016</v>
      </c>
      <c r="D107" s="164">
        <v>2017</v>
      </c>
      <c r="E107" s="164">
        <v>2018</v>
      </c>
      <c r="F107" s="164">
        <v>2019</v>
      </c>
      <c r="G107" s="164">
        <v>2020</v>
      </c>
      <c r="H107" s="164">
        <v>2021</v>
      </c>
      <c r="I107" s="164">
        <v>2022</v>
      </c>
      <c r="J107" s="164">
        <v>2023</v>
      </c>
      <c r="K107" s="164">
        <v>2024</v>
      </c>
      <c r="L107" s="90"/>
      <c r="M107" s="164" t="s">
        <v>267</v>
      </c>
      <c r="N107" s="164" t="s">
        <v>268</v>
      </c>
      <c r="O107" s="164" t="s">
        <v>269</v>
      </c>
      <c r="P107" s="165" t="s">
        <v>270</v>
      </c>
      <c r="Q107" s="164" t="s">
        <v>131</v>
      </c>
      <c r="R107" s="164" t="s">
        <v>132</v>
      </c>
      <c r="S107" s="164" t="s">
        <v>133</v>
      </c>
      <c r="T107" s="165" t="s">
        <v>134</v>
      </c>
      <c r="U107" s="164" t="s">
        <v>135</v>
      </c>
      <c r="V107" s="164" t="s">
        <v>136</v>
      </c>
      <c r="W107" s="164" t="s">
        <v>137</v>
      </c>
      <c r="X107" s="165" t="s">
        <v>138</v>
      </c>
      <c r="Y107" s="164" t="s">
        <v>139</v>
      </c>
      <c r="Z107" s="164" t="s">
        <v>140</v>
      </c>
      <c r="AA107" s="164" t="s">
        <v>141</v>
      </c>
      <c r="AB107" s="165" t="s">
        <v>142</v>
      </c>
      <c r="AC107" s="164" t="s">
        <v>143</v>
      </c>
      <c r="AD107" s="164" t="s">
        <v>144</v>
      </c>
      <c r="AE107" s="164" t="s">
        <v>145</v>
      </c>
      <c r="AF107" s="165" t="s">
        <v>146</v>
      </c>
      <c r="AG107" s="164" t="s">
        <v>147</v>
      </c>
      <c r="AH107" s="164" t="s">
        <v>148</v>
      </c>
      <c r="AI107" s="164" t="s">
        <v>149</v>
      </c>
      <c r="AJ107" s="165" t="s">
        <v>150</v>
      </c>
      <c r="AK107" s="164" t="s">
        <v>151</v>
      </c>
      <c r="AL107" s="164" t="s">
        <v>152</v>
      </c>
      <c r="AM107" s="164" t="s">
        <v>153</v>
      </c>
      <c r="AN107" s="165" t="s">
        <v>154</v>
      </c>
      <c r="AO107" s="164" t="s">
        <v>155</v>
      </c>
      <c r="AP107" s="164" t="s">
        <v>344</v>
      </c>
      <c r="AQ107" s="164" t="s">
        <v>157</v>
      </c>
      <c r="AR107" s="165" t="s">
        <v>158</v>
      </c>
      <c r="AS107" s="164" t="s">
        <v>159</v>
      </c>
      <c r="AT107" s="164" t="s">
        <v>160</v>
      </c>
      <c r="AU107" s="164" t="s">
        <v>161</v>
      </c>
      <c r="AV107" s="136"/>
      <c r="AW107" s="136"/>
    </row>
    <row r="108" spans="1:49" ht="12.75" x14ac:dyDescent="0.2">
      <c r="A108" s="263" t="s">
        <v>342</v>
      </c>
      <c r="B108" s="168"/>
      <c r="C108" s="168"/>
      <c r="D108" s="168"/>
      <c r="E108" s="168"/>
      <c r="F108" s="168"/>
      <c r="G108" s="168"/>
      <c r="H108" s="168"/>
      <c r="I108" s="175"/>
      <c r="J108" s="264">
        <v>-1</v>
      </c>
      <c r="K108" s="264">
        <v>0</v>
      </c>
      <c r="L108" s="263"/>
      <c r="M108" s="168"/>
      <c r="N108" s="168"/>
      <c r="O108" s="168"/>
      <c r="P108" s="176"/>
      <c r="Q108" s="168"/>
      <c r="R108" s="168"/>
      <c r="S108" s="168"/>
      <c r="T108" s="176"/>
      <c r="U108" s="168"/>
      <c r="V108" s="168"/>
      <c r="W108" s="168"/>
      <c r="X108" s="176"/>
      <c r="Y108" s="168"/>
      <c r="Z108" s="168"/>
      <c r="AA108" s="168"/>
      <c r="AB108" s="176"/>
      <c r="AC108" s="168"/>
      <c r="AD108" s="168"/>
      <c r="AE108" s="168"/>
      <c r="AF108" s="176"/>
      <c r="AG108" s="175"/>
      <c r="AH108" s="175"/>
      <c r="AI108" s="175"/>
      <c r="AJ108" s="177"/>
      <c r="AK108" s="264">
        <v>-1.3</v>
      </c>
      <c r="AL108" s="264">
        <v>-1.1000000000000001</v>
      </c>
      <c r="AM108" s="264">
        <v>-1.1000000000000001</v>
      </c>
      <c r="AN108" s="265">
        <v>-0.5</v>
      </c>
      <c r="AO108" s="266">
        <v>-0.1</v>
      </c>
      <c r="AP108" s="264">
        <v>-0.1</v>
      </c>
      <c r="AQ108" s="264">
        <v>0</v>
      </c>
      <c r="AR108" s="265">
        <v>0</v>
      </c>
      <c r="AS108" s="266">
        <v>0</v>
      </c>
      <c r="AT108" s="264">
        <v>-0.1</v>
      </c>
      <c r="AU108" s="264">
        <v>0</v>
      </c>
      <c r="AV108" s="136"/>
      <c r="AW108" s="136"/>
    </row>
    <row r="109" spans="1:49" ht="12.75" x14ac:dyDescent="0.2">
      <c r="A109" s="263" t="s">
        <v>340</v>
      </c>
      <c r="B109" s="168"/>
      <c r="C109" s="168"/>
      <c r="D109" s="168"/>
      <c r="E109" s="168"/>
      <c r="F109" s="168"/>
      <c r="G109" s="168"/>
      <c r="H109" s="168"/>
      <c r="I109" s="175"/>
      <c r="J109" s="264">
        <v>-0.4</v>
      </c>
      <c r="K109" s="264">
        <v>-2.8</v>
      </c>
      <c r="L109" s="263"/>
      <c r="M109" s="168"/>
      <c r="N109" s="168"/>
      <c r="O109" s="168"/>
      <c r="P109" s="176"/>
      <c r="Q109" s="168"/>
      <c r="R109" s="168"/>
      <c r="S109" s="168"/>
      <c r="T109" s="176"/>
      <c r="U109" s="168"/>
      <c r="V109" s="168"/>
      <c r="W109" s="168"/>
      <c r="X109" s="176"/>
      <c r="Y109" s="168"/>
      <c r="Z109" s="168"/>
      <c r="AA109" s="168"/>
      <c r="AB109" s="176"/>
      <c r="AC109" s="168"/>
      <c r="AD109" s="168"/>
      <c r="AE109" s="168"/>
      <c r="AF109" s="176"/>
      <c r="AG109" s="175"/>
      <c r="AH109" s="175"/>
      <c r="AI109" s="175"/>
      <c r="AJ109" s="179"/>
      <c r="AK109" s="264">
        <v>-1.2</v>
      </c>
      <c r="AL109" s="264">
        <v>0.4</v>
      </c>
      <c r="AM109" s="264">
        <v>0.4</v>
      </c>
      <c r="AN109" s="265">
        <v>-0.7</v>
      </c>
      <c r="AO109" s="264">
        <v>-0.2</v>
      </c>
      <c r="AP109" s="264">
        <v>-2.2000000000000002</v>
      </c>
      <c r="AQ109" s="264">
        <v>-3.9</v>
      </c>
      <c r="AR109" s="265">
        <v>-4</v>
      </c>
      <c r="AS109" s="264">
        <v>-2.7</v>
      </c>
      <c r="AT109" s="264">
        <v>-0.3</v>
      </c>
      <c r="AU109" s="264">
        <v>-0.2</v>
      </c>
      <c r="AV109" s="136"/>
      <c r="AW109" s="136"/>
    </row>
    <row r="110" spans="1:49" ht="12.75" x14ac:dyDescent="0.2">
      <c r="A110" s="153" t="s">
        <v>303</v>
      </c>
      <c r="B110" s="259"/>
      <c r="C110" s="259"/>
      <c r="D110" s="259"/>
      <c r="E110" s="259"/>
      <c r="F110" s="259"/>
      <c r="G110" s="259"/>
      <c r="H110" s="259"/>
      <c r="I110" s="259"/>
      <c r="J110" s="267">
        <v>-0.9</v>
      </c>
      <c r="K110" s="267">
        <v>-1</v>
      </c>
      <c r="L110" s="90"/>
      <c r="M110" s="259"/>
      <c r="N110" s="259"/>
      <c r="O110" s="259"/>
      <c r="P110" s="260"/>
      <c r="Q110" s="259"/>
      <c r="R110" s="259"/>
      <c r="S110" s="259"/>
      <c r="T110" s="260"/>
      <c r="U110" s="259"/>
      <c r="V110" s="259"/>
      <c r="W110" s="259"/>
      <c r="X110" s="260"/>
      <c r="Y110" s="259"/>
      <c r="Z110" s="259"/>
      <c r="AA110" s="259"/>
      <c r="AB110" s="260"/>
      <c r="AC110" s="259"/>
      <c r="AD110" s="259"/>
      <c r="AE110" s="259"/>
      <c r="AF110" s="260"/>
      <c r="AG110" s="259"/>
      <c r="AH110" s="259"/>
      <c r="AI110" s="259"/>
      <c r="AJ110" s="260"/>
      <c r="AK110" s="267">
        <v>-1.3</v>
      </c>
      <c r="AL110" s="267">
        <v>-0.9</v>
      </c>
      <c r="AM110" s="267">
        <v>-1</v>
      </c>
      <c r="AN110" s="268">
        <v>-0.7</v>
      </c>
      <c r="AO110" s="267">
        <v>-0.2</v>
      </c>
      <c r="AP110" s="267">
        <v>-0.9</v>
      </c>
      <c r="AQ110" s="267">
        <v>-1.3</v>
      </c>
      <c r="AR110" s="268">
        <v>-1.4</v>
      </c>
      <c r="AS110" s="267">
        <v>-1</v>
      </c>
      <c r="AT110" s="267">
        <v>-0.2</v>
      </c>
      <c r="AU110" s="267">
        <v>-0.1</v>
      </c>
      <c r="AV110" s="136"/>
      <c r="AW110" s="136"/>
    </row>
    <row r="111" spans="1:49" ht="12.75" x14ac:dyDescent="0.2">
      <c r="A111" s="107"/>
      <c r="B111" s="90"/>
      <c r="C111" s="90"/>
      <c r="D111" s="90"/>
      <c r="E111" s="90"/>
      <c r="F111" s="90"/>
      <c r="G111" s="90"/>
      <c r="H111" s="90"/>
      <c r="I111" s="90"/>
      <c r="J111" s="90"/>
      <c r="K111" s="90"/>
      <c r="L111" s="90"/>
      <c r="M111" s="90"/>
      <c r="N111" s="90"/>
      <c r="O111" s="90"/>
      <c r="P111" s="93"/>
      <c r="Q111" s="90"/>
      <c r="R111" s="90"/>
      <c r="S111" s="90"/>
      <c r="T111" s="93"/>
      <c r="U111" s="90"/>
      <c r="V111" s="90"/>
      <c r="W111" s="90"/>
      <c r="X111" s="93"/>
      <c r="Y111" s="90"/>
      <c r="Z111" s="90"/>
      <c r="AA111" s="90"/>
      <c r="AB111" s="93"/>
      <c r="AC111" s="90"/>
      <c r="AD111" s="90"/>
      <c r="AE111" s="90"/>
      <c r="AF111" s="93"/>
      <c r="AG111" s="90"/>
      <c r="AH111" s="90"/>
      <c r="AI111" s="90"/>
      <c r="AJ111" s="93"/>
      <c r="AK111" s="90"/>
      <c r="AL111" s="155"/>
      <c r="AM111" s="155"/>
      <c r="AN111" s="93"/>
      <c r="AO111" s="90"/>
      <c r="AP111" s="90"/>
      <c r="AQ111" s="90"/>
      <c r="AR111" s="93"/>
      <c r="AS111" s="90"/>
      <c r="AT111" s="90"/>
      <c r="AU111" s="90"/>
      <c r="AV111" s="136"/>
      <c r="AW111" s="136"/>
    </row>
    <row r="112" spans="1:49" ht="12.75" x14ac:dyDescent="0.2">
      <c r="A112" s="163" t="s">
        <v>345</v>
      </c>
      <c r="B112" s="164">
        <v>2015</v>
      </c>
      <c r="C112" s="164">
        <v>2016</v>
      </c>
      <c r="D112" s="164">
        <v>2017</v>
      </c>
      <c r="E112" s="164">
        <v>2018</v>
      </c>
      <c r="F112" s="164">
        <v>2019</v>
      </c>
      <c r="G112" s="164">
        <v>2020</v>
      </c>
      <c r="H112" s="164">
        <v>2021</v>
      </c>
      <c r="I112" s="164">
        <v>2022</v>
      </c>
      <c r="J112" s="164">
        <v>2023</v>
      </c>
      <c r="K112" s="164">
        <v>2024</v>
      </c>
      <c r="L112" s="90"/>
      <c r="M112" s="164" t="s">
        <v>267</v>
      </c>
      <c r="N112" s="164" t="s">
        <v>268</v>
      </c>
      <c r="O112" s="164" t="s">
        <v>269</v>
      </c>
      <c r="P112" s="165" t="s">
        <v>270</v>
      </c>
      <c r="Q112" s="164" t="s">
        <v>131</v>
      </c>
      <c r="R112" s="164" t="s">
        <v>132</v>
      </c>
      <c r="S112" s="164" t="s">
        <v>133</v>
      </c>
      <c r="T112" s="165" t="s">
        <v>134</v>
      </c>
      <c r="U112" s="164" t="s">
        <v>135</v>
      </c>
      <c r="V112" s="164" t="s">
        <v>136</v>
      </c>
      <c r="W112" s="164" t="s">
        <v>137</v>
      </c>
      <c r="X112" s="165" t="s">
        <v>138</v>
      </c>
      <c r="Y112" s="164" t="s">
        <v>139</v>
      </c>
      <c r="Z112" s="164" t="s">
        <v>140</v>
      </c>
      <c r="AA112" s="164" t="s">
        <v>141</v>
      </c>
      <c r="AB112" s="165" t="s">
        <v>142</v>
      </c>
      <c r="AC112" s="164" t="s">
        <v>143</v>
      </c>
      <c r="AD112" s="164" t="s">
        <v>144</v>
      </c>
      <c r="AE112" s="164" t="s">
        <v>145</v>
      </c>
      <c r="AF112" s="165" t="s">
        <v>146</v>
      </c>
      <c r="AG112" s="164" t="s">
        <v>147</v>
      </c>
      <c r="AH112" s="164" t="s">
        <v>148</v>
      </c>
      <c r="AI112" s="164" t="s">
        <v>149</v>
      </c>
      <c r="AJ112" s="165" t="s">
        <v>150</v>
      </c>
      <c r="AK112" s="164" t="s">
        <v>151</v>
      </c>
      <c r="AL112" s="164" t="s">
        <v>152</v>
      </c>
      <c r="AM112" s="164" t="s">
        <v>153</v>
      </c>
      <c r="AN112" s="165" t="s">
        <v>154</v>
      </c>
      <c r="AO112" s="164" t="s">
        <v>155</v>
      </c>
      <c r="AP112" s="164" t="s">
        <v>156</v>
      </c>
      <c r="AQ112" s="164" t="s">
        <v>157</v>
      </c>
      <c r="AR112" s="165" t="s">
        <v>158</v>
      </c>
      <c r="AS112" s="164" t="s">
        <v>159</v>
      </c>
      <c r="AT112" s="164" t="s">
        <v>160</v>
      </c>
      <c r="AU112" s="164" t="s">
        <v>161</v>
      </c>
      <c r="AV112" s="136"/>
      <c r="AW112" s="136"/>
    </row>
    <row r="113" spans="1:49" ht="12.75" x14ac:dyDescent="0.2">
      <c r="A113" s="90" t="s">
        <v>346</v>
      </c>
      <c r="B113" s="155"/>
      <c r="C113" s="155"/>
      <c r="D113" s="155"/>
      <c r="E113" s="155">
        <v>0.73</v>
      </c>
      <c r="F113" s="155">
        <v>0.76</v>
      </c>
      <c r="G113" s="155">
        <v>0.76</v>
      </c>
      <c r="H113" s="155">
        <v>0.77</v>
      </c>
      <c r="I113" s="155">
        <v>0.77</v>
      </c>
      <c r="J113" s="155">
        <v>0.83</v>
      </c>
      <c r="K113" s="155">
        <v>0.78</v>
      </c>
      <c r="L113" s="90"/>
      <c r="M113" s="155"/>
      <c r="N113" s="155"/>
      <c r="O113" s="155"/>
      <c r="P113" s="235"/>
      <c r="Q113" s="155"/>
      <c r="R113" s="155">
        <v>0.7</v>
      </c>
      <c r="S113" s="155">
        <v>0.7</v>
      </c>
      <c r="T113" s="235">
        <v>0.73</v>
      </c>
      <c r="U113" s="155">
        <v>0.74</v>
      </c>
      <c r="V113" s="155">
        <v>0.75</v>
      </c>
      <c r="W113" s="155">
        <v>0.79</v>
      </c>
      <c r="X113" s="235">
        <v>0.76</v>
      </c>
      <c r="Y113" s="155">
        <v>0.76</v>
      </c>
      <c r="Z113" s="155">
        <v>0.77</v>
      </c>
      <c r="AA113" s="155">
        <v>0.77</v>
      </c>
      <c r="AB113" s="235">
        <v>0.75</v>
      </c>
      <c r="AC113" s="155">
        <v>0.72</v>
      </c>
      <c r="AD113" s="155">
        <v>0.82</v>
      </c>
      <c r="AE113" s="155">
        <v>0.78</v>
      </c>
      <c r="AF113" s="235">
        <v>0.76</v>
      </c>
      <c r="AG113" s="155">
        <v>0.77</v>
      </c>
      <c r="AH113" s="155">
        <v>0.73</v>
      </c>
      <c r="AI113" s="155">
        <v>0.81</v>
      </c>
      <c r="AJ113" s="235">
        <v>0.79</v>
      </c>
      <c r="AK113" s="155">
        <v>0.82</v>
      </c>
      <c r="AL113" s="155">
        <v>0.81</v>
      </c>
      <c r="AM113" s="155">
        <v>0.86</v>
      </c>
      <c r="AN113" s="235">
        <v>0.84</v>
      </c>
      <c r="AO113" s="155">
        <v>0.79</v>
      </c>
      <c r="AP113" s="155">
        <v>0.77</v>
      </c>
      <c r="AQ113" s="155">
        <v>0.78</v>
      </c>
      <c r="AR113" s="235">
        <v>0.78</v>
      </c>
      <c r="AS113" s="155">
        <v>0.78</v>
      </c>
      <c r="AT113" s="155">
        <v>0.79</v>
      </c>
      <c r="AU113" s="155">
        <v>0.78</v>
      </c>
      <c r="AV113" s="136"/>
      <c r="AW113" s="136"/>
    </row>
    <row r="114" spans="1:49" ht="12.75" x14ac:dyDescent="0.2">
      <c r="A114" s="90" t="s">
        <v>347</v>
      </c>
      <c r="B114" s="155"/>
      <c r="C114" s="155"/>
      <c r="D114" s="155"/>
      <c r="E114" s="155">
        <f t="shared" ref="E114:J114" si="24">100%-E113</f>
        <v>0.27</v>
      </c>
      <c r="F114" s="155">
        <f t="shared" si="24"/>
        <v>0.24</v>
      </c>
      <c r="G114" s="155">
        <f t="shared" si="24"/>
        <v>0.24</v>
      </c>
      <c r="H114" s="155">
        <f t="shared" si="24"/>
        <v>0.22999999999999998</v>
      </c>
      <c r="I114" s="155">
        <f t="shared" si="24"/>
        <v>0.22999999999999998</v>
      </c>
      <c r="J114" s="155">
        <f t="shared" si="24"/>
        <v>0.17000000000000004</v>
      </c>
      <c r="K114" s="155">
        <v>0.22</v>
      </c>
      <c r="L114" s="90"/>
      <c r="M114" s="155"/>
      <c r="N114" s="155"/>
      <c r="O114" s="155"/>
      <c r="P114" s="235"/>
      <c r="Q114" s="155"/>
      <c r="R114" s="155">
        <f t="shared" ref="R114:AQ114" si="25">100%-R113</f>
        <v>0.30000000000000004</v>
      </c>
      <c r="S114" s="155">
        <f t="shared" si="25"/>
        <v>0.30000000000000004</v>
      </c>
      <c r="T114" s="235">
        <f t="shared" si="25"/>
        <v>0.27</v>
      </c>
      <c r="U114" s="155">
        <f t="shared" si="25"/>
        <v>0.26</v>
      </c>
      <c r="V114" s="155">
        <f t="shared" si="25"/>
        <v>0.25</v>
      </c>
      <c r="W114" s="155">
        <f t="shared" si="25"/>
        <v>0.20999999999999996</v>
      </c>
      <c r="X114" s="235">
        <f t="shared" si="25"/>
        <v>0.24</v>
      </c>
      <c r="Y114" s="155">
        <f t="shared" si="25"/>
        <v>0.24</v>
      </c>
      <c r="Z114" s="155">
        <f t="shared" si="25"/>
        <v>0.22999999999999998</v>
      </c>
      <c r="AA114" s="155">
        <f t="shared" si="25"/>
        <v>0.22999999999999998</v>
      </c>
      <c r="AB114" s="235">
        <f t="shared" si="25"/>
        <v>0.25</v>
      </c>
      <c r="AC114" s="155">
        <f t="shared" si="25"/>
        <v>0.28000000000000003</v>
      </c>
      <c r="AD114" s="155">
        <f t="shared" si="25"/>
        <v>0.18000000000000005</v>
      </c>
      <c r="AE114" s="155">
        <f t="shared" si="25"/>
        <v>0.21999999999999997</v>
      </c>
      <c r="AF114" s="235">
        <f t="shared" si="25"/>
        <v>0.24</v>
      </c>
      <c r="AG114" s="155">
        <f t="shared" si="25"/>
        <v>0.22999999999999998</v>
      </c>
      <c r="AH114" s="155">
        <f t="shared" si="25"/>
        <v>0.27</v>
      </c>
      <c r="AI114" s="155">
        <f t="shared" si="25"/>
        <v>0.18999999999999995</v>
      </c>
      <c r="AJ114" s="235">
        <f t="shared" si="25"/>
        <v>0.20999999999999996</v>
      </c>
      <c r="AK114" s="155">
        <f t="shared" si="25"/>
        <v>0.18000000000000005</v>
      </c>
      <c r="AL114" s="155">
        <f t="shared" si="25"/>
        <v>0.18999999999999995</v>
      </c>
      <c r="AM114" s="155">
        <f t="shared" si="25"/>
        <v>0.14000000000000001</v>
      </c>
      <c r="AN114" s="235">
        <f t="shared" si="25"/>
        <v>0.16000000000000003</v>
      </c>
      <c r="AO114" s="155">
        <f t="shared" si="25"/>
        <v>0.20999999999999996</v>
      </c>
      <c r="AP114" s="155">
        <f t="shared" si="25"/>
        <v>0.22999999999999998</v>
      </c>
      <c r="AQ114" s="155">
        <f t="shared" si="25"/>
        <v>0.21999999999999997</v>
      </c>
      <c r="AR114" s="235">
        <v>0.22</v>
      </c>
      <c r="AS114" s="155">
        <v>0.22</v>
      </c>
      <c r="AT114" s="155">
        <v>0.21</v>
      </c>
      <c r="AU114" s="155">
        <v>0.22</v>
      </c>
      <c r="AV114" s="136"/>
      <c r="AW114" s="136"/>
    </row>
    <row r="115" spans="1:49" ht="12.75" x14ac:dyDescent="0.2">
      <c r="A115" s="107"/>
      <c r="B115" s="90"/>
      <c r="C115" s="90"/>
      <c r="D115" s="90"/>
      <c r="E115" s="90"/>
      <c r="F115" s="90"/>
      <c r="G115" s="90"/>
      <c r="H115" s="90"/>
      <c r="I115" s="90"/>
      <c r="J115" s="90"/>
      <c r="K115" s="90"/>
      <c r="L115" s="90"/>
      <c r="M115" s="90"/>
      <c r="N115" s="90"/>
      <c r="O115" s="90"/>
      <c r="P115" s="93"/>
      <c r="Q115" s="90"/>
      <c r="R115" s="90"/>
      <c r="S115" s="90"/>
      <c r="T115" s="93"/>
      <c r="U115" s="90"/>
      <c r="V115" s="90"/>
      <c r="W115" s="90"/>
      <c r="X115" s="93"/>
      <c r="Y115" s="90"/>
      <c r="Z115" s="90"/>
      <c r="AA115" s="90"/>
      <c r="AB115" s="93"/>
      <c r="AC115" s="90"/>
      <c r="AD115" s="90"/>
      <c r="AE115" s="90"/>
      <c r="AF115" s="93"/>
      <c r="AG115" s="90"/>
      <c r="AH115" s="90"/>
      <c r="AI115" s="90"/>
      <c r="AJ115" s="93"/>
      <c r="AK115" s="90"/>
      <c r="AL115" s="155"/>
      <c r="AM115" s="155"/>
      <c r="AN115" s="93"/>
      <c r="AO115" s="90"/>
      <c r="AP115" s="90"/>
      <c r="AQ115" s="90"/>
      <c r="AR115" s="93"/>
      <c r="AS115" s="90"/>
      <c r="AT115" s="90"/>
      <c r="AU115" s="90"/>
    </row>
    <row r="116" spans="1:49" ht="12.75" x14ac:dyDescent="0.2">
      <c r="A116" s="90" t="s">
        <v>348</v>
      </c>
      <c r="B116" s="90"/>
      <c r="C116" s="90"/>
      <c r="D116" s="90"/>
      <c r="E116" s="90"/>
      <c r="F116" s="90"/>
      <c r="G116" s="90"/>
      <c r="H116" s="90"/>
      <c r="I116" s="90"/>
      <c r="J116" s="90"/>
      <c r="K116" s="90"/>
      <c r="L116" s="90"/>
      <c r="M116" s="90"/>
      <c r="N116" s="90"/>
      <c r="O116" s="90"/>
      <c r="P116" s="93"/>
      <c r="Q116" s="90"/>
      <c r="R116" s="90"/>
      <c r="S116" s="90"/>
      <c r="T116" s="93"/>
      <c r="U116" s="90"/>
      <c r="V116" s="90"/>
      <c r="W116" s="90"/>
      <c r="X116" s="93"/>
      <c r="Y116" s="90"/>
      <c r="Z116" s="90"/>
      <c r="AA116" s="90"/>
      <c r="AB116" s="93"/>
      <c r="AC116" s="90"/>
      <c r="AD116" s="90"/>
      <c r="AE116" s="90"/>
      <c r="AF116" s="93"/>
      <c r="AG116" s="90"/>
      <c r="AH116" s="90"/>
      <c r="AI116" s="90"/>
      <c r="AJ116" s="93"/>
      <c r="AK116" s="90"/>
      <c r="AL116" s="155"/>
      <c r="AM116" s="155"/>
      <c r="AN116" s="93"/>
      <c r="AO116" s="90"/>
      <c r="AP116" s="90"/>
      <c r="AQ116" s="90"/>
      <c r="AR116" s="93"/>
      <c r="AS116" s="90"/>
      <c r="AT116" s="90"/>
      <c r="AU116" s="90"/>
    </row>
    <row r="117" spans="1:49" ht="12.75" x14ac:dyDescent="0.2">
      <c r="A117" s="90" t="s">
        <v>349</v>
      </c>
      <c r="B117" s="195"/>
      <c r="C117" s="195"/>
      <c r="D117" s="195"/>
      <c r="E117" s="269"/>
      <c r="F117" s="90"/>
      <c r="G117" s="90"/>
      <c r="H117" s="90"/>
      <c r="I117" s="90"/>
      <c r="J117" s="90"/>
      <c r="K117" s="195"/>
      <c r="L117" s="90"/>
      <c r="M117" s="195"/>
      <c r="N117" s="195"/>
      <c r="O117" s="195"/>
      <c r="P117" s="93"/>
      <c r="Q117" s="195"/>
      <c r="R117" s="195"/>
      <c r="S117" s="195"/>
      <c r="T117" s="93"/>
      <c r="U117" s="195"/>
      <c r="V117" s="195"/>
      <c r="W117" s="195"/>
      <c r="X117" s="93"/>
      <c r="Y117" s="195"/>
      <c r="Z117" s="195"/>
      <c r="AA117" s="195"/>
      <c r="AB117" s="93"/>
      <c r="AC117" s="195"/>
      <c r="AD117" s="195"/>
      <c r="AE117" s="195"/>
      <c r="AF117" s="93"/>
      <c r="AG117" s="195"/>
      <c r="AH117" s="195"/>
      <c r="AI117" s="270"/>
      <c r="AJ117" s="271"/>
      <c r="AK117" s="270"/>
      <c r="AL117" s="270"/>
      <c r="AM117" s="270"/>
      <c r="AN117" s="93"/>
      <c r="AO117" s="270"/>
      <c r="AP117" s="195"/>
      <c r="AQ117" s="195"/>
      <c r="AR117" s="93"/>
      <c r="AS117" s="270"/>
      <c r="AT117" s="195"/>
      <c r="AU117" s="195"/>
    </row>
  </sheetData>
  <hyperlinks>
    <hyperlink ref="A2" location="'START PAGE'!A1" display="Back to start page" xr:uid="{68C6500E-8888-45D4-AAFA-46E9736D52C1}"/>
  </hyperlinks>
  <pageMargins left="0.7" right="0.7" top="0.75" bottom="0.75" header="0.3" footer="0.3"/>
  <pageSetup paperSize="9" scale="4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V169"/>
  <sheetViews>
    <sheetView showGridLines="0" workbookViewId="0"/>
  </sheetViews>
  <sheetFormatPr defaultColWidth="10" defaultRowHeight="13.35" customHeight="1" x14ac:dyDescent="0.2"/>
  <cols>
    <col min="1" max="1" width="65.42578125" customWidth="1"/>
    <col min="2" max="5" width="8.42578125" bestFit="1" customWidth="1"/>
    <col min="6" max="7" width="10.85546875" bestFit="1" customWidth="1"/>
    <col min="8" max="8" width="11.140625" bestFit="1" customWidth="1"/>
    <col min="9" max="9" width="11.5703125" customWidth="1"/>
    <col min="10" max="10" width="10.85546875" bestFit="1" customWidth="1"/>
    <col min="11" max="11" width="13.140625" customWidth="1"/>
    <col min="12" max="12" width="11.140625" bestFit="1" customWidth="1"/>
    <col min="13" max="13" width="5.85546875" customWidth="1"/>
    <col min="14" max="16" width="6.140625" customWidth="1"/>
    <col min="17" max="18" width="6.85546875" customWidth="1"/>
    <col min="19" max="19" width="6.140625" customWidth="1"/>
    <col min="20" max="24" width="6.85546875" customWidth="1"/>
    <col min="25" max="28" width="6.140625" customWidth="1"/>
    <col min="29" max="31" width="6.85546875" customWidth="1"/>
    <col min="32" max="32" width="6.140625" customWidth="1"/>
    <col min="33" max="35" width="6.85546875" customWidth="1"/>
    <col min="36" max="36" width="6.140625" bestFit="1" customWidth="1"/>
    <col min="37" max="47" width="6.85546875" customWidth="1"/>
    <col min="48" max="48" width="10" customWidth="1"/>
  </cols>
  <sheetData>
    <row r="1" spans="1:48" ht="16.5" thickBot="1" x14ac:dyDescent="0.3">
      <c r="A1" s="1" t="s">
        <v>350</v>
      </c>
      <c r="B1" s="88" t="s">
        <v>127</v>
      </c>
      <c r="C1" s="89"/>
      <c r="D1" s="89"/>
      <c r="E1" s="89"/>
      <c r="F1" s="89"/>
      <c r="G1" s="89"/>
      <c r="H1" s="89"/>
      <c r="I1" s="89"/>
      <c r="J1" s="89"/>
      <c r="K1" s="89"/>
      <c r="L1" s="90"/>
      <c r="M1" s="88" t="s">
        <v>128</v>
      </c>
      <c r="N1" s="89"/>
      <c r="O1" s="89"/>
      <c r="P1" s="91"/>
      <c r="Q1" s="89"/>
      <c r="R1" s="89"/>
      <c r="S1" s="89"/>
      <c r="T1" s="91"/>
      <c r="U1" s="89"/>
      <c r="V1" s="89"/>
      <c r="W1" s="89"/>
      <c r="X1" s="91"/>
      <c r="Y1" s="89"/>
      <c r="Z1" s="89"/>
      <c r="AA1" s="89"/>
      <c r="AB1" s="91"/>
      <c r="AC1" s="89"/>
      <c r="AD1" s="89"/>
      <c r="AE1" s="89"/>
      <c r="AF1" s="91"/>
      <c r="AG1" s="89"/>
      <c r="AH1" s="89"/>
      <c r="AI1" s="89"/>
      <c r="AJ1" s="91"/>
      <c r="AK1" s="89"/>
      <c r="AL1" s="89"/>
      <c r="AM1" s="89"/>
      <c r="AN1" s="91"/>
      <c r="AO1" s="89"/>
      <c r="AP1" s="89"/>
      <c r="AQ1" s="89"/>
      <c r="AR1" s="91"/>
      <c r="AS1" s="89"/>
      <c r="AT1" s="89"/>
      <c r="AU1" s="89"/>
    </row>
    <row r="2" spans="1:48" ht="14.25" thickTop="1" thickBot="1" x14ac:dyDescent="0.25">
      <c r="A2" s="19" t="s">
        <v>32</v>
      </c>
      <c r="B2" s="272"/>
      <c r="C2" s="272"/>
      <c r="D2" s="272"/>
      <c r="E2" s="272"/>
      <c r="F2" s="272"/>
      <c r="G2" s="272"/>
      <c r="H2" s="272"/>
      <c r="I2" s="273" t="s">
        <v>294</v>
      </c>
      <c r="J2" s="272"/>
      <c r="K2" s="272"/>
      <c r="L2" s="272"/>
      <c r="M2" s="272"/>
      <c r="N2" s="272"/>
      <c r="O2" s="272"/>
      <c r="P2" s="274"/>
      <c r="Q2" s="272"/>
      <c r="R2" s="272"/>
      <c r="S2" s="272"/>
      <c r="T2" s="274"/>
      <c r="U2" s="272"/>
      <c r="V2" s="272"/>
      <c r="W2" s="272"/>
      <c r="X2" s="274"/>
      <c r="Y2" s="272"/>
      <c r="Z2" s="272"/>
      <c r="AA2" s="272"/>
      <c r="AB2" s="274"/>
      <c r="AC2" s="272"/>
      <c r="AD2" s="272"/>
      <c r="AE2" s="272"/>
      <c r="AF2" s="274"/>
      <c r="AG2" s="273" t="s">
        <v>294</v>
      </c>
      <c r="AH2" s="272"/>
      <c r="AI2" s="272"/>
      <c r="AJ2" s="274"/>
      <c r="AK2" s="272"/>
      <c r="AL2" s="272"/>
      <c r="AM2" s="272"/>
      <c r="AN2" s="274"/>
      <c r="AO2" s="272"/>
      <c r="AP2" s="272"/>
      <c r="AQ2" s="272"/>
      <c r="AR2" s="274"/>
      <c r="AS2" s="272"/>
      <c r="AT2" s="272"/>
      <c r="AU2" s="272"/>
    </row>
    <row r="3" spans="1:48" ht="13.5" thickTop="1" x14ac:dyDescent="0.2">
      <c r="A3" s="275" t="s">
        <v>351</v>
      </c>
      <c r="B3" s="276">
        <v>2015</v>
      </c>
      <c r="C3" s="276">
        <v>2016</v>
      </c>
      <c r="D3" s="277">
        <v>2017</v>
      </c>
      <c r="E3" s="277">
        <v>2018</v>
      </c>
      <c r="F3" s="277">
        <v>2019</v>
      </c>
      <c r="G3" s="277">
        <v>2020</v>
      </c>
      <c r="H3" s="277">
        <v>2021</v>
      </c>
      <c r="I3" s="277">
        <v>2022</v>
      </c>
      <c r="J3" s="277">
        <v>2023</v>
      </c>
      <c r="K3" s="277">
        <v>2024</v>
      </c>
      <c r="L3" s="272"/>
      <c r="M3" s="129" t="s">
        <v>267</v>
      </c>
      <c r="N3" s="129" t="s">
        <v>268</v>
      </c>
      <c r="O3" s="129" t="s">
        <v>269</v>
      </c>
      <c r="P3" s="130" t="s">
        <v>270</v>
      </c>
      <c r="Q3" s="129" t="s">
        <v>131</v>
      </c>
      <c r="R3" s="129" t="s">
        <v>132</v>
      </c>
      <c r="S3" s="129" t="s">
        <v>133</v>
      </c>
      <c r="T3" s="130" t="s">
        <v>134</v>
      </c>
      <c r="U3" s="129" t="s">
        <v>135</v>
      </c>
      <c r="V3" s="129" t="s">
        <v>136</v>
      </c>
      <c r="W3" s="129" t="s">
        <v>137</v>
      </c>
      <c r="X3" s="130" t="s">
        <v>138</v>
      </c>
      <c r="Y3" s="129" t="s">
        <v>139</v>
      </c>
      <c r="Z3" s="129" t="s">
        <v>140</v>
      </c>
      <c r="AA3" s="129" t="s">
        <v>141</v>
      </c>
      <c r="AB3" s="130" t="s">
        <v>142</v>
      </c>
      <c r="AC3" s="129" t="s">
        <v>143</v>
      </c>
      <c r="AD3" s="129" t="s">
        <v>144</v>
      </c>
      <c r="AE3" s="129" t="s">
        <v>145</v>
      </c>
      <c r="AF3" s="130" t="s">
        <v>146</v>
      </c>
      <c r="AG3" s="129" t="s">
        <v>147</v>
      </c>
      <c r="AH3" s="129" t="s">
        <v>148</v>
      </c>
      <c r="AI3" s="129" t="s">
        <v>149</v>
      </c>
      <c r="AJ3" s="130" t="s">
        <v>150</v>
      </c>
      <c r="AK3" s="129" t="s">
        <v>151</v>
      </c>
      <c r="AL3" s="129" t="s">
        <v>152</v>
      </c>
      <c r="AM3" s="129" t="s">
        <v>153</v>
      </c>
      <c r="AN3" s="130" t="s">
        <v>154</v>
      </c>
      <c r="AO3" s="129" t="s">
        <v>155</v>
      </c>
      <c r="AP3" s="129" t="s">
        <v>156</v>
      </c>
      <c r="AQ3" s="129" t="s">
        <v>157</v>
      </c>
      <c r="AR3" s="130" t="s">
        <v>158</v>
      </c>
      <c r="AS3" s="129" t="s">
        <v>159</v>
      </c>
      <c r="AT3" s="129" t="s">
        <v>160</v>
      </c>
      <c r="AU3" s="129" t="s">
        <v>161</v>
      </c>
    </row>
    <row r="4" spans="1:48" ht="12.75" x14ac:dyDescent="0.2">
      <c r="A4" s="272" t="s">
        <v>352</v>
      </c>
      <c r="B4" s="277"/>
      <c r="C4" s="277"/>
      <c r="D4" s="277"/>
      <c r="E4" s="277"/>
      <c r="F4" s="277"/>
      <c r="G4" s="277"/>
      <c r="H4" s="277"/>
      <c r="I4" s="277"/>
      <c r="J4" s="277"/>
      <c r="K4" s="277"/>
      <c r="L4" s="272"/>
      <c r="M4" s="277"/>
      <c r="N4" s="277"/>
      <c r="O4" s="277"/>
      <c r="P4" s="278"/>
      <c r="Q4" s="277"/>
      <c r="R4" s="277"/>
      <c r="S4" s="277"/>
      <c r="T4" s="278"/>
      <c r="U4" s="277"/>
      <c r="V4" s="277"/>
      <c r="W4" s="277"/>
      <c r="X4" s="278"/>
      <c r="Y4" s="277"/>
      <c r="Z4" s="277"/>
      <c r="AA4" s="277"/>
      <c r="AB4" s="278"/>
      <c r="AC4" s="277"/>
      <c r="AD4" s="277"/>
      <c r="AE4" s="277"/>
      <c r="AF4" s="278"/>
      <c r="AG4" s="277"/>
      <c r="AH4" s="277"/>
      <c r="AI4" s="277"/>
      <c r="AJ4" s="278"/>
      <c r="AK4" s="279" t="s">
        <v>353</v>
      </c>
      <c r="AL4" s="277"/>
      <c r="AM4" s="277"/>
      <c r="AN4" s="278"/>
      <c r="AO4" s="277"/>
      <c r="AP4" s="277"/>
      <c r="AQ4" s="277"/>
      <c r="AR4" s="278"/>
      <c r="AS4" s="277"/>
      <c r="AT4" s="277"/>
      <c r="AU4" s="277"/>
    </row>
    <row r="5" spans="1:48" ht="12.75" x14ac:dyDescent="0.2">
      <c r="A5" s="280" t="s">
        <v>354</v>
      </c>
      <c r="B5" s="281">
        <v>27551</v>
      </c>
      <c r="C5" s="281">
        <v>27634</v>
      </c>
      <c r="D5" s="281">
        <v>33831</v>
      </c>
      <c r="E5" s="281">
        <v>39400</v>
      </c>
      <c r="F5" s="281">
        <v>39492</v>
      </c>
      <c r="G5" s="281">
        <v>36579</v>
      </c>
      <c r="H5" s="281">
        <v>45648</v>
      </c>
      <c r="I5" s="281">
        <v>53222</v>
      </c>
      <c r="J5" s="281">
        <v>59332</v>
      </c>
      <c r="K5" s="281">
        <v>62213</v>
      </c>
      <c r="L5" s="282"/>
      <c r="M5" s="281">
        <v>8520</v>
      </c>
      <c r="N5" s="281">
        <v>8662</v>
      </c>
      <c r="O5" s="281">
        <v>8591</v>
      </c>
      <c r="P5" s="283">
        <v>8058</v>
      </c>
      <c r="Q5" s="281">
        <v>10036</v>
      </c>
      <c r="R5" s="281">
        <v>10483</v>
      </c>
      <c r="S5" s="281">
        <v>9413</v>
      </c>
      <c r="T5" s="283">
        <v>9468</v>
      </c>
      <c r="U5" s="281">
        <v>10063</v>
      </c>
      <c r="V5" s="281">
        <v>10553</v>
      </c>
      <c r="W5" s="281">
        <v>9600</v>
      </c>
      <c r="X5" s="283">
        <v>9276</v>
      </c>
      <c r="Y5" s="281">
        <v>9772</v>
      </c>
      <c r="Z5" s="281">
        <v>8105</v>
      </c>
      <c r="AA5" s="281">
        <v>9373</v>
      </c>
      <c r="AB5" s="283">
        <v>9329</v>
      </c>
      <c r="AC5" s="281">
        <v>10690</v>
      </c>
      <c r="AD5" s="281">
        <v>11070</v>
      </c>
      <c r="AE5" s="281">
        <v>12245</v>
      </c>
      <c r="AF5" s="283">
        <v>11643</v>
      </c>
      <c r="AG5" s="281">
        <v>13818</v>
      </c>
      <c r="AH5" s="281">
        <v>13377</v>
      </c>
      <c r="AI5" s="281">
        <v>12322</v>
      </c>
      <c r="AJ5" s="283">
        <v>13705</v>
      </c>
      <c r="AK5" s="281">
        <v>15148</v>
      </c>
      <c r="AL5" s="281">
        <v>15436</v>
      </c>
      <c r="AM5" s="281">
        <v>14360</v>
      </c>
      <c r="AN5" s="283">
        <v>14388</v>
      </c>
      <c r="AO5" s="281">
        <v>14162</v>
      </c>
      <c r="AP5" s="281">
        <v>16349</v>
      </c>
      <c r="AQ5" s="281">
        <v>15520</v>
      </c>
      <c r="AR5" s="283">
        <v>16182</v>
      </c>
      <c r="AS5" s="281">
        <v>16586</v>
      </c>
      <c r="AT5" s="281">
        <v>15276</v>
      </c>
      <c r="AU5" s="281">
        <v>15142</v>
      </c>
    </row>
    <row r="6" spans="1:48" ht="12.75" x14ac:dyDescent="0.2">
      <c r="A6" s="272" t="s">
        <v>355</v>
      </c>
      <c r="B6" s="284">
        <v>6501</v>
      </c>
      <c r="C6" s="284">
        <v>6375</v>
      </c>
      <c r="D6" s="284">
        <v>7613</v>
      </c>
      <c r="E6" s="284">
        <v>8812</v>
      </c>
      <c r="F6" s="284">
        <v>8744</v>
      </c>
      <c r="G6" s="284">
        <v>7693</v>
      </c>
      <c r="H6" s="284">
        <v>10585</v>
      </c>
      <c r="I6" s="284">
        <v>13696</v>
      </c>
      <c r="J6" s="284">
        <v>14760</v>
      </c>
      <c r="K6" s="284">
        <v>16970</v>
      </c>
      <c r="L6" s="284"/>
      <c r="M6" s="284">
        <v>1967</v>
      </c>
      <c r="N6" s="284">
        <v>2092</v>
      </c>
      <c r="O6" s="284">
        <v>1897</v>
      </c>
      <c r="P6" s="285">
        <v>1657</v>
      </c>
      <c r="Q6" s="284">
        <v>2176</v>
      </c>
      <c r="R6" s="284">
        <v>2076</v>
      </c>
      <c r="S6" s="284">
        <v>2180</v>
      </c>
      <c r="T6" s="285">
        <v>2379</v>
      </c>
      <c r="U6" s="284">
        <v>2160</v>
      </c>
      <c r="V6" s="284">
        <v>2262</v>
      </c>
      <c r="W6" s="284">
        <v>2360</v>
      </c>
      <c r="X6" s="285">
        <v>1962</v>
      </c>
      <c r="Y6" s="284">
        <v>2168</v>
      </c>
      <c r="Z6" s="284">
        <v>1654</v>
      </c>
      <c r="AA6" s="284">
        <v>2002</v>
      </c>
      <c r="AB6" s="285">
        <v>1869</v>
      </c>
      <c r="AC6" s="284">
        <v>2226</v>
      </c>
      <c r="AD6" s="284">
        <v>2542</v>
      </c>
      <c r="AE6" s="284">
        <v>2974</v>
      </c>
      <c r="AF6" s="285">
        <v>2843</v>
      </c>
      <c r="AG6" s="284">
        <v>3358</v>
      </c>
      <c r="AH6" s="284">
        <v>3753</v>
      </c>
      <c r="AI6" s="284">
        <v>3438</v>
      </c>
      <c r="AJ6" s="285">
        <v>3147</v>
      </c>
      <c r="AK6" s="284">
        <v>3608</v>
      </c>
      <c r="AL6" s="284">
        <v>3651</v>
      </c>
      <c r="AM6" s="284">
        <v>3825</v>
      </c>
      <c r="AN6" s="285">
        <v>3676</v>
      </c>
      <c r="AO6" s="284">
        <v>3611</v>
      </c>
      <c r="AP6" s="284">
        <v>4734</v>
      </c>
      <c r="AQ6" s="284">
        <v>4087</v>
      </c>
      <c r="AR6" s="285">
        <v>4538</v>
      </c>
      <c r="AS6" s="284">
        <v>5180</v>
      </c>
      <c r="AT6" s="284">
        <v>4432</v>
      </c>
      <c r="AU6" s="284">
        <v>4122</v>
      </c>
      <c r="AV6" s="178"/>
    </row>
    <row r="7" spans="1:48" ht="12.75" x14ac:dyDescent="0.2">
      <c r="A7" s="272" t="s">
        <v>356</v>
      </c>
      <c r="B7" s="284">
        <v>3719</v>
      </c>
      <c r="C7" s="284">
        <v>3769</v>
      </c>
      <c r="D7" s="284">
        <v>4723</v>
      </c>
      <c r="E7" s="284">
        <v>6225</v>
      </c>
      <c r="F7" s="284">
        <v>5396</v>
      </c>
      <c r="G7" s="284">
        <v>4880</v>
      </c>
      <c r="H7" s="284">
        <v>5575</v>
      </c>
      <c r="I7" s="284">
        <v>7532</v>
      </c>
      <c r="J7" s="284">
        <v>8433</v>
      </c>
      <c r="K7" s="284">
        <v>7826</v>
      </c>
      <c r="L7" s="284"/>
      <c r="M7" s="284">
        <v>1167</v>
      </c>
      <c r="N7" s="284">
        <v>1189</v>
      </c>
      <c r="O7" s="284">
        <v>1105</v>
      </c>
      <c r="P7" s="285">
        <v>1262</v>
      </c>
      <c r="Q7" s="284">
        <v>1488</v>
      </c>
      <c r="R7" s="284">
        <v>1844</v>
      </c>
      <c r="S7" s="284">
        <v>1236</v>
      </c>
      <c r="T7" s="285">
        <v>1657</v>
      </c>
      <c r="U7" s="284">
        <v>1344</v>
      </c>
      <c r="V7" s="284">
        <v>1481</v>
      </c>
      <c r="W7" s="284">
        <v>1451</v>
      </c>
      <c r="X7" s="285">
        <v>1120</v>
      </c>
      <c r="Y7" s="284">
        <v>1284</v>
      </c>
      <c r="Z7" s="284">
        <v>1175</v>
      </c>
      <c r="AA7" s="284">
        <v>1157</v>
      </c>
      <c r="AB7" s="285">
        <v>1264</v>
      </c>
      <c r="AC7" s="284">
        <v>1177</v>
      </c>
      <c r="AD7" s="284">
        <v>1420</v>
      </c>
      <c r="AE7" s="284">
        <v>1480</v>
      </c>
      <c r="AF7" s="285">
        <v>1498</v>
      </c>
      <c r="AG7" s="284">
        <v>1687</v>
      </c>
      <c r="AH7" s="284">
        <v>1892</v>
      </c>
      <c r="AI7" s="284">
        <v>1851</v>
      </c>
      <c r="AJ7" s="285">
        <v>2102</v>
      </c>
      <c r="AK7" s="284">
        <v>1803</v>
      </c>
      <c r="AL7" s="284">
        <v>2257</v>
      </c>
      <c r="AM7" s="284">
        <v>1937</v>
      </c>
      <c r="AN7" s="285">
        <v>2436</v>
      </c>
      <c r="AO7" s="284">
        <v>2023</v>
      </c>
      <c r="AP7" s="284">
        <v>1690</v>
      </c>
      <c r="AQ7" s="284">
        <v>2147</v>
      </c>
      <c r="AR7" s="285">
        <v>1966</v>
      </c>
      <c r="AS7" s="284">
        <v>2020</v>
      </c>
      <c r="AT7" s="284">
        <v>2042</v>
      </c>
      <c r="AU7" s="284">
        <v>2133</v>
      </c>
      <c r="AV7" s="178"/>
    </row>
    <row r="8" spans="1:48" ht="12.75" x14ac:dyDescent="0.2">
      <c r="A8" s="272" t="s">
        <v>357</v>
      </c>
      <c r="B8" s="284">
        <v>6743</v>
      </c>
      <c r="C8" s="284">
        <v>6850</v>
      </c>
      <c r="D8" s="284">
        <v>8404</v>
      </c>
      <c r="E8" s="284">
        <v>9349</v>
      </c>
      <c r="F8" s="284">
        <v>9057</v>
      </c>
      <c r="G8" s="284">
        <v>8574</v>
      </c>
      <c r="H8" s="284">
        <v>10573</v>
      </c>
      <c r="I8" s="284">
        <v>7459</v>
      </c>
      <c r="J8" s="284">
        <v>7774</v>
      </c>
      <c r="K8" s="284">
        <v>8268</v>
      </c>
      <c r="L8" s="284"/>
      <c r="M8" s="284">
        <v>2246</v>
      </c>
      <c r="N8" s="284">
        <v>2190</v>
      </c>
      <c r="O8" s="284">
        <v>1937</v>
      </c>
      <c r="P8" s="285">
        <v>2031</v>
      </c>
      <c r="Q8" s="284">
        <v>2488</v>
      </c>
      <c r="R8" s="284">
        <v>2503</v>
      </c>
      <c r="S8" s="284">
        <v>2388</v>
      </c>
      <c r="T8" s="285">
        <v>1969</v>
      </c>
      <c r="U8" s="284">
        <v>2430</v>
      </c>
      <c r="V8" s="284">
        <v>2399</v>
      </c>
      <c r="W8" s="284">
        <v>2063</v>
      </c>
      <c r="X8" s="285">
        <v>2165</v>
      </c>
      <c r="Y8" s="284">
        <v>2381</v>
      </c>
      <c r="Z8" s="284">
        <v>1891</v>
      </c>
      <c r="AA8" s="284">
        <v>2092</v>
      </c>
      <c r="AB8" s="285">
        <v>2210</v>
      </c>
      <c r="AC8" s="284">
        <v>2623</v>
      </c>
      <c r="AD8" s="284">
        <v>2612</v>
      </c>
      <c r="AE8" s="284">
        <v>2577</v>
      </c>
      <c r="AF8" s="285">
        <v>2761</v>
      </c>
      <c r="AG8" s="284">
        <v>3100</v>
      </c>
      <c r="AH8" s="284">
        <v>1742</v>
      </c>
      <c r="AI8" s="284">
        <v>601</v>
      </c>
      <c r="AJ8" s="285">
        <v>2016</v>
      </c>
      <c r="AK8" s="284">
        <v>2304</v>
      </c>
      <c r="AL8" s="284">
        <v>2120</v>
      </c>
      <c r="AM8" s="284">
        <v>1589</v>
      </c>
      <c r="AN8" s="285">
        <v>1761</v>
      </c>
      <c r="AO8" s="284">
        <v>2191</v>
      </c>
      <c r="AP8" s="284">
        <v>2327</v>
      </c>
      <c r="AQ8" s="284">
        <v>1836</v>
      </c>
      <c r="AR8" s="285">
        <v>1914</v>
      </c>
      <c r="AS8" s="284">
        <v>2460</v>
      </c>
      <c r="AT8" s="284">
        <v>2108</v>
      </c>
      <c r="AU8" s="284">
        <v>2053</v>
      </c>
      <c r="AV8" s="178"/>
    </row>
    <row r="9" spans="1:48" ht="12.75" x14ac:dyDescent="0.2">
      <c r="A9" s="272" t="s">
        <v>358</v>
      </c>
      <c r="B9" s="284">
        <v>4374</v>
      </c>
      <c r="C9" s="284">
        <v>3857</v>
      </c>
      <c r="D9" s="284">
        <v>4582</v>
      </c>
      <c r="E9" s="284">
        <v>5446</v>
      </c>
      <c r="F9" s="284">
        <v>5468</v>
      </c>
      <c r="G9" s="284">
        <v>5058</v>
      </c>
      <c r="H9" s="284">
        <v>6470</v>
      </c>
      <c r="I9" s="284">
        <v>8299</v>
      </c>
      <c r="J9" s="284">
        <v>10385</v>
      </c>
      <c r="K9" s="284">
        <v>10262</v>
      </c>
      <c r="L9" s="284"/>
      <c r="M9" s="284">
        <v>1033</v>
      </c>
      <c r="N9" s="284">
        <v>990</v>
      </c>
      <c r="O9" s="284">
        <v>1339</v>
      </c>
      <c r="P9" s="285">
        <v>1220</v>
      </c>
      <c r="Q9" s="284">
        <v>1478</v>
      </c>
      <c r="R9" s="284">
        <v>1518</v>
      </c>
      <c r="S9" s="284">
        <v>1191</v>
      </c>
      <c r="T9" s="285">
        <v>1260</v>
      </c>
      <c r="U9" s="284">
        <v>1311</v>
      </c>
      <c r="V9" s="284">
        <v>1409</v>
      </c>
      <c r="W9" s="284">
        <v>1274</v>
      </c>
      <c r="X9" s="285">
        <v>1474</v>
      </c>
      <c r="Y9" s="284">
        <v>1409</v>
      </c>
      <c r="Z9" s="284">
        <v>943</v>
      </c>
      <c r="AA9" s="284">
        <v>1411</v>
      </c>
      <c r="AB9" s="285">
        <v>1295</v>
      </c>
      <c r="AC9" s="284">
        <v>1629</v>
      </c>
      <c r="AD9" s="284">
        <v>1495</v>
      </c>
      <c r="AE9" s="284">
        <v>1793</v>
      </c>
      <c r="AF9" s="285">
        <v>1553</v>
      </c>
      <c r="AG9" s="284">
        <v>2125</v>
      </c>
      <c r="AH9" s="284">
        <v>1962</v>
      </c>
      <c r="AI9" s="284">
        <v>2312</v>
      </c>
      <c r="AJ9" s="285">
        <v>1900</v>
      </c>
      <c r="AK9" s="284">
        <v>2561</v>
      </c>
      <c r="AL9" s="284">
        <v>2885</v>
      </c>
      <c r="AM9" s="284">
        <v>2919</v>
      </c>
      <c r="AN9" s="285">
        <v>2020</v>
      </c>
      <c r="AO9" s="284">
        <v>2094</v>
      </c>
      <c r="AP9" s="284">
        <v>2635</v>
      </c>
      <c r="AQ9" s="284">
        <v>2597</v>
      </c>
      <c r="AR9" s="285">
        <v>2936</v>
      </c>
      <c r="AS9" s="284">
        <v>2345</v>
      </c>
      <c r="AT9" s="284">
        <v>2430</v>
      </c>
      <c r="AU9" s="284">
        <v>2858</v>
      </c>
      <c r="AV9" s="178"/>
    </row>
    <row r="10" spans="1:48" ht="12.75" x14ac:dyDescent="0.2">
      <c r="A10" s="272" t="s">
        <v>359</v>
      </c>
      <c r="B10" s="284">
        <v>6214</v>
      </c>
      <c r="C10" s="284">
        <v>6783</v>
      </c>
      <c r="D10" s="284">
        <v>8509</v>
      </c>
      <c r="E10" s="284">
        <v>9568</v>
      </c>
      <c r="F10" s="284">
        <v>10827</v>
      </c>
      <c r="G10" s="284">
        <v>10374</v>
      </c>
      <c r="H10" s="284">
        <v>12445</v>
      </c>
      <c r="I10" s="284">
        <v>16236</v>
      </c>
      <c r="J10" s="284">
        <v>17980</v>
      </c>
      <c r="K10" s="284">
        <v>18887</v>
      </c>
      <c r="L10" s="284"/>
      <c r="M10" s="284">
        <v>2107</v>
      </c>
      <c r="N10" s="284">
        <v>2201</v>
      </c>
      <c r="O10" s="284">
        <v>2313</v>
      </c>
      <c r="P10" s="285">
        <v>1888</v>
      </c>
      <c r="Q10" s="284">
        <v>2406</v>
      </c>
      <c r="R10" s="284">
        <v>2542</v>
      </c>
      <c r="S10" s="284">
        <v>2418</v>
      </c>
      <c r="T10" s="285">
        <v>2203</v>
      </c>
      <c r="U10" s="284">
        <v>2818</v>
      </c>
      <c r="V10" s="284">
        <v>3002</v>
      </c>
      <c r="W10" s="284">
        <v>2452</v>
      </c>
      <c r="X10" s="285">
        <v>2555</v>
      </c>
      <c r="Y10" s="284">
        <v>2530</v>
      </c>
      <c r="Z10" s="284">
        <v>2442</v>
      </c>
      <c r="AA10" s="284">
        <v>2711</v>
      </c>
      <c r="AB10" s="285">
        <v>2691</v>
      </c>
      <c r="AC10" s="284">
        <v>3035</v>
      </c>
      <c r="AD10" s="284">
        <v>3001</v>
      </c>
      <c r="AE10" s="284">
        <v>3421</v>
      </c>
      <c r="AF10" s="285">
        <v>2988</v>
      </c>
      <c r="AG10" s="284">
        <v>3548</v>
      </c>
      <c r="AH10" s="284">
        <v>4028</v>
      </c>
      <c r="AI10" s="284">
        <v>4120</v>
      </c>
      <c r="AJ10" s="285">
        <v>4540</v>
      </c>
      <c r="AK10" s="284">
        <v>4872</v>
      </c>
      <c r="AL10" s="284">
        <v>4523</v>
      </c>
      <c r="AM10" s="284">
        <v>4090</v>
      </c>
      <c r="AN10" s="285">
        <v>4495</v>
      </c>
      <c r="AO10" s="284">
        <v>4243</v>
      </c>
      <c r="AP10" s="284">
        <v>4963</v>
      </c>
      <c r="AQ10" s="284">
        <v>4853</v>
      </c>
      <c r="AR10" s="285">
        <v>4828</v>
      </c>
      <c r="AS10" s="284">
        <v>4581</v>
      </c>
      <c r="AT10" s="284">
        <v>4264</v>
      </c>
      <c r="AU10" s="284">
        <v>3976</v>
      </c>
      <c r="AV10" s="178"/>
    </row>
    <row r="11" spans="1:48" ht="12.75" x14ac:dyDescent="0.2">
      <c r="A11" s="272"/>
      <c r="B11" s="272"/>
      <c r="C11" s="272"/>
      <c r="D11" s="284"/>
      <c r="E11" s="284"/>
      <c r="F11" s="284"/>
      <c r="G11" s="284"/>
      <c r="H11" s="284" t="s">
        <v>306</v>
      </c>
      <c r="I11" s="284"/>
      <c r="J11" s="284"/>
      <c r="K11" s="284"/>
      <c r="L11" s="284"/>
      <c r="M11" s="272"/>
      <c r="N11" s="272"/>
      <c r="O11" s="272"/>
      <c r="P11" s="285"/>
      <c r="Q11" s="284"/>
      <c r="R11" s="284"/>
      <c r="S11" s="284"/>
      <c r="T11" s="285"/>
      <c r="U11" s="284"/>
      <c r="V11" s="284"/>
      <c r="W11" s="284"/>
      <c r="X11" s="285"/>
      <c r="Y11" s="284"/>
      <c r="Z11" s="284"/>
      <c r="AA11" s="284"/>
      <c r="AB11" s="285"/>
      <c r="AC11" s="284"/>
      <c r="AD11" s="284" t="s">
        <v>306</v>
      </c>
      <c r="AE11" s="284" t="s">
        <v>306</v>
      </c>
      <c r="AF11" s="285"/>
      <c r="AG11" s="284"/>
      <c r="AH11" s="284"/>
      <c r="AI11" s="284"/>
      <c r="AJ11" s="285"/>
      <c r="AK11" s="284"/>
      <c r="AL11" s="284"/>
      <c r="AM11" s="284"/>
      <c r="AN11" s="285"/>
      <c r="AO11" s="284"/>
      <c r="AP11" s="284"/>
      <c r="AQ11" s="284"/>
      <c r="AR11" s="285" t="s">
        <v>306</v>
      </c>
      <c r="AS11" s="284"/>
      <c r="AT11" s="284"/>
      <c r="AU11" s="284"/>
      <c r="AV11" s="178"/>
    </row>
    <row r="12" spans="1:48" ht="12.75" x14ac:dyDescent="0.2">
      <c r="A12" s="280" t="s">
        <v>296</v>
      </c>
      <c r="B12" s="281">
        <v>19213</v>
      </c>
      <c r="C12" s="281">
        <v>19412.654724004002</v>
      </c>
      <c r="D12" s="281">
        <v>24574</v>
      </c>
      <c r="E12" s="281">
        <v>29695</v>
      </c>
      <c r="F12" s="281">
        <v>28509</v>
      </c>
      <c r="G12" s="281">
        <v>27252</v>
      </c>
      <c r="H12" s="281">
        <v>34513</v>
      </c>
      <c r="I12" s="286">
        <v>42691</v>
      </c>
      <c r="J12" s="281">
        <v>46708</v>
      </c>
      <c r="K12" s="281">
        <v>47423</v>
      </c>
      <c r="L12" s="282"/>
      <c r="M12" s="281">
        <v>6200</v>
      </c>
      <c r="N12" s="281">
        <v>6323</v>
      </c>
      <c r="O12" s="281">
        <v>6263</v>
      </c>
      <c r="P12" s="283">
        <v>5788</v>
      </c>
      <c r="Q12" s="281">
        <v>7442</v>
      </c>
      <c r="R12" s="281">
        <v>7947</v>
      </c>
      <c r="S12" s="281">
        <v>7190</v>
      </c>
      <c r="T12" s="283">
        <v>7116</v>
      </c>
      <c r="U12" s="281">
        <v>7248</v>
      </c>
      <c r="V12" s="281">
        <v>7677</v>
      </c>
      <c r="W12" s="281">
        <v>6874</v>
      </c>
      <c r="X12" s="283">
        <v>6710</v>
      </c>
      <c r="Y12" s="281">
        <v>7101</v>
      </c>
      <c r="Z12" s="281">
        <v>6129</v>
      </c>
      <c r="AA12" s="281">
        <v>7068</v>
      </c>
      <c r="AB12" s="283">
        <v>6954</v>
      </c>
      <c r="AC12" s="281">
        <v>7991</v>
      </c>
      <c r="AD12" s="281">
        <v>8387</v>
      </c>
      <c r="AE12" s="281">
        <v>9336</v>
      </c>
      <c r="AF12" s="283">
        <v>8799</v>
      </c>
      <c r="AG12" s="286">
        <v>10840</v>
      </c>
      <c r="AH12" s="286">
        <v>10897</v>
      </c>
      <c r="AI12" s="286">
        <v>9791</v>
      </c>
      <c r="AJ12" s="287">
        <v>11163</v>
      </c>
      <c r="AK12" s="281">
        <v>11570</v>
      </c>
      <c r="AL12" s="281">
        <v>12276</v>
      </c>
      <c r="AM12" s="281">
        <v>11311</v>
      </c>
      <c r="AN12" s="283">
        <v>11551</v>
      </c>
      <c r="AO12" s="281">
        <v>11025</v>
      </c>
      <c r="AP12" s="281">
        <v>12388</v>
      </c>
      <c r="AQ12" s="281">
        <v>11830</v>
      </c>
      <c r="AR12" s="283">
        <v>12180</v>
      </c>
      <c r="AS12" s="281">
        <v>12377</v>
      </c>
      <c r="AT12" s="281">
        <v>11506</v>
      </c>
      <c r="AU12" s="281">
        <v>11439</v>
      </c>
      <c r="AV12" s="178"/>
    </row>
    <row r="13" spans="1:48" ht="12.75" x14ac:dyDescent="0.2">
      <c r="A13" s="272" t="s">
        <v>355</v>
      </c>
      <c r="B13" s="284">
        <v>4119</v>
      </c>
      <c r="C13" s="284">
        <v>3921.3438913069999</v>
      </c>
      <c r="D13" s="284">
        <v>4907</v>
      </c>
      <c r="E13" s="284">
        <v>6093</v>
      </c>
      <c r="F13" s="284">
        <v>5516</v>
      </c>
      <c r="G13" s="284">
        <v>5180</v>
      </c>
      <c r="H13" s="284">
        <v>7594</v>
      </c>
      <c r="I13" s="288">
        <v>10523</v>
      </c>
      <c r="J13" s="284">
        <v>10782</v>
      </c>
      <c r="K13" s="284">
        <v>10862</v>
      </c>
      <c r="L13" s="284"/>
      <c r="M13" s="284">
        <v>1371</v>
      </c>
      <c r="N13" s="284">
        <v>1349</v>
      </c>
      <c r="O13" s="284">
        <v>1179</v>
      </c>
      <c r="P13" s="285">
        <v>1008</v>
      </c>
      <c r="Q13" s="284">
        <v>1426</v>
      </c>
      <c r="R13" s="284">
        <v>1385</v>
      </c>
      <c r="S13" s="284">
        <v>1572</v>
      </c>
      <c r="T13" s="285">
        <v>1709</v>
      </c>
      <c r="U13" s="284">
        <v>1265</v>
      </c>
      <c r="V13" s="284">
        <v>1444</v>
      </c>
      <c r="W13" s="284">
        <v>1529</v>
      </c>
      <c r="X13" s="285">
        <v>1278</v>
      </c>
      <c r="Y13" s="284">
        <v>1427</v>
      </c>
      <c r="Z13" s="284">
        <v>1108</v>
      </c>
      <c r="AA13" s="284">
        <v>1355</v>
      </c>
      <c r="AB13" s="285">
        <v>1290</v>
      </c>
      <c r="AC13" s="284">
        <v>1489</v>
      </c>
      <c r="AD13" s="284">
        <v>1805</v>
      </c>
      <c r="AE13" s="284">
        <v>2199</v>
      </c>
      <c r="AF13" s="285">
        <v>2101</v>
      </c>
      <c r="AG13" s="288">
        <v>2530</v>
      </c>
      <c r="AH13" s="288">
        <v>3014</v>
      </c>
      <c r="AI13" s="288">
        <v>2493</v>
      </c>
      <c r="AJ13" s="289">
        <v>2486</v>
      </c>
      <c r="AK13" s="284">
        <v>2511</v>
      </c>
      <c r="AL13" s="284">
        <v>2735</v>
      </c>
      <c r="AM13" s="284">
        <v>2769</v>
      </c>
      <c r="AN13" s="285">
        <v>2767</v>
      </c>
      <c r="AO13" s="284">
        <v>2608</v>
      </c>
      <c r="AP13" s="284">
        <v>2943</v>
      </c>
      <c r="AQ13" s="284">
        <v>2506</v>
      </c>
      <c r="AR13" s="285">
        <v>2805</v>
      </c>
      <c r="AS13" s="284">
        <v>3317</v>
      </c>
      <c r="AT13" s="284">
        <v>2758</v>
      </c>
      <c r="AU13" s="284">
        <v>2483</v>
      </c>
      <c r="AV13" s="178"/>
    </row>
    <row r="14" spans="1:48" ht="12.75" x14ac:dyDescent="0.2">
      <c r="A14" s="272" t="s">
        <v>356</v>
      </c>
      <c r="B14" s="284">
        <v>2931</v>
      </c>
      <c r="C14" s="284">
        <v>3051.0403095070001</v>
      </c>
      <c r="D14" s="284">
        <v>3901</v>
      </c>
      <c r="E14" s="284">
        <v>5360</v>
      </c>
      <c r="F14" s="284">
        <v>4321</v>
      </c>
      <c r="G14" s="284">
        <v>4005</v>
      </c>
      <c r="H14" s="284">
        <v>4539</v>
      </c>
      <c r="I14" s="288">
        <v>6540</v>
      </c>
      <c r="J14" s="284">
        <v>7195</v>
      </c>
      <c r="K14" s="284">
        <v>6929</v>
      </c>
      <c r="L14" s="284"/>
      <c r="M14" s="284">
        <v>928</v>
      </c>
      <c r="N14" s="284">
        <v>1015</v>
      </c>
      <c r="O14" s="284">
        <v>896</v>
      </c>
      <c r="P14" s="285">
        <v>1062</v>
      </c>
      <c r="Q14" s="284">
        <v>1255</v>
      </c>
      <c r="R14" s="284">
        <v>1633</v>
      </c>
      <c r="S14" s="284">
        <v>1023</v>
      </c>
      <c r="T14" s="285">
        <v>1449</v>
      </c>
      <c r="U14" s="284">
        <v>1041</v>
      </c>
      <c r="V14" s="284">
        <v>1207</v>
      </c>
      <c r="W14" s="284">
        <v>1189</v>
      </c>
      <c r="X14" s="285">
        <v>884</v>
      </c>
      <c r="Y14" s="284">
        <v>1011</v>
      </c>
      <c r="Z14" s="284">
        <v>982</v>
      </c>
      <c r="AA14" s="284">
        <v>960</v>
      </c>
      <c r="AB14" s="285">
        <v>1052</v>
      </c>
      <c r="AC14" s="284">
        <v>911</v>
      </c>
      <c r="AD14" s="284">
        <v>1165</v>
      </c>
      <c r="AE14" s="284">
        <v>1220</v>
      </c>
      <c r="AF14" s="285">
        <v>1243</v>
      </c>
      <c r="AG14" s="288">
        <v>1418</v>
      </c>
      <c r="AH14" s="288">
        <v>1670</v>
      </c>
      <c r="AI14" s="288">
        <v>1600</v>
      </c>
      <c r="AJ14" s="289">
        <v>1852</v>
      </c>
      <c r="AK14" s="284">
        <v>1427</v>
      </c>
      <c r="AL14" s="284">
        <v>1862</v>
      </c>
      <c r="AM14" s="284">
        <v>1664</v>
      </c>
      <c r="AN14" s="285">
        <v>2242</v>
      </c>
      <c r="AO14" s="284">
        <v>1747</v>
      </c>
      <c r="AP14" s="284">
        <v>1494</v>
      </c>
      <c r="AQ14" s="284">
        <v>1914</v>
      </c>
      <c r="AR14" s="285">
        <v>1774</v>
      </c>
      <c r="AS14" s="284">
        <v>1726</v>
      </c>
      <c r="AT14" s="284">
        <v>1821</v>
      </c>
      <c r="AU14" s="284">
        <v>1944</v>
      </c>
      <c r="AV14" s="178"/>
    </row>
    <row r="15" spans="1:48" ht="12.75" x14ac:dyDescent="0.2">
      <c r="A15" s="272" t="s">
        <v>357</v>
      </c>
      <c r="B15" s="284">
        <v>4430</v>
      </c>
      <c r="C15" s="284">
        <v>4451.2640814900005</v>
      </c>
      <c r="D15" s="284">
        <v>5664</v>
      </c>
      <c r="E15" s="284">
        <v>6491</v>
      </c>
      <c r="F15" s="284">
        <v>6255</v>
      </c>
      <c r="G15" s="284">
        <v>5871</v>
      </c>
      <c r="H15" s="284">
        <v>7455</v>
      </c>
      <c r="I15" s="288">
        <v>5020</v>
      </c>
      <c r="J15" s="284">
        <v>5519</v>
      </c>
      <c r="K15" s="284">
        <v>5567</v>
      </c>
      <c r="L15" s="284"/>
      <c r="M15" s="284">
        <v>1518</v>
      </c>
      <c r="N15" s="284">
        <v>1498</v>
      </c>
      <c r="O15" s="284">
        <v>1280</v>
      </c>
      <c r="P15" s="285">
        <v>1368</v>
      </c>
      <c r="Q15" s="284">
        <v>1662</v>
      </c>
      <c r="R15" s="284">
        <v>1765</v>
      </c>
      <c r="S15" s="284">
        <v>1790</v>
      </c>
      <c r="T15" s="285">
        <v>1275</v>
      </c>
      <c r="U15" s="284">
        <v>1690</v>
      </c>
      <c r="V15" s="284">
        <v>1655</v>
      </c>
      <c r="W15" s="284">
        <v>1436</v>
      </c>
      <c r="X15" s="285">
        <v>1474</v>
      </c>
      <c r="Y15" s="284">
        <v>1623</v>
      </c>
      <c r="Z15" s="284">
        <v>1320</v>
      </c>
      <c r="AA15" s="284">
        <v>1461</v>
      </c>
      <c r="AB15" s="285">
        <v>1467</v>
      </c>
      <c r="AC15" s="284">
        <v>1824</v>
      </c>
      <c r="AD15" s="284">
        <v>1819</v>
      </c>
      <c r="AE15" s="284">
        <v>1882</v>
      </c>
      <c r="AF15" s="285">
        <v>1930</v>
      </c>
      <c r="AG15" s="288">
        <v>2217</v>
      </c>
      <c r="AH15" s="288">
        <v>1207</v>
      </c>
      <c r="AI15" s="288">
        <v>216</v>
      </c>
      <c r="AJ15" s="289">
        <v>1380</v>
      </c>
      <c r="AK15" s="284">
        <v>1613</v>
      </c>
      <c r="AL15" s="284">
        <v>1599</v>
      </c>
      <c r="AM15" s="284">
        <v>1108</v>
      </c>
      <c r="AN15" s="285">
        <v>1199</v>
      </c>
      <c r="AO15" s="284">
        <v>1525</v>
      </c>
      <c r="AP15" s="284">
        <v>1619</v>
      </c>
      <c r="AQ15" s="284">
        <v>1249</v>
      </c>
      <c r="AR15" s="285">
        <v>1174</v>
      </c>
      <c r="AS15" s="284">
        <v>1620</v>
      </c>
      <c r="AT15" s="284">
        <v>1377</v>
      </c>
      <c r="AU15" s="284">
        <v>1355</v>
      </c>
      <c r="AV15" s="178"/>
    </row>
    <row r="16" spans="1:48" ht="12.75" x14ac:dyDescent="0.2">
      <c r="A16" s="272" t="s">
        <v>358</v>
      </c>
      <c r="B16" s="284">
        <v>2964</v>
      </c>
      <c r="C16" s="284">
        <v>2625.7163770490001</v>
      </c>
      <c r="D16" s="284">
        <v>3229</v>
      </c>
      <c r="E16" s="284">
        <v>3899</v>
      </c>
      <c r="F16" s="284">
        <v>3431</v>
      </c>
      <c r="G16" s="284">
        <v>3410</v>
      </c>
      <c r="H16" s="284">
        <v>4602</v>
      </c>
      <c r="I16" s="288">
        <v>6431</v>
      </c>
      <c r="J16" s="284">
        <v>8214</v>
      </c>
      <c r="K16" s="284">
        <v>7974</v>
      </c>
      <c r="L16" s="284"/>
      <c r="M16" s="284">
        <v>690</v>
      </c>
      <c r="N16" s="284">
        <v>675</v>
      </c>
      <c r="O16" s="284">
        <v>983</v>
      </c>
      <c r="P16" s="285">
        <v>881</v>
      </c>
      <c r="Q16" s="284">
        <v>1127</v>
      </c>
      <c r="R16" s="284">
        <v>1056</v>
      </c>
      <c r="S16" s="284">
        <v>811</v>
      </c>
      <c r="T16" s="285">
        <v>906</v>
      </c>
      <c r="U16" s="284">
        <v>893</v>
      </c>
      <c r="V16" s="284">
        <v>863</v>
      </c>
      <c r="W16" s="284">
        <v>716</v>
      </c>
      <c r="X16" s="285">
        <v>959</v>
      </c>
      <c r="Y16" s="284">
        <v>934</v>
      </c>
      <c r="Z16" s="284">
        <v>641</v>
      </c>
      <c r="AA16" s="284">
        <v>955</v>
      </c>
      <c r="AB16" s="285">
        <v>880</v>
      </c>
      <c r="AC16" s="284">
        <v>1190</v>
      </c>
      <c r="AD16" s="284">
        <v>1050</v>
      </c>
      <c r="AE16" s="284">
        <v>1294</v>
      </c>
      <c r="AF16" s="285">
        <v>1068</v>
      </c>
      <c r="AG16" s="288">
        <v>1705</v>
      </c>
      <c r="AH16" s="288">
        <v>1497</v>
      </c>
      <c r="AI16" s="288">
        <v>1833</v>
      </c>
      <c r="AJ16" s="289">
        <v>1396</v>
      </c>
      <c r="AK16" s="284">
        <v>2015</v>
      </c>
      <c r="AL16" s="284">
        <v>2359</v>
      </c>
      <c r="AM16" s="284">
        <v>2342</v>
      </c>
      <c r="AN16" s="285">
        <v>1498</v>
      </c>
      <c r="AO16" s="284">
        <v>1532</v>
      </c>
      <c r="AP16" s="284">
        <v>2100</v>
      </c>
      <c r="AQ16" s="284">
        <v>2028</v>
      </c>
      <c r="AR16" s="285">
        <v>2314</v>
      </c>
      <c r="AS16" s="284">
        <v>1825</v>
      </c>
      <c r="AT16" s="284">
        <v>1898</v>
      </c>
      <c r="AU16" s="284">
        <v>2324</v>
      </c>
      <c r="AV16" s="178"/>
    </row>
    <row r="17" spans="1:48" ht="12.75" x14ac:dyDescent="0.2">
      <c r="A17" s="272" t="s">
        <v>359</v>
      </c>
      <c r="B17" s="284">
        <v>4769</v>
      </c>
      <c r="C17" s="284">
        <v>5364.2900646509997</v>
      </c>
      <c r="D17" s="284">
        <v>6873</v>
      </c>
      <c r="E17" s="284">
        <v>7852</v>
      </c>
      <c r="F17" s="284">
        <v>8986</v>
      </c>
      <c r="G17" s="284">
        <v>8786</v>
      </c>
      <c r="H17" s="284">
        <v>10323</v>
      </c>
      <c r="I17" s="288">
        <v>14177</v>
      </c>
      <c r="J17" s="284">
        <v>14998</v>
      </c>
      <c r="K17" s="284">
        <v>16091</v>
      </c>
      <c r="L17" s="284"/>
      <c r="M17" s="284">
        <v>1693</v>
      </c>
      <c r="N17" s="284">
        <v>1786</v>
      </c>
      <c r="O17" s="284">
        <v>1925</v>
      </c>
      <c r="P17" s="285">
        <v>1469</v>
      </c>
      <c r="Q17" s="284">
        <v>1972</v>
      </c>
      <c r="R17" s="284">
        <v>2108</v>
      </c>
      <c r="S17" s="284">
        <v>1994</v>
      </c>
      <c r="T17" s="285">
        <v>1777</v>
      </c>
      <c r="U17" s="284">
        <v>2359</v>
      </c>
      <c r="V17" s="284">
        <v>2508</v>
      </c>
      <c r="W17" s="284">
        <v>2004</v>
      </c>
      <c r="X17" s="285">
        <v>2115</v>
      </c>
      <c r="Y17" s="284">
        <v>2106</v>
      </c>
      <c r="Z17" s="284">
        <v>2078</v>
      </c>
      <c r="AA17" s="284">
        <v>2337</v>
      </c>
      <c r="AB17" s="285">
        <v>2265</v>
      </c>
      <c r="AC17" s="284">
        <v>2577</v>
      </c>
      <c r="AD17" s="284">
        <v>2548</v>
      </c>
      <c r="AE17" s="284">
        <v>2741</v>
      </c>
      <c r="AF17" s="285">
        <v>2457</v>
      </c>
      <c r="AG17" s="288">
        <v>2970</v>
      </c>
      <c r="AH17" s="288">
        <v>3509</v>
      </c>
      <c r="AI17" s="288">
        <v>3649</v>
      </c>
      <c r="AJ17" s="289">
        <v>4049</v>
      </c>
      <c r="AK17" s="284">
        <v>4004</v>
      </c>
      <c r="AL17" s="284">
        <v>3721</v>
      </c>
      <c r="AM17" s="284">
        <v>3428</v>
      </c>
      <c r="AN17" s="285">
        <v>3845</v>
      </c>
      <c r="AO17" s="284">
        <v>3613</v>
      </c>
      <c r="AP17" s="284">
        <v>4232</v>
      </c>
      <c r="AQ17" s="284">
        <v>4133</v>
      </c>
      <c r="AR17" s="285">
        <v>4113</v>
      </c>
      <c r="AS17" s="284">
        <v>3889</v>
      </c>
      <c r="AT17" s="284">
        <v>3652</v>
      </c>
      <c r="AU17" s="284">
        <v>3333</v>
      </c>
      <c r="AV17" s="178"/>
    </row>
    <row r="18" spans="1:48" ht="12.75" x14ac:dyDescent="0.2">
      <c r="A18" s="272"/>
      <c r="B18" s="272"/>
      <c r="C18" s="284"/>
      <c r="D18" s="284"/>
      <c r="E18" s="284"/>
      <c r="F18" s="284"/>
      <c r="G18" s="284"/>
      <c r="H18" s="284" t="s">
        <v>306</v>
      </c>
      <c r="I18" s="288" t="s">
        <v>306</v>
      </c>
      <c r="J18" s="284" t="s">
        <v>306</v>
      </c>
      <c r="K18" s="284"/>
      <c r="L18" s="284"/>
      <c r="M18" s="272"/>
      <c r="N18" s="272"/>
      <c r="O18" s="272"/>
      <c r="P18" s="285"/>
      <c r="Q18" s="284"/>
      <c r="R18" s="284"/>
      <c r="S18" s="284"/>
      <c r="T18" s="285"/>
      <c r="U18" s="284"/>
      <c r="V18" s="284"/>
      <c r="W18" s="284"/>
      <c r="X18" s="285"/>
      <c r="Y18" s="284"/>
      <c r="Z18" s="284"/>
      <c r="AA18" s="284"/>
      <c r="AB18" s="285"/>
      <c r="AC18" s="284"/>
      <c r="AD18" s="284" t="s">
        <v>306</v>
      </c>
      <c r="AE18" s="284" t="s">
        <v>306</v>
      </c>
      <c r="AF18" s="285"/>
      <c r="AG18" s="288" t="s">
        <v>306</v>
      </c>
      <c r="AH18" s="288" t="s">
        <v>306</v>
      </c>
      <c r="AI18" s="288" t="s">
        <v>306</v>
      </c>
      <c r="AJ18" s="289" t="s">
        <v>306</v>
      </c>
      <c r="AK18" s="284"/>
      <c r="AL18" s="284"/>
      <c r="AM18" s="284"/>
      <c r="AN18" s="285"/>
      <c r="AO18" s="284"/>
      <c r="AP18" s="284"/>
      <c r="AQ18" s="284"/>
      <c r="AR18" s="285" t="s">
        <v>306</v>
      </c>
      <c r="AS18" s="284"/>
      <c r="AT18" s="284"/>
      <c r="AU18" s="284"/>
      <c r="AV18" s="178"/>
    </row>
    <row r="19" spans="1:48" ht="14.25" customHeight="1" x14ac:dyDescent="0.2">
      <c r="A19" s="280" t="s">
        <v>299</v>
      </c>
      <c r="B19" s="281">
        <v>8109</v>
      </c>
      <c r="C19" s="281">
        <v>7947</v>
      </c>
      <c r="D19" s="281">
        <v>9047</v>
      </c>
      <c r="E19" s="281">
        <v>9611</v>
      </c>
      <c r="F19" s="281">
        <v>10768</v>
      </c>
      <c r="G19" s="281">
        <v>9185</v>
      </c>
      <c r="H19" s="281">
        <v>11025</v>
      </c>
      <c r="I19" s="286">
        <v>10670</v>
      </c>
      <c r="J19" s="281">
        <v>12466</v>
      </c>
      <c r="K19" s="281">
        <v>14663</v>
      </c>
      <c r="L19" s="282"/>
      <c r="M19" s="281">
        <v>2341</v>
      </c>
      <c r="N19" s="281">
        <v>2270</v>
      </c>
      <c r="O19" s="281">
        <v>2239</v>
      </c>
      <c r="P19" s="283">
        <v>2197</v>
      </c>
      <c r="Q19" s="281">
        <v>2550</v>
      </c>
      <c r="R19" s="281">
        <v>2470</v>
      </c>
      <c r="S19" s="281">
        <v>2285</v>
      </c>
      <c r="T19" s="283">
        <v>2306</v>
      </c>
      <c r="U19" s="281">
        <v>2760</v>
      </c>
      <c r="V19" s="281">
        <v>2826</v>
      </c>
      <c r="W19" s="281">
        <v>2665</v>
      </c>
      <c r="X19" s="283">
        <v>2517</v>
      </c>
      <c r="Y19" s="281">
        <v>2619</v>
      </c>
      <c r="Z19" s="281">
        <v>1980</v>
      </c>
      <c r="AA19" s="281">
        <v>2249</v>
      </c>
      <c r="AB19" s="283">
        <v>2337</v>
      </c>
      <c r="AC19" s="281">
        <v>2674</v>
      </c>
      <c r="AD19" s="281">
        <v>2678</v>
      </c>
      <c r="AE19" s="281">
        <v>2866</v>
      </c>
      <c r="AF19" s="283">
        <v>2807</v>
      </c>
      <c r="AG19" s="286">
        <v>2970</v>
      </c>
      <c r="AH19" s="286">
        <v>2495</v>
      </c>
      <c r="AI19" s="286">
        <v>2502</v>
      </c>
      <c r="AJ19" s="287">
        <v>2703</v>
      </c>
      <c r="AK19" s="281">
        <v>3535</v>
      </c>
      <c r="AL19" s="281">
        <v>3180</v>
      </c>
      <c r="AM19" s="281">
        <v>2924</v>
      </c>
      <c r="AN19" s="283">
        <v>2827</v>
      </c>
      <c r="AO19" s="281">
        <v>3122</v>
      </c>
      <c r="AP19" s="281">
        <v>3947</v>
      </c>
      <c r="AQ19" s="281">
        <v>3656</v>
      </c>
      <c r="AR19" s="283">
        <v>3938</v>
      </c>
      <c r="AS19" s="281">
        <v>4187</v>
      </c>
      <c r="AT19" s="281">
        <v>3743</v>
      </c>
      <c r="AU19" s="281">
        <v>3677</v>
      </c>
      <c r="AV19" s="178"/>
    </row>
    <row r="20" spans="1:48" ht="12.75" x14ac:dyDescent="0.2">
      <c r="A20" s="272" t="s">
        <v>355</v>
      </c>
      <c r="B20" s="284">
        <v>2287</v>
      </c>
      <c r="C20" s="284">
        <v>2324</v>
      </c>
      <c r="D20" s="284">
        <v>2574</v>
      </c>
      <c r="E20" s="284">
        <v>2721</v>
      </c>
      <c r="F20" s="284">
        <v>3112</v>
      </c>
      <c r="G20" s="284">
        <v>2451</v>
      </c>
      <c r="H20" s="284">
        <v>2908</v>
      </c>
      <c r="I20" s="288">
        <v>3336</v>
      </c>
      <c r="J20" s="284">
        <v>3838</v>
      </c>
      <c r="K20" s="284">
        <v>6023</v>
      </c>
      <c r="L20" s="284"/>
      <c r="M20" s="284">
        <v>646</v>
      </c>
      <c r="N20" s="284">
        <v>701</v>
      </c>
      <c r="O20" s="284">
        <v>623</v>
      </c>
      <c r="P20" s="285">
        <v>604</v>
      </c>
      <c r="Q20" s="284">
        <v>737</v>
      </c>
      <c r="R20" s="284">
        <v>662</v>
      </c>
      <c r="S20" s="284">
        <v>689</v>
      </c>
      <c r="T20" s="285">
        <v>634</v>
      </c>
      <c r="U20" s="284">
        <v>867</v>
      </c>
      <c r="V20" s="284">
        <v>783</v>
      </c>
      <c r="W20" s="284">
        <v>797</v>
      </c>
      <c r="X20" s="285">
        <v>665</v>
      </c>
      <c r="Y20" s="284">
        <v>714</v>
      </c>
      <c r="Z20" s="284">
        <v>524</v>
      </c>
      <c r="AA20" s="284">
        <v>616</v>
      </c>
      <c r="AB20" s="285">
        <v>597</v>
      </c>
      <c r="AC20" s="284">
        <v>726</v>
      </c>
      <c r="AD20" s="284">
        <v>716</v>
      </c>
      <c r="AE20" s="284">
        <v>748</v>
      </c>
      <c r="AF20" s="285">
        <v>718</v>
      </c>
      <c r="AG20" s="288">
        <v>831</v>
      </c>
      <c r="AH20" s="288">
        <v>766</v>
      </c>
      <c r="AI20" s="288">
        <v>918</v>
      </c>
      <c r="AJ20" s="289">
        <v>821</v>
      </c>
      <c r="AK20" s="284">
        <v>1065</v>
      </c>
      <c r="AL20" s="284">
        <v>929</v>
      </c>
      <c r="AM20" s="284">
        <v>945</v>
      </c>
      <c r="AN20" s="285">
        <v>899</v>
      </c>
      <c r="AO20" s="284">
        <v>1002</v>
      </c>
      <c r="AP20" s="284">
        <v>1788</v>
      </c>
      <c r="AQ20" s="284">
        <v>1558</v>
      </c>
      <c r="AR20" s="285">
        <v>1675</v>
      </c>
      <c r="AS20" s="284">
        <v>1852</v>
      </c>
      <c r="AT20" s="284">
        <v>1652</v>
      </c>
      <c r="AU20" s="284">
        <v>1619</v>
      </c>
      <c r="AV20" s="178"/>
    </row>
    <row r="21" spans="1:48" ht="12.75" x14ac:dyDescent="0.2">
      <c r="A21" s="272" t="s">
        <v>356</v>
      </c>
      <c r="B21" s="284">
        <v>788</v>
      </c>
      <c r="C21" s="284">
        <v>718</v>
      </c>
      <c r="D21" s="284">
        <v>830</v>
      </c>
      <c r="E21" s="284">
        <v>865</v>
      </c>
      <c r="F21" s="284">
        <v>1075</v>
      </c>
      <c r="G21" s="284">
        <v>874</v>
      </c>
      <c r="H21" s="284">
        <v>1036</v>
      </c>
      <c r="I21" s="288">
        <v>992</v>
      </c>
      <c r="J21" s="284">
        <v>1238</v>
      </c>
      <c r="K21" s="284">
        <v>897</v>
      </c>
      <c r="L21" s="284"/>
      <c r="M21" s="284">
        <v>239</v>
      </c>
      <c r="N21" s="284">
        <v>174</v>
      </c>
      <c r="O21" s="284">
        <v>216</v>
      </c>
      <c r="P21" s="285">
        <v>201</v>
      </c>
      <c r="Q21" s="284">
        <v>232</v>
      </c>
      <c r="R21" s="284">
        <v>211</v>
      </c>
      <c r="S21" s="284">
        <v>213</v>
      </c>
      <c r="T21" s="285">
        <v>209</v>
      </c>
      <c r="U21" s="284">
        <v>303</v>
      </c>
      <c r="V21" s="284">
        <v>274</v>
      </c>
      <c r="W21" s="284">
        <v>262</v>
      </c>
      <c r="X21" s="285">
        <v>236</v>
      </c>
      <c r="Y21" s="284">
        <v>273</v>
      </c>
      <c r="Z21" s="284">
        <v>193</v>
      </c>
      <c r="AA21" s="284">
        <v>197</v>
      </c>
      <c r="AB21" s="285">
        <v>211</v>
      </c>
      <c r="AC21" s="284">
        <v>267</v>
      </c>
      <c r="AD21" s="284">
        <v>256</v>
      </c>
      <c r="AE21" s="284">
        <v>258</v>
      </c>
      <c r="AF21" s="285">
        <v>255</v>
      </c>
      <c r="AG21" s="288">
        <v>269</v>
      </c>
      <c r="AH21" s="288">
        <v>222</v>
      </c>
      <c r="AI21" s="288">
        <v>251</v>
      </c>
      <c r="AJ21" s="289">
        <v>250</v>
      </c>
      <c r="AK21" s="284">
        <v>376</v>
      </c>
      <c r="AL21" s="284">
        <v>396</v>
      </c>
      <c r="AM21" s="284">
        <v>272</v>
      </c>
      <c r="AN21" s="285">
        <v>194</v>
      </c>
      <c r="AO21" s="284">
        <v>276</v>
      </c>
      <c r="AP21" s="284">
        <v>196</v>
      </c>
      <c r="AQ21" s="284">
        <v>233</v>
      </c>
      <c r="AR21" s="285">
        <v>192</v>
      </c>
      <c r="AS21" s="284">
        <v>294</v>
      </c>
      <c r="AT21" s="284">
        <v>221</v>
      </c>
      <c r="AU21" s="284">
        <v>190</v>
      </c>
      <c r="AV21" s="178"/>
    </row>
    <row r="22" spans="1:48" ht="12.75" x14ac:dyDescent="0.2">
      <c r="A22" s="272" t="s">
        <v>357</v>
      </c>
      <c r="B22" s="284">
        <v>2241</v>
      </c>
      <c r="C22" s="284">
        <v>2313</v>
      </c>
      <c r="D22" s="284">
        <v>2673</v>
      </c>
      <c r="E22" s="284">
        <v>2807</v>
      </c>
      <c r="F22" s="284">
        <v>2750</v>
      </c>
      <c r="G22" s="284">
        <v>2696</v>
      </c>
      <c r="H22" s="284">
        <v>3102</v>
      </c>
      <c r="I22" s="288">
        <v>2422</v>
      </c>
      <c r="J22" s="284">
        <v>2251</v>
      </c>
      <c r="K22" s="284">
        <v>2655</v>
      </c>
      <c r="L22" s="284"/>
      <c r="M22" s="284">
        <v>709</v>
      </c>
      <c r="N22" s="284">
        <v>677</v>
      </c>
      <c r="O22" s="284">
        <v>646</v>
      </c>
      <c r="P22" s="285">
        <v>641</v>
      </c>
      <c r="Q22" s="284">
        <v>804</v>
      </c>
      <c r="R22" s="284">
        <v>715</v>
      </c>
      <c r="S22" s="284">
        <v>598</v>
      </c>
      <c r="T22" s="285">
        <v>691</v>
      </c>
      <c r="U22" s="284">
        <v>724</v>
      </c>
      <c r="V22" s="284">
        <v>738</v>
      </c>
      <c r="W22" s="284">
        <v>613</v>
      </c>
      <c r="X22" s="285">
        <v>675</v>
      </c>
      <c r="Y22" s="284">
        <v>745</v>
      </c>
      <c r="Z22" s="284">
        <v>600</v>
      </c>
      <c r="AA22" s="284">
        <v>618</v>
      </c>
      <c r="AB22" s="285">
        <v>733</v>
      </c>
      <c r="AC22" s="284">
        <v>787</v>
      </c>
      <c r="AD22" s="284">
        <v>813</v>
      </c>
      <c r="AE22" s="284">
        <v>683</v>
      </c>
      <c r="AF22" s="285">
        <v>819</v>
      </c>
      <c r="AG22" s="288">
        <v>874</v>
      </c>
      <c r="AH22" s="288">
        <v>526</v>
      </c>
      <c r="AI22" s="288">
        <v>388</v>
      </c>
      <c r="AJ22" s="289">
        <v>634</v>
      </c>
      <c r="AK22" s="284">
        <v>680</v>
      </c>
      <c r="AL22" s="284">
        <v>535</v>
      </c>
      <c r="AM22" s="284">
        <v>472</v>
      </c>
      <c r="AN22" s="285">
        <v>564</v>
      </c>
      <c r="AO22" s="284">
        <v>650</v>
      </c>
      <c r="AP22" s="284">
        <v>699</v>
      </c>
      <c r="AQ22" s="284">
        <v>575</v>
      </c>
      <c r="AR22" s="285">
        <v>731</v>
      </c>
      <c r="AS22" s="284">
        <v>830</v>
      </c>
      <c r="AT22" s="284">
        <v>726</v>
      </c>
      <c r="AU22" s="284">
        <v>691</v>
      </c>
      <c r="AV22" s="178"/>
    </row>
    <row r="23" spans="1:48" ht="12.75" x14ac:dyDescent="0.2">
      <c r="A23" s="272" t="s">
        <v>358</v>
      </c>
      <c r="B23" s="284">
        <v>1410</v>
      </c>
      <c r="C23" s="284">
        <v>1231</v>
      </c>
      <c r="D23" s="284">
        <v>1355</v>
      </c>
      <c r="E23" s="284">
        <v>1547</v>
      </c>
      <c r="F23" s="284">
        <v>2037</v>
      </c>
      <c r="G23" s="284">
        <v>1648</v>
      </c>
      <c r="H23" s="284">
        <v>1870</v>
      </c>
      <c r="I23" s="288">
        <v>1871</v>
      </c>
      <c r="J23" s="284">
        <v>2172</v>
      </c>
      <c r="K23" s="284">
        <v>2288</v>
      </c>
      <c r="L23" s="284"/>
      <c r="M23" s="284">
        <v>343</v>
      </c>
      <c r="N23" s="284">
        <v>315</v>
      </c>
      <c r="O23" s="284">
        <v>358</v>
      </c>
      <c r="P23" s="285">
        <v>339</v>
      </c>
      <c r="Q23" s="284">
        <v>350</v>
      </c>
      <c r="R23" s="284">
        <v>462</v>
      </c>
      <c r="S23" s="284">
        <v>380</v>
      </c>
      <c r="T23" s="285">
        <v>354</v>
      </c>
      <c r="U23" s="284">
        <v>418</v>
      </c>
      <c r="V23" s="284">
        <v>547</v>
      </c>
      <c r="W23" s="284">
        <v>557</v>
      </c>
      <c r="X23" s="285">
        <v>515</v>
      </c>
      <c r="Y23" s="284">
        <v>475</v>
      </c>
      <c r="Z23" s="284">
        <v>302</v>
      </c>
      <c r="AA23" s="284">
        <v>457</v>
      </c>
      <c r="AB23" s="285">
        <v>414</v>
      </c>
      <c r="AC23" s="284">
        <v>440</v>
      </c>
      <c r="AD23" s="284">
        <v>445</v>
      </c>
      <c r="AE23" s="284">
        <v>500</v>
      </c>
      <c r="AF23" s="285">
        <v>485</v>
      </c>
      <c r="AG23" s="288">
        <v>420</v>
      </c>
      <c r="AH23" s="288">
        <v>466</v>
      </c>
      <c r="AI23" s="288">
        <v>478</v>
      </c>
      <c r="AJ23" s="289">
        <v>507</v>
      </c>
      <c r="AK23" s="284">
        <v>548</v>
      </c>
      <c r="AL23" s="284">
        <v>524</v>
      </c>
      <c r="AM23" s="284">
        <v>577</v>
      </c>
      <c r="AN23" s="285">
        <v>523</v>
      </c>
      <c r="AO23" s="284">
        <v>561</v>
      </c>
      <c r="AP23" s="284">
        <v>536</v>
      </c>
      <c r="AQ23" s="284">
        <v>569</v>
      </c>
      <c r="AR23" s="285">
        <v>622</v>
      </c>
      <c r="AS23" s="284">
        <v>520</v>
      </c>
      <c r="AT23" s="284">
        <v>532</v>
      </c>
      <c r="AU23" s="284">
        <v>534</v>
      </c>
      <c r="AV23" s="178"/>
    </row>
    <row r="24" spans="1:48" ht="12.75" x14ac:dyDescent="0.2">
      <c r="A24" s="272" t="s">
        <v>359</v>
      </c>
      <c r="B24" s="284">
        <v>1383</v>
      </c>
      <c r="C24" s="284">
        <v>1361</v>
      </c>
      <c r="D24" s="284">
        <v>1615</v>
      </c>
      <c r="E24" s="284">
        <v>1671</v>
      </c>
      <c r="F24" s="284">
        <v>1794</v>
      </c>
      <c r="G24" s="284">
        <v>1516</v>
      </c>
      <c r="H24" s="284">
        <v>2109</v>
      </c>
      <c r="I24" s="288">
        <v>2049</v>
      </c>
      <c r="J24" s="284">
        <v>2967</v>
      </c>
      <c r="K24" s="284">
        <v>2800</v>
      </c>
      <c r="L24" s="284"/>
      <c r="M24" s="284">
        <v>404</v>
      </c>
      <c r="N24" s="284">
        <v>403</v>
      </c>
      <c r="O24" s="284">
        <v>396</v>
      </c>
      <c r="P24" s="285">
        <v>412</v>
      </c>
      <c r="Q24" s="284">
        <v>427</v>
      </c>
      <c r="R24" s="284">
        <v>420</v>
      </c>
      <c r="S24" s="284">
        <v>405</v>
      </c>
      <c r="T24" s="285">
        <v>418</v>
      </c>
      <c r="U24" s="284">
        <v>448</v>
      </c>
      <c r="V24" s="284">
        <v>484</v>
      </c>
      <c r="W24" s="284">
        <v>436</v>
      </c>
      <c r="X24" s="285">
        <v>426</v>
      </c>
      <c r="Y24" s="284">
        <v>412</v>
      </c>
      <c r="Z24" s="284">
        <v>361</v>
      </c>
      <c r="AA24" s="284">
        <v>361</v>
      </c>
      <c r="AB24" s="285">
        <v>382</v>
      </c>
      <c r="AC24" s="284">
        <v>454</v>
      </c>
      <c r="AD24" s="284">
        <v>448</v>
      </c>
      <c r="AE24" s="284">
        <v>677</v>
      </c>
      <c r="AF24" s="285">
        <v>530</v>
      </c>
      <c r="AG24" s="288">
        <v>576</v>
      </c>
      <c r="AH24" s="288">
        <v>515</v>
      </c>
      <c r="AI24" s="288">
        <v>467</v>
      </c>
      <c r="AJ24" s="289">
        <v>491</v>
      </c>
      <c r="AK24" s="284">
        <v>866</v>
      </c>
      <c r="AL24" s="284">
        <v>796</v>
      </c>
      <c r="AM24" s="284">
        <v>658</v>
      </c>
      <c r="AN24" s="285">
        <v>647</v>
      </c>
      <c r="AO24" s="284">
        <v>633</v>
      </c>
      <c r="AP24" s="272">
        <v>728</v>
      </c>
      <c r="AQ24" s="272">
        <v>721</v>
      </c>
      <c r="AR24" s="285">
        <v>718</v>
      </c>
      <c r="AS24" s="284">
        <v>691</v>
      </c>
      <c r="AT24" s="272">
        <v>612</v>
      </c>
      <c r="AU24" s="272">
        <v>643</v>
      </c>
      <c r="AV24" s="178"/>
    </row>
    <row r="25" spans="1:48" ht="10.5" customHeight="1" x14ac:dyDescent="0.2">
      <c r="A25" s="272"/>
      <c r="B25" s="272"/>
      <c r="C25" s="275"/>
      <c r="D25" s="272"/>
      <c r="E25" s="272"/>
      <c r="F25" s="272"/>
      <c r="G25" s="272"/>
      <c r="H25" s="272"/>
      <c r="I25" s="272"/>
      <c r="J25" s="272"/>
      <c r="K25" s="272"/>
      <c r="L25" s="272"/>
      <c r="M25" s="272"/>
      <c r="N25" s="272"/>
      <c r="O25" s="272"/>
      <c r="P25" s="274"/>
      <c r="Q25" s="272"/>
      <c r="R25" s="272"/>
      <c r="S25" s="272"/>
      <c r="T25" s="274"/>
      <c r="U25" s="272"/>
      <c r="V25" s="272"/>
      <c r="W25" s="272"/>
      <c r="X25" s="274"/>
      <c r="Y25" s="272"/>
      <c r="Z25" s="272"/>
      <c r="AA25" s="272"/>
      <c r="AB25" s="274"/>
      <c r="AC25" s="272"/>
      <c r="AD25" s="272"/>
      <c r="AE25" s="272"/>
      <c r="AF25" s="274"/>
      <c r="AG25" s="272"/>
      <c r="AH25" s="272"/>
      <c r="AI25" s="272"/>
      <c r="AJ25" s="274"/>
      <c r="AK25" s="272"/>
      <c r="AL25" s="272"/>
      <c r="AM25" s="272"/>
      <c r="AN25" s="274"/>
      <c r="AO25" s="272"/>
      <c r="AP25" s="272"/>
      <c r="AQ25" s="272"/>
      <c r="AR25" s="274"/>
      <c r="AS25" s="272"/>
      <c r="AT25" s="272"/>
      <c r="AU25" s="272"/>
      <c r="AV25" s="178"/>
    </row>
    <row r="26" spans="1:48" ht="12.75" x14ac:dyDescent="0.2">
      <c r="A26" s="275" t="s">
        <v>360</v>
      </c>
      <c r="B26" s="275"/>
      <c r="C26" s="272"/>
      <c r="D26" s="272"/>
      <c r="E26" s="272"/>
      <c r="F26" s="272"/>
      <c r="G26" s="272"/>
      <c r="H26" s="272"/>
      <c r="I26" s="272"/>
      <c r="J26" s="272"/>
      <c r="K26" s="272"/>
      <c r="L26" s="272"/>
      <c r="M26" s="272"/>
      <c r="N26" s="272"/>
      <c r="O26" s="272"/>
      <c r="P26" s="274"/>
      <c r="Q26" s="272"/>
      <c r="R26" s="272"/>
      <c r="S26" s="272"/>
      <c r="T26" s="274"/>
      <c r="U26" s="272"/>
      <c r="V26" s="272"/>
      <c r="W26" s="272"/>
      <c r="X26" s="274"/>
      <c r="Y26" s="272"/>
      <c r="Z26" s="272"/>
      <c r="AA26" s="272"/>
      <c r="AB26" s="274"/>
      <c r="AC26" s="272"/>
      <c r="AD26" s="272"/>
      <c r="AE26" s="272"/>
      <c r="AF26" s="274"/>
      <c r="AG26" s="272"/>
      <c r="AH26" s="272"/>
      <c r="AI26" s="272"/>
      <c r="AJ26" s="274"/>
      <c r="AK26" s="272"/>
      <c r="AL26" s="272"/>
      <c r="AM26" s="272"/>
      <c r="AN26" s="274"/>
      <c r="AO26" s="272"/>
      <c r="AP26" s="272"/>
      <c r="AQ26" s="272"/>
      <c r="AR26" s="274"/>
      <c r="AS26" s="272"/>
      <c r="AT26" s="272"/>
      <c r="AU26" s="272"/>
    </row>
    <row r="27" spans="1:48" ht="9" customHeight="1" x14ac:dyDescent="0.2">
      <c r="A27" s="290" t="s">
        <v>352</v>
      </c>
      <c r="B27" s="164">
        <v>2015</v>
      </c>
      <c r="C27" s="164">
        <v>2016</v>
      </c>
      <c r="D27" s="164">
        <v>2017</v>
      </c>
      <c r="E27" s="164">
        <v>2018</v>
      </c>
      <c r="F27" s="164">
        <v>2019</v>
      </c>
      <c r="G27" s="164">
        <v>2020</v>
      </c>
      <c r="H27" s="164">
        <v>2021</v>
      </c>
      <c r="I27" s="164">
        <v>2022</v>
      </c>
      <c r="J27" s="164">
        <v>2023</v>
      </c>
      <c r="K27" s="164">
        <v>2024</v>
      </c>
      <c r="L27" s="90"/>
      <c r="M27" s="164" t="s">
        <v>267</v>
      </c>
      <c r="N27" s="164" t="s">
        <v>268</v>
      </c>
      <c r="O27" s="164" t="s">
        <v>269</v>
      </c>
      <c r="P27" s="165" t="s">
        <v>270</v>
      </c>
      <c r="Q27" s="164" t="s">
        <v>131</v>
      </c>
      <c r="R27" s="164" t="s">
        <v>132</v>
      </c>
      <c r="S27" s="164" t="s">
        <v>133</v>
      </c>
      <c r="T27" s="165" t="s">
        <v>134</v>
      </c>
      <c r="U27" s="164" t="s">
        <v>135</v>
      </c>
      <c r="V27" s="164" t="s">
        <v>136</v>
      </c>
      <c r="W27" s="164" t="s">
        <v>137</v>
      </c>
      <c r="X27" s="165" t="s">
        <v>138</v>
      </c>
      <c r="Y27" s="164" t="s">
        <v>139</v>
      </c>
      <c r="Z27" s="164" t="s">
        <v>140</v>
      </c>
      <c r="AA27" s="164" t="s">
        <v>141</v>
      </c>
      <c r="AB27" s="165" t="s">
        <v>142</v>
      </c>
      <c r="AC27" s="164" t="s">
        <v>143</v>
      </c>
      <c r="AD27" s="164" t="s">
        <v>144</v>
      </c>
      <c r="AE27" s="164" t="s">
        <v>145</v>
      </c>
      <c r="AF27" s="165" t="s">
        <v>146</v>
      </c>
      <c r="AG27" s="164" t="s">
        <v>147</v>
      </c>
      <c r="AH27" s="164" t="s">
        <v>148</v>
      </c>
      <c r="AI27" s="164" t="s">
        <v>149</v>
      </c>
      <c r="AJ27" s="165" t="s">
        <v>150</v>
      </c>
      <c r="AK27" s="164" t="s">
        <v>151</v>
      </c>
      <c r="AL27" s="164" t="s">
        <v>152</v>
      </c>
      <c r="AM27" s="164" t="s">
        <v>153</v>
      </c>
      <c r="AN27" s="165" t="s">
        <v>154</v>
      </c>
      <c r="AO27" s="164" t="s">
        <v>155</v>
      </c>
      <c r="AP27" s="164" t="s">
        <v>156</v>
      </c>
      <c r="AQ27" s="164" t="s">
        <v>157</v>
      </c>
      <c r="AR27" s="165" t="s">
        <v>158</v>
      </c>
      <c r="AS27" s="164" t="s">
        <v>159</v>
      </c>
      <c r="AT27" s="164" t="s">
        <v>160</v>
      </c>
      <c r="AU27" s="164" t="s">
        <v>161</v>
      </c>
    </row>
    <row r="28" spans="1:48" ht="12.75" x14ac:dyDescent="0.2">
      <c r="A28" s="280" t="s">
        <v>354</v>
      </c>
      <c r="B28" s="281">
        <v>28662.561317075</v>
      </c>
      <c r="C28" s="281">
        <v>27102</v>
      </c>
      <c r="D28" s="281">
        <v>31364</v>
      </c>
      <c r="E28" s="281">
        <v>38285</v>
      </c>
      <c r="F28" s="281">
        <v>40849</v>
      </c>
      <c r="G28" s="281">
        <v>36122</v>
      </c>
      <c r="H28" s="281">
        <v>39645</v>
      </c>
      <c r="I28" s="281">
        <v>49694</v>
      </c>
      <c r="J28" s="281">
        <v>60343</v>
      </c>
      <c r="K28" s="281">
        <v>63604</v>
      </c>
      <c r="L28" s="282"/>
      <c r="M28" s="281">
        <v>7411</v>
      </c>
      <c r="N28" s="281">
        <v>7879</v>
      </c>
      <c r="O28" s="281">
        <v>7610</v>
      </c>
      <c r="P28" s="283">
        <v>8464</v>
      </c>
      <c r="Q28" s="281">
        <v>8233</v>
      </c>
      <c r="R28" s="281">
        <v>9843</v>
      </c>
      <c r="S28" s="281">
        <v>9651</v>
      </c>
      <c r="T28" s="283">
        <v>10558</v>
      </c>
      <c r="U28" s="281">
        <v>9785</v>
      </c>
      <c r="V28" s="281">
        <v>10626</v>
      </c>
      <c r="W28" s="281">
        <v>10158</v>
      </c>
      <c r="X28" s="283">
        <v>10280</v>
      </c>
      <c r="Y28" s="281">
        <v>9134</v>
      </c>
      <c r="Z28" s="281">
        <v>8458</v>
      </c>
      <c r="AA28" s="281">
        <v>8724</v>
      </c>
      <c r="AB28" s="283">
        <v>9806</v>
      </c>
      <c r="AC28" s="281">
        <v>8773</v>
      </c>
      <c r="AD28" s="281">
        <v>9733</v>
      </c>
      <c r="AE28" s="281">
        <v>9966</v>
      </c>
      <c r="AF28" s="283">
        <v>11173</v>
      </c>
      <c r="AG28" s="281">
        <v>11088</v>
      </c>
      <c r="AH28" s="281">
        <v>11868</v>
      </c>
      <c r="AI28" s="281">
        <v>12802</v>
      </c>
      <c r="AJ28" s="283">
        <v>13936</v>
      </c>
      <c r="AK28" s="281">
        <v>13868</v>
      </c>
      <c r="AL28" s="281">
        <v>15910</v>
      </c>
      <c r="AM28" s="281">
        <v>14997</v>
      </c>
      <c r="AN28" s="283">
        <v>15568</v>
      </c>
      <c r="AO28" s="281">
        <v>14143</v>
      </c>
      <c r="AP28" s="281">
        <v>16511</v>
      </c>
      <c r="AQ28" s="281">
        <v>15699</v>
      </c>
      <c r="AR28" s="283">
        <v>17251</v>
      </c>
      <c r="AS28" s="281">
        <v>15536</v>
      </c>
      <c r="AT28" s="281">
        <v>15130</v>
      </c>
      <c r="AU28" s="281">
        <v>15242</v>
      </c>
    </row>
    <row r="29" spans="1:48" ht="12.75" x14ac:dyDescent="0.2">
      <c r="A29" s="272" t="s">
        <v>355</v>
      </c>
      <c r="B29" s="284">
        <v>6722.1259483753547</v>
      </c>
      <c r="C29" s="284">
        <v>6245</v>
      </c>
      <c r="D29" s="284">
        <v>7136</v>
      </c>
      <c r="E29" s="284">
        <v>8447</v>
      </c>
      <c r="F29" s="284">
        <v>8940</v>
      </c>
      <c r="G29" s="284">
        <v>7731</v>
      </c>
      <c r="H29" s="284">
        <v>8856</v>
      </c>
      <c r="I29" s="284">
        <v>12814</v>
      </c>
      <c r="J29" s="284">
        <v>15428</v>
      </c>
      <c r="K29" s="284">
        <v>17795</v>
      </c>
      <c r="L29" s="284"/>
      <c r="M29" s="284">
        <v>1806</v>
      </c>
      <c r="N29" s="284">
        <v>1722</v>
      </c>
      <c r="O29" s="284">
        <v>1785</v>
      </c>
      <c r="P29" s="285">
        <v>1823</v>
      </c>
      <c r="Q29" s="284">
        <v>1888</v>
      </c>
      <c r="R29" s="284">
        <v>2118</v>
      </c>
      <c r="S29" s="284">
        <v>2141</v>
      </c>
      <c r="T29" s="285">
        <v>2300</v>
      </c>
      <c r="U29" s="284">
        <v>2227</v>
      </c>
      <c r="V29" s="284">
        <v>2403</v>
      </c>
      <c r="W29" s="284">
        <v>2191</v>
      </c>
      <c r="X29" s="285">
        <v>2119</v>
      </c>
      <c r="Y29" s="284">
        <v>2099</v>
      </c>
      <c r="Z29" s="284">
        <v>1841</v>
      </c>
      <c r="AA29" s="284">
        <v>1962</v>
      </c>
      <c r="AB29" s="285">
        <v>1829</v>
      </c>
      <c r="AC29" s="284">
        <v>1915</v>
      </c>
      <c r="AD29" s="284">
        <v>2158</v>
      </c>
      <c r="AE29" s="284">
        <v>2326</v>
      </c>
      <c r="AF29" s="285">
        <v>2457</v>
      </c>
      <c r="AG29" s="284">
        <v>2767</v>
      </c>
      <c r="AH29" s="284">
        <v>3139</v>
      </c>
      <c r="AI29" s="284">
        <v>3433</v>
      </c>
      <c r="AJ29" s="285">
        <v>3475</v>
      </c>
      <c r="AK29" s="284">
        <v>3759</v>
      </c>
      <c r="AL29" s="284">
        <v>3954</v>
      </c>
      <c r="AM29" s="284">
        <v>3817</v>
      </c>
      <c r="AN29" s="285">
        <v>3898</v>
      </c>
      <c r="AO29" s="284">
        <v>3927</v>
      </c>
      <c r="AP29" s="284">
        <v>4860</v>
      </c>
      <c r="AQ29" s="284">
        <v>4348</v>
      </c>
      <c r="AR29" s="285">
        <v>4660</v>
      </c>
      <c r="AS29" s="284">
        <v>4719</v>
      </c>
      <c r="AT29" s="284">
        <v>4470</v>
      </c>
      <c r="AU29" s="284">
        <v>4279</v>
      </c>
    </row>
    <row r="30" spans="1:48" ht="12.75" x14ac:dyDescent="0.2">
      <c r="A30" s="272" t="s">
        <v>356</v>
      </c>
      <c r="B30" s="284">
        <v>4135.6690319910449</v>
      </c>
      <c r="C30" s="284">
        <v>3537</v>
      </c>
      <c r="D30" s="284">
        <v>4276</v>
      </c>
      <c r="E30" s="284">
        <v>5026</v>
      </c>
      <c r="F30" s="284">
        <v>6380</v>
      </c>
      <c r="G30" s="284">
        <v>4636</v>
      </c>
      <c r="H30" s="284">
        <v>5297</v>
      </c>
      <c r="I30" s="284">
        <v>6845</v>
      </c>
      <c r="J30" s="284">
        <v>8471</v>
      </c>
      <c r="K30" s="284">
        <v>7760</v>
      </c>
      <c r="L30" s="284"/>
      <c r="M30" s="284">
        <v>1100</v>
      </c>
      <c r="N30" s="284">
        <v>1104</v>
      </c>
      <c r="O30" s="284">
        <v>969</v>
      </c>
      <c r="P30" s="285">
        <v>1103</v>
      </c>
      <c r="Q30" s="284">
        <v>1024</v>
      </c>
      <c r="R30" s="284">
        <v>1199</v>
      </c>
      <c r="S30" s="284">
        <v>1230</v>
      </c>
      <c r="T30" s="285">
        <v>1573</v>
      </c>
      <c r="U30" s="284">
        <v>1571</v>
      </c>
      <c r="V30" s="284">
        <v>1616</v>
      </c>
      <c r="W30" s="284">
        <v>1646</v>
      </c>
      <c r="X30" s="285">
        <v>1547</v>
      </c>
      <c r="Y30" s="284">
        <v>1116</v>
      </c>
      <c r="Z30" s="284">
        <v>1251</v>
      </c>
      <c r="AA30" s="284">
        <v>994</v>
      </c>
      <c r="AB30" s="285">
        <v>1275</v>
      </c>
      <c r="AC30" s="284">
        <v>1156</v>
      </c>
      <c r="AD30" s="284">
        <v>1378</v>
      </c>
      <c r="AE30" s="284">
        <v>1368</v>
      </c>
      <c r="AF30" s="285">
        <v>1395</v>
      </c>
      <c r="AG30" s="284">
        <v>1565</v>
      </c>
      <c r="AH30" s="284">
        <v>1597</v>
      </c>
      <c r="AI30" s="284">
        <v>1810</v>
      </c>
      <c r="AJ30" s="285">
        <v>1873</v>
      </c>
      <c r="AK30" s="284">
        <v>1985</v>
      </c>
      <c r="AL30" s="284">
        <v>2116</v>
      </c>
      <c r="AM30" s="284">
        <v>2194</v>
      </c>
      <c r="AN30" s="285">
        <v>2176</v>
      </c>
      <c r="AO30" s="284">
        <v>1737</v>
      </c>
      <c r="AP30" s="284">
        <v>2122</v>
      </c>
      <c r="AQ30" s="284">
        <v>1809</v>
      </c>
      <c r="AR30" s="285">
        <v>2092</v>
      </c>
      <c r="AS30" s="284">
        <v>1919</v>
      </c>
      <c r="AT30" s="284">
        <v>1932</v>
      </c>
      <c r="AU30" s="284">
        <v>2043</v>
      </c>
    </row>
    <row r="31" spans="1:48" ht="12.75" x14ac:dyDescent="0.2">
      <c r="A31" s="272" t="s">
        <v>357</v>
      </c>
      <c r="B31" s="284">
        <v>6624.6941099552696</v>
      </c>
      <c r="C31" s="284">
        <v>6895</v>
      </c>
      <c r="D31" s="284">
        <v>7992</v>
      </c>
      <c r="E31" s="284">
        <v>9104</v>
      </c>
      <c r="F31" s="284">
        <v>9431</v>
      </c>
      <c r="G31" s="284">
        <v>8678</v>
      </c>
      <c r="H31" s="284">
        <v>8817</v>
      </c>
      <c r="I31" s="284">
        <v>8327</v>
      </c>
      <c r="J31" s="284">
        <v>8626</v>
      </c>
      <c r="K31" s="284">
        <v>8719</v>
      </c>
      <c r="L31" s="284"/>
      <c r="M31" s="284">
        <v>1758</v>
      </c>
      <c r="N31" s="284">
        <v>2109</v>
      </c>
      <c r="O31" s="284">
        <v>1977</v>
      </c>
      <c r="P31" s="285">
        <v>2148</v>
      </c>
      <c r="Q31" s="284">
        <v>1864</v>
      </c>
      <c r="R31" s="284">
        <v>2471</v>
      </c>
      <c r="S31" s="284">
        <v>2224</v>
      </c>
      <c r="T31" s="285">
        <v>2545</v>
      </c>
      <c r="U31" s="284">
        <v>2432</v>
      </c>
      <c r="V31" s="284">
        <v>2473</v>
      </c>
      <c r="W31" s="284">
        <v>2154</v>
      </c>
      <c r="X31" s="285">
        <v>2372</v>
      </c>
      <c r="Y31" s="284">
        <v>2132</v>
      </c>
      <c r="Z31" s="284">
        <v>1959</v>
      </c>
      <c r="AA31" s="284">
        <v>2096</v>
      </c>
      <c r="AB31" s="285">
        <v>2491</v>
      </c>
      <c r="AC31" s="284">
        <v>1992</v>
      </c>
      <c r="AD31" s="284">
        <v>2172</v>
      </c>
      <c r="AE31" s="284">
        <v>2172</v>
      </c>
      <c r="AF31" s="285">
        <v>2481</v>
      </c>
      <c r="AG31" s="284">
        <v>2172</v>
      </c>
      <c r="AH31" s="284">
        <v>2177</v>
      </c>
      <c r="AI31" s="284">
        <v>1832</v>
      </c>
      <c r="AJ31" s="285">
        <v>2146</v>
      </c>
      <c r="AK31" s="284">
        <v>2155</v>
      </c>
      <c r="AL31" s="284">
        <v>2426</v>
      </c>
      <c r="AM31" s="284">
        <v>1850</v>
      </c>
      <c r="AN31" s="285">
        <v>2195</v>
      </c>
      <c r="AO31" s="284">
        <v>2022</v>
      </c>
      <c r="AP31" s="284">
        <v>2249</v>
      </c>
      <c r="AQ31" s="284">
        <v>2086</v>
      </c>
      <c r="AR31" s="285">
        <v>2362</v>
      </c>
      <c r="AS31" s="284">
        <v>1930</v>
      </c>
      <c r="AT31" s="284">
        <v>2034</v>
      </c>
      <c r="AU31" s="284">
        <v>1970</v>
      </c>
    </row>
    <row r="32" spans="1:48" ht="12.75" x14ac:dyDescent="0.2">
      <c r="A32" s="272" t="s">
        <v>358</v>
      </c>
      <c r="B32" s="284">
        <v>4522</v>
      </c>
      <c r="C32" s="284">
        <v>3840</v>
      </c>
      <c r="D32" s="284">
        <v>4085</v>
      </c>
      <c r="E32" s="284">
        <v>5353</v>
      </c>
      <c r="F32" s="284">
        <v>5433</v>
      </c>
      <c r="G32" s="284">
        <v>5020</v>
      </c>
      <c r="H32" s="284">
        <v>5489</v>
      </c>
      <c r="I32" s="284">
        <v>7757</v>
      </c>
      <c r="J32" s="284">
        <v>9900</v>
      </c>
      <c r="K32" s="284">
        <v>10832</v>
      </c>
      <c r="L32" s="284"/>
      <c r="M32" s="284">
        <v>997</v>
      </c>
      <c r="N32" s="284">
        <v>1003</v>
      </c>
      <c r="O32" s="284">
        <v>1037</v>
      </c>
      <c r="P32" s="285">
        <v>1048</v>
      </c>
      <c r="Q32" s="284">
        <v>1103</v>
      </c>
      <c r="R32" s="284">
        <v>1350</v>
      </c>
      <c r="S32" s="284">
        <v>1444</v>
      </c>
      <c r="T32" s="285">
        <v>1456</v>
      </c>
      <c r="U32" s="284">
        <v>1182</v>
      </c>
      <c r="V32" s="284">
        <v>1396</v>
      </c>
      <c r="W32" s="284">
        <v>1351</v>
      </c>
      <c r="X32" s="285">
        <v>1504</v>
      </c>
      <c r="Y32" s="284">
        <v>1369</v>
      </c>
      <c r="Z32" s="284">
        <v>1063</v>
      </c>
      <c r="AA32" s="284">
        <v>1283</v>
      </c>
      <c r="AB32" s="285">
        <v>1305</v>
      </c>
      <c r="AC32" s="284">
        <v>1208</v>
      </c>
      <c r="AD32" s="284">
        <v>1405</v>
      </c>
      <c r="AE32" s="284">
        <v>1406</v>
      </c>
      <c r="AF32" s="285">
        <v>1470</v>
      </c>
      <c r="AG32" s="284">
        <v>1683</v>
      </c>
      <c r="AH32" s="284">
        <v>1902</v>
      </c>
      <c r="AI32" s="284">
        <v>2046</v>
      </c>
      <c r="AJ32" s="285">
        <v>2126</v>
      </c>
      <c r="AK32" s="284">
        <v>2048</v>
      </c>
      <c r="AL32" s="284">
        <v>2786</v>
      </c>
      <c r="AM32" s="284">
        <v>2611</v>
      </c>
      <c r="AN32" s="285">
        <v>2455</v>
      </c>
      <c r="AO32" s="284">
        <v>2254</v>
      </c>
      <c r="AP32" s="284">
        <v>2725</v>
      </c>
      <c r="AQ32" s="284">
        <v>2759</v>
      </c>
      <c r="AR32" s="285">
        <v>3094</v>
      </c>
      <c r="AS32" s="284">
        <v>2528</v>
      </c>
      <c r="AT32" s="284">
        <v>2248</v>
      </c>
      <c r="AU32" s="284">
        <v>2445</v>
      </c>
    </row>
    <row r="33" spans="1:47" ht="12.75" x14ac:dyDescent="0.2">
      <c r="A33" s="272" t="s">
        <v>359</v>
      </c>
      <c r="B33" s="284">
        <v>6658</v>
      </c>
      <c r="C33" s="284">
        <v>6585</v>
      </c>
      <c r="D33" s="284">
        <v>7875</v>
      </c>
      <c r="E33" s="284">
        <v>10355</v>
      </c>
      <c r="F33" s="284">
        <v>10665</v>
      </c>
      <c r="G33" s="284">
        <v>10057</v>
      </c>
      <c r="H33" s="284">
        <v>11186</v>
      </c>
      <c r="I33" s="284">
        <v>13951</v>
      </c>
      <c r="J33" s="284">
        <v>17918</v>
      </c>
      <c r="K33" s="284">
        <v>18498</v>
      </c>
      <c r="L33" s="284"/>
      <c r="M33" s="284">
        <v>1750</v>
      </c>
      <c r="N33" s="284">
        <v>1941</v>
      </c>
      <c r="O33" s="284">
        <v>1842</v>
      </c>
      <c r="P33" s="285">
        <v>2342</v>
      </c>
      <c r="Q33" s="284">
        <v>2354</v>
      </c>
      <c r="R33" s="284">
        <v>2705</v>
      </c>
      <c r="S33" s="284">
        <v>2612</v>
      </c>
      <c r="T33" s="285">
        <v>2684</v>
      </c>
      <c r="U33" s="284">
        <v>2373</v>
      </c>
      <c r="V33" s="284">
        <v>2738</v>
      </c>
      <c r="W33" s="284">
        <v>2816</v>
      </c>
      <c r="X33" s="285">
        <v>2738</v>
      </c>
      <c r="Y33" s="284">
        <v>2418</v>
      </c>
      <c r="Z33" s="284">
        <v>2344</v>
      </c>
      <c r="AA33" s="284">
        <v>2389</v>
      </c>
      <c r="AB33" s="285">
        <v>2906</v>
      </c>
      <c r="AC33" s="284">
        <v>2502</v>
      </c>
      <c r="AD33" s="284">
        <v>2620</v>
      </c>
      <c r="AE33" s="284">
        <v>2694</v>
      </c>
      <c r="AF33" s="285">
        <v>3370</v>
      </c>
      <c r="AG33" s="284">
        <v>2901</v>
      </c>
      <c r="AH33" s="284">
        <v>3053</v>
      </c>
      <c r="AI33" s="284">
        <v>3681</v>
      </c>
      <c r="AJ33" s="285">
        <v>4316</v>
      </c>
      <c r="AK33" s="284">
        <v>3921</v>
      </c>
      <c r="AL33" s="284">
        <v>4628</v>
      </c>
      <c r="AM33" s="284">
        <v>4525</v>
      </c>
      <c r="AN33" s="285">
        <v>4844</v>
      </c>
      <c r="AO33" s="284">
        <v>4203</v>
      </c>
      <c r="AP33" s="284">
        <v>4555</v>
      </c>
      <c r="AQ33" s="284">
        <v>4697</v>
      </c>
      <c r="AR33" s="285">
        <v>5043</v>
      </c>
      <c r="AS33" s="284">
        <v>4440</v>
      </c>
      <c r="AT33" s="284">
        <v>4446</v>
      </c>
      <c r="AU33" s="284">
        <v>4505</v>
      </c>
    </row>
    <row r="34" spans="1:47" ht="12.75" x14ac:dyDescent="0.2">
      <c r="A34" s="272"/>
      <c r="B34" s="272"/>
      <c r="C34" s="272"/>
      <c r="D34" s="284"/>
      <c r="E34" s="284"/>
      <c r="F34" s="284"/>
      <c r="G34" s="284"/>
      <c r="H34" s="284" t="s">
        <v>306</v>
      </c>
      <c r="I34" s="284"/>
      <c r="J34" s="284" t="s">
        <v>306</v>
      </c>
      <c r="K34" s="284"/>
      <c r="L34" s="284"/>
      <c r="M34" s="272"/>
      <c r="N34" s="272"/>
      <c r="O34" s="272"/>
      <c r="P34" s="285"/>
      <c r="Q34" s="284"/>
      <c r="R34" s="284"/>
      <c r="S34" s="284"/>
      <c r="T34" s="285"/>
      <c r="U34" s="284"/>
      <c r="V34" s="284"/>
      <c r="W34" s="284"/>
      <c r="X34" s="285"/>
      <c r="Y34" s="284"/>
      <c r="Z34" s="284"/>
      <c r="AA34" s="284"/>
      <c r="AB34" s="285"/>
      <c r="AC34" s="284"/>
      <c r="AD34" s="284" t="s">
        <v>306</v>
      </c>
      <c r="AE34" s="284" t="s">
        <v>306</v>
      </c>
      <c r="AF34" s="285" t="s">
        <v>306</v>
      </c>
      <c r="AG34" s="284"/>
      <c r="AH34" s="284" t="s">
        <v>306</v>
      </c>
      <c r="AI34" s="284" t="s">
        <v>306</v>
      </c>
      <c r="AJ34" s="285"/>
      <c r="AK34" s="284"/>
      <c r="AL34" s="284"/>
      <c r="AM34" s="284"/>
      <c r="AN34" s="285"/>
      <c r="AO34" s="284" t="s">
        <v>306</v>
      </c>
      <c r="AP34" s="284"/>
      <c r="AQ34" s="284"/>
      <c r="AR34" s="285" t="s">
        <v>306</v>
      </c>
      <c r="AS34" s="284"/>
      <c r="AT34" s="284"/>
      <c r="AU34" s="284"/>
    </row>
    <row r="35" spans="1:47" ht="12.75" x14ac:dyDescent="0.2">
      <c r="A35" s="280" t="s">
        <v>296</v>
      </c>
      <c r="B35" s="281">
        <v>20317</v>
      </c>
      <c r="C35" s="281">
        <v>18898</v>
      </c>
      <c r="D35" s="281">
        <v>22383</v>
      </c>
      <c r="E35" s="281">
        <v>28540</v>
      </c>
      <c r="F35" s="281">
        <v>29891</v>
      </c>
      <c r="G35" s="281">
        <v>26928</v>
      </c>
      <c r="H35" s="281">
        <v>29320</v>
      </c>
      <c r="I35" s="286">
        <v>38904</v>
      </c>
      <c r="J35" s="281">
        <v>47530</v>
      </c>
      <c r="K35" s="281">
        <v>48914</v>
      </c>
      <c r="L35" s="282"/>
      <c r="M35" s="281">
        <v>5220</v>
      </c>
      <c r="N35" s="281">
        <v>5495</v>
      </c>
      <c r="O35" s="281">
        <v>5406</v>
      </c>
      <c r="P35" s="283">
        <v>6262</v>
      </c>
      <c r="Q35" s="281">
        <v>5943</v>
      </c>
      <c r="R35" s="281">
        <v>7325</v>
      </c>
      <c r="S35" s="281">
        <v>7178</v>
      </c>
      <c r="T35" s="283">
        <v>8094</v>
      </c>
      <c r="U35" s="281">
        <v>7115</v>
      </c>
      <c r="V35" s="281">
        <v>7702</v>
      </c>
      <c r="W35" s="281">
        <v>7334</v>
      </c>
      <c r="X35" s="283">
        <v>7740</v>
      </c>
      <c r="Y35" s="281">
        <v>6579</v>
      </c>
      <c r="Z35" s="281">
        <v>6422</v>
      </c>
      <c r="AA35" s="281">
        <v>6471</v>
      </c>
      <c r="AB35" s="283">
        <v>7456</v>
      </c>
      <c r="AC35" s="281">
        <v>6391</v>
      </c>
      <c r="AD35" s="281">
        <v>7187</v>
      </c>
      <c r="AE35" s="281">
        <v>7242</v>
      </c>
      <c r="AF35" s="283">
        <v>8500</v>
      </c>
      <c r="AG35" s="286">
        <v>8485</v>
      </c>
      <c r="AH35" s="286">
        <v>9060</v>
      </c>
      <c r="AI35" s="286">
        <v>10070</v>
      </c>
      <c r="AJ35" s="287">
        <v>11289</v>
      </c>
      <c r="AK35" s="281">
        <v>10733</v>
      </c>
      <c r="AL35" s="281">
        <v>12510</v>
      </c>
      <c r="AM35" s="281">
        <v>11729</v>
      </c>
      <c r="AN35" s="283">
        <v>12558</v>
      </c>
      <c r="AO35" s="281">
        <v>11212</v>
      </c>
      <c r="AP35" s="281">
        <v>12516</v>
      </c>
      <c r="AQ35" s="281">
        <v>11875</v>
      </c>
      <c r="AR35" s="283">
        <v>13311</v>
      </c>
      <c r="AS35" s="281">
        <v>11704</v>
      </c>
      <c r="AT35" s="281">
        <v>11435</v>
      </c>
      <c r="AU35" s="281">
        <v>11513</v>
      </c>
    </row>
    <row r="36" spans="1:47" ht="12.75" x14ac:dyDescent="0.2">
      <c r="A36" s="272" t="s">
        <v>355</v>
      </c>
      <c r="B36" s="284">
        <v>3895</v>
      </c>
      <c r="C36" s="284">
        <v>3745</v>
      </c>
      <c r="D36" s="284">
        <v>4357</v>
      </c>
      <c r="E36" s="284">
        <v>5639</v>
      </c>
      <c r="F36" s="284">
        <v>5844</v>
      </c>
      <c r="G36" s="284">
        <v>5181</v>
      </c>
      <c r="H36" s="284">
        <v>6045</v>
      </c>
      <c r="I36" s="288">
        <v>9681</v>
      </c>
      <c r="J36" s="284">
        <v>11427</v>
      </c>
      <c r="K36" s="284">
        <v>11679</v>
      </c>
      <c r="L36" s="284"/>
      <c r="M36" s="284">
        <v>1126</v>
      </c>
      <c r="N36" s="284">
        <v>958</v>
      </c>
      <c r="O36" s="284">
        <v>1084</v>
      </c>
      <c r="P36" s="285">
        <v>1189</v>
      </c>
      <c r="Q36" s="284">
        <v>1173</v>
      </c>
      <c r="R36" s="284">
        <v>1410</v>
      </c>
      <c r="S36" s="284">
        <v>1412</v>
      </c>
      <c r="T36" s="285">
        <v>1644</v>
      </c>
      <c r="U36" s="284">
        <v>1425</v>
      </c>
      <c r="V36" s="284">
        <v>1580</v>
      </c>
      <c r="W36" s="284">
        <v>1362</v>
      </c>
      <c r="X36" s="285">
        <v>1477</v>
      </c>
      <c r="Y36" s="284">
        <v>1332</v>
      </c>
      <c r="Z36" s="284">
        <v>1261</v>
      </c>
      <c r="AA36" s="284">
        <v>1343</v>
      </c>
      <c r="AB36" s="285">
        <v>1245</v>
      </c>
      <c r="AC36" s="284">
        <v>1233</v>
      </c>
      <c r="AD36" s="284">
        <v>1453</v>
      </c>
      <c r="AE36" s="284">
        <v>1587</v>
      </c>
      <c r="AF36" s="285">
        <v>1772</v>
      </c>
      <c r="AG36" s="288">
        <v>2036</v>
      </c>
      <c r="AH36" s="288">
        <v>2286</v>
      </c>
      <c r="AI36" s="288">
        <v>2603</v>
      </c>
      <c r="AJ36" s="289">
        <v>2756</v>
      </c>
      <c r="AK36" s="284">
        <v>2706</v>
      </c>
      <c r="AL36" s="284">
        <v>2960</v>
      </c>
      <c r="AM36" s="284">
        <v>2803</v>
      </c>
      <c r="AN36" s="285">
        <v>2958</v>
      </c>
      <c r="AO36" s="284">
        <v>2995</v>
      </c>
      <c r="AP36" s="284">
        <v>3006</v>
      </c>
      <c r="AQ36" s="284">
        <v>2694</v>
      </c>
      <c r="AR36" s="285">
        <v>2984</v>
      </c>
      <c r="AS36" s="284">
        <v>2955</v>
      </c>
      <c r="AT36" s="284">
        <v>2810</v>
      </c>
      <c r="AU36" s="284">
        <v>2629</v>
      </c>
    </row>
    <row r="37" spans="1:47" ht="12.75" x14ac:dyDescent="0.2">
      <c r="A37" s="272" t="s">
        <v>356</v>
      </c>
      <c r="B37" s="284">
        <v>3183</v>
      </c>
      <c r="C37" s="284">
        <v>2643</v>
      </c>
      <c r="D37" s="284">
        <v>3311</v>
      </c>
      <c r="E37" s="284">
        <v>4175</v>
      </c>
      <c r="F37" s="284">
        <v>5295</v>
      </c>
      <c r="G37" s="284">
        <v>3798</v>
      </c>
      <c r="H37" s="284">
        <v>4321</v>
      </c>
      <c r="I37" s="288">
        <v>5876</v>
      </c>
      <c r="J37" s="284">
        <v>7201</v>
      </c>
      <c r="K37" s="284">
        <v>6838</v>
      </c>
      <c r="L37" s="284"/>
      <c r="M37" s="284">
        <v>827</v>
      </c>
      <c r="N37" s="284">
        <v>880</v>
      </c>
      <c r="O37" s="284">
        <v>745</v>
      </c>
      <c r="P37" s="285">
        <v>859</v>
      </c>
      <c r="Q37" s="284">
        <v>813</v>
      </c>
      <c r="R37" s="284">
        <v>981</v>
      </c>
      <c r="S37" s="284">
        <v>1020</v>
      </c>
      <c r="T37" s="285">
        <v>1361</v>
      </c>
      <c r="U37" s="284">
        <v>1327</v>
      </c>
      <c r="V37" s="284">
        <v>1341</v>
      </c>
      <c r="W37" s="284">
        <v>1356</v>
      </c>
      <c r="X37" s="285">
        <v>1271</v>
      </c>
      <c r="Y37" s="284">
        <v>875</v>
      </c>
      <c r="Z37" s="284">
        <v>1073</v>
      </c>
      <c r="AA37" s="284">
        <v>789</v>
      </c>
      <c r="AB37" s="285">
        <v>1061</v>
      </c>
      <c r="AC37" s="284">
        <v>930</v>
      </c>
      <c r="AD37" s="284">
        <v>1130</v>
      </c>
      <c r="AE37" s="284">
        <v>1111</v>
      </c>
      <c r="AF37" s="285">
        <v>1150</v>
      </c>
      <c r="AG37" s="288">
        <v>1330</v>
      </c>
      <c r="AH37" s="288">
        <v>1353</v>
      </c>
      <c r="AI37" s="288">
        <v>1556</v>
      </c>
      <c r="AJ37" s="289">
        <v>1637</v>
      </c>
      <c r="AK37" s="284">
        <v>1716</v>
      </c>
      <c r="AL37" s="284">
        <v>1772</v>
      </c>
      <c r="AM37" s="284">
        <v>1798</v>
      </c>
      <c r="AN37" s="285">
        <v>1915</v>
      </c>
      <c r="AO37" s="284">
        <v>1473</v>
      </c>
      <c r="AP37" s="284">
        <v>1898</v>
      </c>
      <c r="AQ37" s="284">
        <v>1588</v>
      </c>
      <c r="AR37" s="285">
        <v>1879</v>
      </c>
      <c r="AS37" s="284">
        <v>1705</v>
      </c>
      <c r="AT37" s="284">
        <v>1724</v>
      </c>
      <c r="AU37" s="284">
        <v>1805</v>
      </c>
    </row>
    <row r="38" spans="1:47" ht="12.75" x14ac:dyDescent="0.2">
      <c r="A38" s="272" t="s">
        <v>357</v>
      </c>
      <c r="B38" s="284">
        <v>5211</v>
      </c>
      <c r="C38" s="284">
        <v>4937</v>
      </c>
      <c r="D38" s="284">
        <v>6081</v>
      </c>
      <c r="E38" s="284">
        <v>6225</v>
      </c>
      <c r="F38" s="284">
        <v>6522</v>
      </c>
      <c r="G38" s="284">
        <v>6074</v>
      </c>
      <c r="H38" s="284">
        <v>5949</v>
      </c>
      <c r="I38" s="288">
        <v>5687</v>
      </c>
      <c r="J38" s="284">
        <v>6091</v>
      </c>
      <c r="K38" s="284">
        <v>6151</v>
      </c>
      <c r="L38" s="284"/>
      <c r="M38" s="284">
        <v>1323</v>
      </c>
      <c r="N38" s="284">
        <v>1564</v>
      </c>
      <c r="O38" s="284">
        <v>1484</v>
      </c>
      <c r="P38" s="285">
        <v>1710</v>
      </c>
      <c r="Q38" s="284">
        <v>1235</v>
      </c>
      <c r="R38" s="284">
        <v>1696</v>
      </c>
      <c r="S38" s="284">
        <v>1488</v>
      </c>
      <c r="T38" s="285">
        <v>1807</v>
      </c>
      <c r="U38" s="284">
        <v>1674</v>
      </c>
      <c r="V38" s="284">
        <v>1682</v>
      </c>
      <c r="W38" s="284">
        <v>1469</v>
      </c>
      <c r="X38" s="285">
        <v>1697</v>
      </c>
      <c r="Y38" s="284">
        <v>1427</v>
      </c>
      <c r="Z38" s="284">
        <v>1362</v>
      </c>
      <c r="AA38" s="284">
        <v>1472</v>
      </c>
      <c r="AB38" s="285">
        <v>1813</v>
      </c>
      <c r="AC38" s="284">
        <v>1308</v>
      </c>
      <c r="AD38" s="284">
        <v>1456</v>
      </c>
      <c r="AE38" s="284">
        <v>1435</v>
      </c>
      <c r="AF38" s="285">
        <v>1750</v>
      </c>
      <c r="AG38" s="288">
        <v>1506</v>
      </c>
      <c r="AH38" s="288">
        <v>1523</v>
      </c>
      <c r="AI38" s="288">
        <v>1197</v>
      </c>
      <c r="AJ38" s="289">
        <v>1461</v>
      </c>
      <c r="AK38" s="284">
        <v>1463</v>
      </c>
      <c r="AL38" s="284">
        <v>1713</v>
      </c>
      <c r="AM38" s="284">
        <v>1299</v>
      </c>
      <c r="AN38" s="285">
        <v>1616</v>
      </c>
      <c r="AO38" s="284">
        <v>1489</v>
      </c>
      <c r="AP38" s="284">
        <v>1550</v>
      </c>
      <c r="AQ38" s="284">
        <v>1482</v>
      </c>
      <c r="AR38" s="285">
        <v>1630</v>
      </c>
      <c r="AS38" s="284">
        <v>1255</v>
      </c>
      <c r="AT38" s="284">
        <v>1340</v>
      </c>
      <c r="AU38" s="284">
        <v>1278</v>
      </c>
    </row>
    <row r="39" spans="1:47" ht="12.75" x14ac:dyDescent="0.2">
      <c r="A39" s="272" t="s">
        <v>358</v>
      </c>
      <c r="B39" s="284">
        <v>3116</v>
      </c>
      <c r="C39" s="284">
        <v>2647</v>
      </c>
      <c r="D39" s="284">
        <v>2638</v>
      </c>
      <c r="E39" s="284">
        <v>3823</v>
      </c>
      <c r="F39" s="284">
        <v>3429</v>
      </c>
      <c r="G39" s="284">
        <v>3427</v>
      </c>
      <c r="H39" s="284">
        <v>3670</v>
      </c>
      <c r="I39" s="288">
        <v>5869</v>
      </c>
      <c r="J39" s="284">
        <v>7712</v>
      </c>
      <c r="K39" s="284">
        <v>8592</v>
      </c>
      <c r="L39" s="284"/>
      <c r="M39" s="284">
        <v>615</v>
      </c>
      <c r="N39" s="284">
        <v>647</v>
      </c>
      <c r="O39" s="284">
        <v>691</v>
      </c>
      <c r="P39" s="285">
        <v>685</v>
      </c>
      <c r="Q39" s="284">
        <v>766</v>
      </c>
      <c r="R39" s="284">
        <v>972</v>
      </c>
      <c r="S39" s="284">
        <v>1054</v>
      </c>
      <c r="T39" s="285">
        <v>1031</v>
      </c>
      <c r="U39" s="284">
        <v>787</v>
      </c>
      <c r="V39" s="284">
        <v>847</v>
      </c>
      <c r="W39" s="284">
        <v>792</v>
      </c>
      <c r="X39" s="285">
        <v>1003</v>
      </c>
      <c r="Y39" s="284">
        <v>923</v>
      </c>
      <c r="Z39" s="284">
        <v>761</v>
      </c>
      <c r="AA39" s="284">
        <v>868</v>
      </c>
      <c r="AB39" s="285">
        <v>875</v>
      </c>
      <c r="AC39" s="284">
        <v>825</v>
      </c>
      <c r="AD39" s="284">
        <v>941</v>
      </c>
      <c r="AE39" s="284">
        <v>896</v>
      </c>
      <c r="AF39" s="285">
        <v>1008</v>
      </c>
      <c r="AG39" s="288">
        <v>1229</v>
      </c>
      <c r="AH39" s="288">
        <v>1427</v>
      </c>
      <c r="AI39" s="288">
        <v>1552</v>
      </c>
      <c r="AJ39" s="289">
        <v>1661</v>
      </c>
      <c r="AK39" s="284">
        <v>1545</v>
      </c>
      <c r="AL39" s="284">
        <v>2219</v>
      </c>
      <c r="AM39" s="284">
        <v>2013</v>
      </c>
      <c r="AN39" s="285">
        <v>1935</v>
      </c>
      <c r="AO39" s="284">
        <v>1718</v>
      </c>
      <c r="AP39" s="284">
        <v>2199</v>
      </c>
      <c r="AQ39" s="284">
        <v>2146</v>
      </c>
      <c r="AR39" s="285">
        <v>2529</v>
      </c>
      <c r="AS39" s="284">
        <v>2012</v>
      </c>
      <c r="AT39" s="284">
        <v>1749</v>
      </c>
      <c r="AU39" s="284">
        <v>1906</v>
      </c>
    </row>
    <row r="40" spans="1:47" ht="12.75" x14ac:dyDescent="0.2">
      <c r="A40" s="272" t="s">
        <v>359</v>
      </c>
      <c r="B40" s="284">
        <v>4912</v>
      </c>
      <c r="C40" s="284">
        <v>4926</v>
      </c>
      <c r="D40" s="284">
        <v>5996</v>
      </c>
      <c r="E40" s="284">
        <v>8678</v>
      </c>
      <c r="F40" s="284">
        <v>8801</v>
      </c>
      <c r="G40" s="284">
        <v>8448</v>
      </c>
      <c r="H40" s="284">
        <v>9335</v>
      </c>
      <c r="I40" s="288">
        <v>11791</v>
      </c>
      <c r="J40" s="284">
        <v>15099</v>
      </c>
      <c r="K40" s="284">
        <v>15654</v>
      </c>
      <c r="L40" s="284"/>
      <c r="M40" s="284">
        <v>1329</v>
      </c>
      <c r="N40" s="284">
        <v>1446</v>
      </c>
      <c r="O40" s="284">
        <v>1402</v>
      </c>
      <c r="P40" s="285">
        <v>1819</v>
      </c>
      <c r="Q40" s="284">
        <v>1956</v>
      </c>
      <c r="R40" s="284">
        <v>2266</v>
      </c>
      <c r="S40" s="284">
        <v>2204</v>
      </c>
      <c r="T40" s="285">
        <v>2251</v>
      </c>
      <c r="U40" s="284">
        <v>1902</v>
      </c>
      <c r="V40" s="284">
        <v>2252</v>
      </c>
      <c r="W40" s="284">
        <v>2355</v>
      </c>
      <c r="X40" s="285">
        <v>2292</v>
      </c>
      <c r="Y40" s="284">
        <v>2022</v>
      </c>
      <c r="Z40" s="284">
        <v>1965</v>
      </c>
      <c r="AA40" s="284">
        <v>1999</v>
      </c>
      <c r="AB40" s="285">
        <v>2462</v>
      </c>
      <c r="AC40" s="284">
        <v>2095</v>
      </c>
      <c r="AD40" s="284">
        <v>2207</v>
      </c>
      <c r="AE40" s="284">
        <v>2213</v>
      </c>
      <c r="AF40" s="285">
        <v>2820</v>
      </c>
      <c r="AG40" s="288">
        <v>2384</v>
      </c>
      <c r="AH40" s="288">
        <v>2471</v>
      </c>
      <c r="AI40" s="288">
        <v>3162</v>
      </c>
      <c r="AJ40" s="289">
        <v>3774</v>
      </c>
      <c r="AK40" s="284">
        <v>3303</v>
      </c>
      <c r="AL40" s="284">
        <v>3846</v>
      </c>
      <c r="AM40" s="284">
        <v>3816</v>
      </c>
      <c r="AN40" s="285">
        <v>4134</v>
      </c>
      <c r="AO40" s="284">
        <v>3537</v>
      </c>
      <c r="AP40" s="284">
        <v>3863</v>
      </c>
      <c r="AQ40" s="284">
        <v>3965</v>
      </c>
      <c r="AR40" s="285">
        <v>4289</v>
      </c>
      <c r="AS40" s="284">
        <v>3777</v>
      </c>
      <c r="AT40" s="284">
        <v>3812</v>
      </c>
      <c r="AU40" s="284">
        <v>3895</v>
      </c>
    </row>
    <row r="41" spans="1:47" ht="12.75" x14ac:dyDescent="0.2">
      <c r="A41" s="272"/>
      <c r="B41" s="272"/>
      <c r="C41" s="272"/>
      <c r="D41" s="284"/>
      <c r="E41" s="284"/>
      <c r="F41" s="284"/>
      <c r="G41" s="284"/>
      <c r="H41" s="284" t="s">
        <v>306</v>
      </c>
      <c r="I41" s="288" t="s">
        <v>306</v>
      </c>
      <c r="J41" s="284" t="s">
        <v>306</v>
      </c>
      <c r="K41" s="284"/>
      <c r="L41" s="284"/>
      <c r="M41" s="272"/>
      <c r="N41" s="284"/>
      <c r="O41" s="272"/>
      <c r="P41" s="285"/>
      <c r="Q41" s="284"/>
      <c r="R41" s="284"/>
      <c r="S41" s="284"/>
      <c r="T41" s="285"/>
      <c r="U41" s="284"/>
      <c r="V41" s="284"/>
      <c r="W41" s="284"/>
      <c r="X41" s="285"/>
      <c r="Y41" s="284"/>
      <c r="Z41" s="284"/>
      <c r="AA41" s="284"/>
      <c r="AB41" s="285"/>
      <c r="AC41" s="284"/>
      <c r="AD41" s="284" t="s">
        <v>306</v>
      </c>
      <c r="AE41" s="284" t="s">
        <v>306</v>
      </c>
      <c r="AF41" s="285" t="s">
        <v>306</v>
      </c>
      <c r="AG41" s="288" t="s">
        <v>306</v>
      </c>
      <c r="AH41" s="288" t="s">
        <v>306</v>
      </c>
      <c r="AI41" s="288" t="s">
        <v>306</v>
      </c>
      <c r="AJ41" s="289" t="s">
        <v>306</v>
      </c>
      <c r="AK41" s="284"/>
      <c r="AL41" s="284"/>
      <c r="AM41" s="284"/>
      <c r="AN41" s="285"/>
      <c r="AO41" s="284" t="s">
        <v>306</v>
      </c>
      <c r="AP41" s="284"/>
      <c r="AQ41" s="284"/>
      <c r="AR41" s="285" t="s">
        <v>306</v>
      </c>
      <c r="AS41" s="284"/>
      <c r="AT41" s="284"/>
      <c r="AU41" s="284"/>
    </row>
    <row r="42" spans="1:47" ht="12.75" x14ac:dyDescent="0.2">
      <c r="A42" s="280" t="s">
        <v>299</v>
      </c>
      <c r="B42" s="281">
        <v>8088</v>
      </c>
      <c r="C42" s="281">
        <v>7925</v>
      </c>
      <c r="D42" s="281">
        <v>8738</v>
      </c>
      <c r="E42" s="281">
        <v>9519</v>
      </c>
      <c r="F42" s="281">
        <v>10799</v>
      </c>
      <c r="G42" s="281">
        <v>9025</v>
      </c>
      <c r="H42" s="281">
        <v>10205</v>
      </c>
      <c r="I42" s="286">
        <v>10806</v>
      </c>
      <c r="J42" s="281">
        <v>12723</v>
      </c>
      <c r="K42" s="281">
        <v>14640</v>
      </c>
      <c r="L42" s="282"/>
      <c r="M42" s="281">
        <v>2161</v>
      </c>
      <c r="N42" s="281">
        <v>2297</v>
      </c>
      <c r="O42" s="281">
        <v>2141</v>
      </c>
      <c r="P42" s="283">
        <v>2139</v>
      </c>
      <c r="Q42" s="281">
        <v>2245</v>
      </c>
      <c r="R42" s="281">
        <v>2452</v>
      </c>
      <c r="S42" s="281">
        <v>2382</v>
      </c>
      <c r="T42" s="283">
        <v>2440</v>
      </c>
      <c r="U42" s="281">
        <v>2605</v>
      </c>
      <c r="V42" s="281">
        <v>2926</v>
      </c>
      <c r="W42" s="281">
        <v>2765</v>
      </c>
      <c r="X42" s="283">
        <v>2503</v>
      </c>
      <c r="Y42" s="281">
        <v>2505</v>
      </c>
      <c r="Z42" s="281">
        <v>2035</v>
      </c>
      <c r="AA42" s="281">
        <v>2196</v>
      </c>
      <c r="AB42" s="283">
        <v>2288</v>
      </c>
      <c r="AC42" s="281">
        <v>2345</v>
      </c>
      <c r="AD42" s="281">
        <v>2517</v>
      </c>
      <c r="AE42" s="281">
        <v>2699</v>
      </c>
      <c r="AF42" s="283">
        <v>2644</v>
      </c>
      <c r="AG42" s="286">
        <v>2588</v>
      </c>
      <c r="AH42" s="286">
        <v>2793.5</v>
      </c>
      <c r="AI42" s="286">
        <v>2711</v>
      </c>
      <c r="AJ42" s="287">
        <v>2713</v>
      </c>
      <c r="AK42" s="281">
        <v>3125</v>
      </c>
      <c r="AL42" s="281">
        <v>3418</v>
      </c>
      <c r="AM42" s="281">
        <v>3195</v>
      </c>
      <c r="AN42" s="283">
        <v>2985</v>
      </c>
      <c r="AO42" s="281">
        <v>2949</v>
      </c>
      <c r="AP42" s="281">
        <v>3991</v>
      </c>
      <c r="AQ42" s="281">
        <v>3809</v>
      </c>
      <c r="AR42" s="283">
        <v>3891</v>
      </c>
      <c r="AS42" s="281">
        <v>3811</v>
      </c>
      <c r="AT42" s="281">
        <v>3665</v>
      </c>
      <c r="AU42" s="281">
        <v>3704</v>
      </c>
    </row>
    <row r="43" spans="1:47" ht="12.75" x14ac:dyDescent="0.2">
      <c r="A43" s="272" t="s">
        <v>355</v>
      </c>
      <c r="B43" s="284">
        <v>2142</v>
      </c>
      <c r="C43" s="284">
        <v>2218</v>
      </c>
      <c r="D43" s="284">
        <v>2513</v>
      </c>
      <c r="E43" s="284">
        <v>2725</v>
      </c>
      <c r="F43" s="284">
        <v>3060</v>
      </c>
      <c r="G43" s="284">
        <v>2475</v>
      </c>
      <c r="H43" s="284">
        <v>2752</v>
      </c>
      <c r="I43" s="288">
        <v>3186</v>
      </c>
      <c r="J43" s="284">
        <v>3968</v>
      </c>
      <c r="K43" s="284">
        <v>6040</v>
      </c>
      <c r="L43" s="284"/>
      <c r="M43" s="284">
        <v>649</v>
      </c>
      <c r="N43" s="284">
        <v>683</v>
      </c>
      <c r="O43" s="284">
        <v>635</v>
      </c>
      <c r="P43" s="285">
        <v>546</v>
      </c>
      <c r="Q43" s="284">
        <v>700</v>
      </c>
      <c r="R43" s="284">
        <v>681</v>
      </c>
      <c r="S43" s="284">
        <v>703</v>
      </c>
      <c r="T43" s="285">
        <v>641</v>
      </c>
      <c r="U43" s="284">
        <v>773</v>
      </c>
      <c r="V43" s="284">
        <v>848</v>
      </c>
      <c r="W43" s="284">
        <v>802</v>
      </c>
      <c r="X43" s="285">
        <v>637</v>
      </c>
      <c r="Y43" s="284">
        <v>735</v>
      </c>
      <c r="Z43" s="284">
        <v>575</v>
      </c>
      <c r="AA43" s="284">
        <v>588</v>
      </c>
      <c r="AB43" s="285">
        <v>577</v>
      </c>
      <c r="AC43" s="284">
        <v>659</v>
      </c>
      <c r="AD43" s="284">
        <v>693</v>
      </c>
      <c r="AE43" s="284">
        <v>731</v>
      </c>
      <c r="AF43" s="285">
        <v>669</v>
      </c>
      <c r="AG43" s="288">
        <v>710</v>
      </c>
      <c r="AH43" s="288">
        <v>844</v>
      </c>
      <c r="AI43" s="288">
        <v>827</v>
      </c>
      <c r="AJ43" s="289">
        <v>805</v>
      </c>
      <c r="AK43" s="284">
        <v>1056</v>
      </c>
      <c r="AL43" s="284">
        <v>1028</v>
      </c>
      <c r="AM43" s="284">
        <v>956</v>
      </c>
      <c r="AN43" s="285">
        <v>928</v>
      </c>
      <c r="AO43" s="284">
        <v>924</v>
      </c>
      <c r="AP43" s="284">
        <v>1847</v>
      </c>
      <c r="AQ43" s="284">
        <v>1650</v>
      </c>
      <c r="AR43" s="285">
        <v>1619</v>
      </c>
      <c r="AS43" s="284">
        <v>1754</v>
      </c>
      <c r="AT43" s="284">
        <v>1636</v>
      </c>
      <c r="AU43" s="284">
        <v>1631</v>
      </c>
    </row>
    <row r="44" spans="1:47" ht="12.75" x14ac:dyDescent="0.2">
      <c r="A44" s="272" t="s">
        <v>356</v>
      </c>
      <c r="B44" s="284">
        <v>752</v>
      </c>
      <c r="C44" s="284">
        <v>708</v>
      </c>
      <c r="D44" s="284">
        <v>782</v>
      </c>
      <c r="E44" s="284">
        <v>851</v>
      </c>
      <c r="F44" s="284">
        <v>1084</v>
      </c>
      <c r="G44" s="284">
        <v>838</v>
      </c>
      <c r="H44" s="284">
        <v>977</v>
      </c>
      <c r="I44" s="288">
        <v>970</v>
      </c>
      <c r="J44" s="284">
        <v>1270</v>
      </c>
      <c r="K44" s="284">
        <v>922</v>
      </c>
      <c r="L44" s="284"/>
      <c r="M44" s="284">
        <v>189</v>
      </c>
      <c r="N44" s="284">
        <v>184</v>
      </c>
      <c r="O44" s="284">
        <v>196</v>
      </c>
      <c r="P44" s="285">
        <v>213</v>
      </c>
      <c r="Q44" s="284">
        <v>211</v>
      </c>
      <c r="R44" s="284">
        <v>218</v>
      </c>
      <c r="S44" s="284">
        <v>210</v>
      </c>
      <c r="T44" s="285">
        <v>212</v>
      </c>
      <c r="U44" s="284">
        <v>244</v>
      </c>
      <c r="V44" s="284">
        <v>276</v>
      </c>
      <c r="W44" s="284">
        <v>290</v>
      </c>
      <c r="X44" s="285">
        <v>274</v>
      </c>
      <c r="Y44" s="284">
        <v>241</v>
      </c>
      <c r="Z44" s="284">
        <v>177</v>
      </c>
      <c r="AA44" s="284">
        <v>205</v>
      </c>
      <c r="AB44" s="285">
        <v>214</v>
      </c>
      <c r="AC44" s="284">
        <v>227</v>
      </c>
      <c r="AD44" s="284">
        <v>248</v>
      </c>
      <c r="AE44" s="284">
        <v>256</v>
      </c>
      <c r="AF44" s="285">
        <v>246</v>
      </c>
      <c r="AG44" s="288">
        <v>235</v>
      </c>
      <c r="AH44" s="288">
        <v>243</v>
      </c>
      <c r="AI44" s="288">
        <v>254</v>
      </c>
      <c r="AJ44" s="289">
        <v>238</v>
      </c>
      <c r="AK44" s="284">
        <v>269</v>
      </c>
      <c r="AL44" s="284">
        <v>344</v>
      </c>
      <c r="AM44" s="284">
        <v>396</v>
      </c>
      <c r="AN44" s="285">
        <v>261</v>
      </c>
      <c r="AO44" s="284">
        <v>264</v>
      </c>
      <c r="AP44" s="284">
        <v>223</v>
      </c>
      <c r="AQ44" s="284">
        <v>221</v>
      </c>
      <c r="AR44" s="285">
        <v>214</v>
      </c>
      <c r="AS44" s="284">
        <v>214</v>
      </c>
      <c r="AT44" s="284">
        <v>208</v>
      </c>
      <c r="AU44" s="284">
        <v>238</v>
      </c>
    </row>
    <row r="45" spans="1:47" ht="12.75" x14ac:dyDescent="0.2">
      <c r="A45" s="272" t="s">
        <v>357</v>
      </c>
      <c r="B45" s="284">
        <v>2488</v>
      </c>
      <c r="C45" s="284">
        <v>2347</v>
      </c>
      <c r="D45" s="284">
        <v>2593</v>
      </c>
      <c r="E45" s="284">
        <v>2783</v>
      </c>
      <c r="F45" s="284">
        <v>2837</v>
      </c>
      <c r="G45" s="284">
        <v>2594</v>
      </c>
      <c r="H45" s="284">
        <v>2819</v>
      </c>
      <c r="I45" s="288">
        <v>2612</v>
      </c>
      <c r="J45" s="284">
        <v>2492</v>
      </c>
      <c r="K45" s="284">
        <v>2592</v>
      </c>
      <c r="L45" s="284"/>
      <c r="M45" s="284">
        <v>638</v>
      </c>
      <c r="N45" s="284">
        <v>694</v>
      </c>
      <c r="O45" s="284">
        <v>641</v>
      </c>
      <c r="P45" s="285">
        <v>620</v>
      </c>
      <c r="Q45" s="284">
        <v>607</v>
      </c>
      <c r="R45" s="284">
        <v>750</v>
      </c>
      <c r="S45" s="284">
        <v>688</v>
      </c>
      <c r="T45" s="285">
        <v>738</v>
      </c>
      <c r="U45" s="284">
        <v>733</v>
      </c>
      <c r="V45" s="284">
        <v>777</v>
      </c>
      <c r="W45" s="284">
        <v>669</v>
      </c>
      <c r="X45" s="285">
        <v>658</v>
      </c>
      <c r="Y45" s="284">
        <v>703</v>
      </c>
      <c r="Z45" s="284">
        <v>614</v>
      </c>
      <c r="AA45" s="284">
        <v>611</v>
      </c>
      <c r="AB45" s="285">
        <v>666</v>
      </c>
      <c r="AC45" s="284">
        <v>672</v>
      </c>
      <c r="AD45" s="284">
        <v>705</v>
      </c>
      <c r="AE45" s="284">
        <v>723</v>
      </c>
      <c r="AF45" s="285">
        <v>719</v>
      </c>
      <c r="AG45" s="288">
        <v>674</v>
      </c>
      <c r="AH45" s="288">
        <v>652</v>
      </c>
      <c r="AI45" s="288">
        <v>622</v>
      </c>
      <c r="AJ45" s="289">
        <v>664</v>
      </c>
      <c r="AK45" s="284">
        <v>681</v>
      </c>
      <c r="AL45" s="284">
        <v>701</v>
      </c>
      <c r="AM45" s="284">
        <v>539</v>
      </c>
      <c r="AN45" s="285">
        <v>571</v>
      </c>
      <c r="AO45" s="284">
        <v>557</v>
      </c>
      <c r="AP45" s="284">
        <v>702</v>
      </c>
      <c r="AQ45" s="284">
        <v>593</v>
      </c>
      <c r="AR45" s="285">
        <v>740</v>
      </c>
      <c r="AS45" s="284">
        <v>666</v>
      </c>
      <c r="AT45" s="284">
        <v>688</v>
      </c>
      <c r="AU45" s="284">
        <v>685</v>
      </c>
    </row>
    <row r="46" spans="1:47" ht="12.75" x14ac:dyDescent="0.2">
      <c r="A46" s="272" t="s">
        <v>358</v>
      </c>
      <c r="B46" s="284">
        <v>1389</v>
      </c>
      <c r="C46" s="284">
        <v>1269</v>
      </c>
      <c r="D46" s="284">
        <v>1297</v>
      </c>
      <c r="E46" s="284">
        <v>1530</v>
      </c>
      <c r="F46" s="284">
        <v>2004</v>
      </c>
      <c r="G46" s="284">
        <v>1594</v>
      </c>
      <c r="H46" s="284">
        <v>1822</v>
      </c>
      <c r="I46" s="288">
        <v>1891</v>
      </c>
      <c r="J46" s="284">
        <v>2188</v>
      </c>
      <c r="K46" s="284">
        <v>2240</v>
      </c>
      <c r="L46" s="284"/>
      <c r="M46" s="284">
        <v>319</v>
      </c>
      <c r="N46" s="284">
        <v>324</v>
      </c>
      <c r="O46" s="284">
        <v>320</v>
      </c>
      <c r="P46" s="285">
        <v>334</v>
      </c>
      <c r="Q46" s="284">
        <v>337</v>
      </c>
      <c r="R46" s="284">
        <v>378</v>
      </c>
      <c r="S46" s="284">
        <v>390</v>
      </c>
      <c r="T46" s="285">
        <v>425</v>
      </c>
      <c r="U46" s="284">
        <v>395</v>
      </c>
      <c r="V46" s="284">
        <v>549</v>
      </c>
      <c r="W46" s="284">
        <v>559</v>
      </c>
      <c r="X46" s="285">
        <v>501</v>
      </c>
      <c r="Y46" s="284">
        <v>446</v>
      </c>
      <c r="Z46" s="284">
        <v>302</v>
      </c>
      <c r="AA46" s="284">
        <v>415</v>
      </c>
      <c r="AB46" s="285">
        <v>431</v>
      </c>
      <c r="AC46" s="284">
        <v>384</v>
      </c>
      <c r="AD46" s="284">
        <v>465</v>
      </c>
      <c r="AE46" s="284">
        <v>510</v>
      </c>
      <c r="AF46" s="285">
        <v>463</v>
      </c>
      <c r="AG46" s="288">
        <v>454</v>
      </c>
      <c r="AH46" s="288">
        <v>475</v>
      </c>
      <c r="AI46" s="288">
        <v>494</v>
      </c>
      <c r="AJ46" s="289">
        <v>468</v>
      </c>
      <c r="AK46" s="284">
        <v>504</v>
      </c>
      <c r="AL46" s="284">
        <v>566</v>
      </c>
      <c r="AM46" s="284">
        <v>597</v>
      </c>
      <c r="AN46" s="285">
        <v>521</v>
      </c>
      <c r="AO46" s="284">
        <v>536</v>
      </c>
      <c r="AP46" s="284">
        <v>526</v>
      </c>
      <c r="AQ46" s="284">
        <v>613</v>
      </c>
      <c r="AR46" s="285">
        <v>565</v>
      </c>
      <c r="AS46" s="284">
        <v>515</v>
      </c>
      <c r="AT46" s="284">
        <v>499</v>
      </c>
      <c r="AU46" s="284">
        <v>541</v>
      </c>
    </row>
    <row r="47" spans="1:47" ht="12.75" x14ac:dyDescent="0.2">
      <c r="A47" s="272" t="s">
        <v>359</v>
      </c>
      <c r="B47" s="284">
        <v>1316</v>
      </c>
      <c r="C47" s="284">
        <v>1383</v>
      </c>
      <c r="D47" s="284">
        <v>1553</v>
      </c>
      <c r="E47" s="284">
        <v>1630</v>
      </c>
      <c r="F47" s="284">
        <v>1814</v>
      </c>
      <c r="G47" s="284">
        <v>1524</v>
      </c>
      <c r="H47" s="284">
        <v>1835</v>
      </c>
      <c r="I47" s="288">
        <v>2147</v>
      </c>
      <c r="J47" s="284">
        <v>2805</v>
      </c>
      <c r="K47" s="284">
        <v>2846</v>
      </c>
      <c r="L47" s="284"/>
      <c r="M47" s="284">
        <v>366</v>
      </c>
      <c r="N47" s="284">
        <v>412</v>
      </c>
      <c r="O47" s="284">
        <v>349</v>
      </c>
      <c r="P47" s="285">
        <v>426</v>
      </c>
      <c r="Q47" s="284">
        <v>390</v>
      </c>
      <c r="R47" s="284">
        <v>425</v>
      </c>
      <c r="S47" s="284">
        <v>391</v>
      </c>
      <c r="T47" s="285">
        <v>424</v>
      </c>
      <c r="U47" s="284">
        <v>460</v>
      </c>
      <c r="V47" s="284">
        <v>476</v>
      </c>
      <c r="W47" s="284">
        <v>445</v>
      </c>
      <c r="X47" s="285">
        <v>433</v>
      </c>
      <c r="Y47" s="284">
        <v>380</v>
      </c>
      <c r="Z47" s="284">
        <v>367</v>
      </c>
      <c r="AA47" s="284">
        <v>377</v>
      </c>
      <c r="AB47" s="285">
        <v>400</v>
      </c>
      <c r="AC47" s="284">
        <v>403</v>
      </c>
      <c r="AD47" s="284">
        <v>406</v>
      </c>
      <c r="AE47" s="284">
        <v>479</v>
      </c>
      <c r="AF47" s="285">
        <v>547</v>
      </c>
      <c r="AG47" s="288">
        <v>515</v>
      </c>
      <c r="AH47" s="288">
        <v>580</v>
      </c>
      <c r="AI47" s="288">
        <v>514</v>
      </c>
      <c r="AJ47" s="289">
        <v>538</v>
      </c>
      <c r="AK47" s="284">
        <v>615</v>
      </c>
      <c r="AL47" s="284">
        <v>779</v>
      </c>
      <c r="AM47" s="284">
        <v>707</v>
      </c>
      <c r="AN47" s="285">
        <v>704</v>
      </c>
      <c r="AO47" s="284">
        <v>668</v>
      </c>
      <c r="AP47" s="284">
        <v>693</v>
      </c>
      <c r="AQ47" s="284">
        <v>732</v>
      </c>
      <c r="AR47" s="285">
        <v>753</v>
      </c>
      <c r="AS47" s="284">
        <v>662</v>
      </c>
      <c r="AT47" s="284">
        <v>634</v>
      </c>
      <c r="AU47" s="284">
        <v>609</v>
      </c>
    </row>
    <row r="48" spans="1:47" ht="12.75" x14ac:dyDescent="0.2">
      <c r="A48" s="272"/>
      <c r="B48" s="272"/>
      <c r="C48" s="272"/>
      <c r="D48" s="272"/>
      <c r="E48" s="272"/>
      <c r="F48" s="272"/>
      <c r="G48" s="272"/>
      <c r="H48" s="272"/>
      <c r="I48" s="272"/>
      <c r="J48" s="272"/>
      <c r="K48" s="272"/>
      <c r="L48" s="284"/>
      <c r="M48" s="272"/>
      <c r="N48" s="272"/>
      <c r="O48" s="272"/>
      <c r="P48" s="274"/>
      <c r="Q48" s="272"/>
      <c r="R48" s="272"/>
      <c r="S48" s="272"/>
      <c r="T48" s="274"/>
      <c r="U48" s="272"/>
      <c r="V48" s="272"/>
      <c r="W48" s="272"/>
      <c r="X48" s="274"/>
      <c r="Y48" s="272"/>
      <c r="Z48" s="272"/>
      <c r="AA48" s="272"/>
      <c r="AB48" s="274"/>
      <c r="AC48" s="272"/>
      <c r="AD48" s="272"/>
      <c r="AE48" s="272"/>
      <c r="AF48" s="274"/>
      <c r="AG48" s="272"/>
      <c r="AH48" s="272"/>
      <c r="AI48" s="272"/>
      <c r="AJ48" s="274"/>
      <c r="AK48" s="272"/>
      <c r="AL48" s="272"/>
      <c r="AM48" s="272"/>
      <c r="AN48" s="274"/>
      <c r="AO48" s="272"/>
      <c r="AP48" s="272"/>
      <c r="AQ48" s="272"/>
      <c r="AR48" s="274"/>
      <c r="AS48" s="272"/>
      <c r="AT48" s="272"/>
      <c r="AU48" s="272"/>
    </row>
    <row r="49" spans="1:48" ht="12.75" x14ac:dyDescent="0.2">
      <c r="A49" s="291" t="s">
        <v>361</v>
      </c>
      <c r="B49" s="164">
        <v>2015</v>
      </c>
      <c r="C49" s="164">
        <v>2016</v>
      </c>
      <c r="D49" s="164">
        <v>2017</v>
      </c>
      <c r="E49" s="164">
        <v>2018</v>
      </c>
      <c r="F49" s="164">
        <v>2019</v>
      </c>
      <c r="G49" s="164">
        <v>2020</v>
      </c>
      <c r="H49" s="164">
        <v>2021</v>
      </c>
      <c r="I49" s="164">
        <v>2022</v>
      </c>
      <c r="J49" s="164">
        <v>2023</v>
      </c>
      <c r="K49" s="164">
        <v>2024</v>
      </c>
      <c r="L49" s="90"/>
      <c r="M49" s="164" t="s">
        <v>267</v>
      </c>
      <c r="N49" s="164" t="s">
        <v>268</v>
      </c>
      <c r="O49" s="164" t="s">
        <v>269</v>
      </c>
      <c r="P49" s="165" t="s">
        <v>270</v>
      </c>
      <c r="Q49" s="164" t="s">
        <v>131</v>
      </c>
      <c r="R49" s="164" t="s">
        <v>132</v>
      </c>
      <c r="S49" s="164" t="s">
        <v>133</v>
      </c>
      <c r="T49" s="165" t="s">
        <v>134</v>
      </c>
      <c r="U49" s="164" t="s">
        <v>135</v>
      </c>
      <c r="V49" s="164" t="s">
        <v>136</v>
      </c>
      <c r="W49" s="164" t="s">
        <v>137</v>
      </c>
      <c r="X49" s="165" t="s">
        <v>138</v>
      </c>
      <c r="Y49" s="164" t="s">
        <v>139</v>
      </c>
      <c r="Z49" s="164" t="s">
        <v>140</v>
      </c>
      <c r="AA49" s="164" t="s">
        <v>141</v>
      </c>
      <c r="AB49" s="165" t="s">
        <v>142</v>
      </c>
      <c r="AC49" s="164" t="s">
        <v>143</v>
      </c>
      <c r="AD49" s="164" t="s">
        <v>144</v>
      </c>
      <c r="AE49" s="164" t="s">
        <v>145</v>
      </c>
      <c r="AF49" s="165" t="s">
        <v>146</v>
      </c>
      <c r="AG49" s="164" t="s">
        <v>147</v>
      </c>
      <c r="AH49" s="164" t="s">
        <v>148</v>
      </c>
      <c r="AI49" s="164" t="s">
        <v>149</v>
      </c>
      <c r="AJ49" s="165" t="s">
        <v>150</v>
      </c>
      <c r="AK49" s="164" t="s">
        <v>151</v>
      </c>
      <c r="AL49" s="164" t="s">
        <v>152</v>
      </c>
      <c r="AM49" s="164" t="s">
        <v>153</v>
      </c>
      <c r="AN49" s="165" t="s">
        <v>154</v>
      </c>
      <c r="AO49" s="164" t="s">
        <v>155</v>
      </c>
      <c r="AP49" s="164" t="s">
        <v>156</v>
      </c>
      <c r="AQ49" s="164" t="s">
        <v>157</v>
      </c>
      <c r="AR49" s="165" t="s">
        <v>158</v>
      </c>
      <c r="AS49" s="164" t="s">
        <v>159</v>
      </c>
      <c r="AT49" s="164" t="s">
        <v>160</v>
      </c>
      <c r="AU49" s="164" t="s">
        <v>161</v>
      </c>
    </row>
    <row r="50" spans="1:48" ht="12.75" x14ac:dyDescent="0.2">
      <c r="A50" s="280" t="s">
        <v>354</v>
      </c>
      <c r="B50" s="281">
        <v>28662.561317075</v>
      </c>
      <c r="C50" s="281">
        <v>27102</v>
      </c>
      <c r="D50" s="281">
        <v>31364</v>
      </c>
      <c r="E50" s="281">
        <v>38285</v>
      </c>
      <c r="F50" s="281">
        <v>40849</v>
      </c>
      <c r="G50" s="281">
        <v>36122</v>
      </c>
      <c r="H50" s="281">
        <v>39645</v>
      </c>
      <c r="I50" s="281">
        <v>49694</v>
      </c>
      <c r="J50" s="281">
        <f>+J28</f>
        <v>60343</v>
      </c>
      <c r="K50" s="281">
        <f>+K28</f>
        <v>63604</v>
      </c>
      <c r="L50" s="292"/>
      <c r="M50" s="281">
        <v>7411</v>
      </c>
      <c r="N50" s="281">
        <v>7879</v>
      </c>
      <c r="O50" s="281">
        <v>7610</v>
      </c>
      <c r="P50" s="281">
        <v>8464</v>
      </c>
      <c r="Q50" s="293">
        <v>8233</v>
      </c>
      <c r="R50" s="281">
        <v>9843</v>
      </c>
      <c r="S50" s="281">
        <v>9651</v>
      </c>
      <c r="T50" s="281">
        <v>10558</v>
      </c>
      <c r="U50" s="293">
        <v>9785</v>
      </c>
      <c r="V50" s="281">
        <v>10626</v>
      </c>
      <c r="W50" s="281">
        <v>10158</v>
      </c>
      <c r="X50" s="283">
        <v>10280</v>
      </c>
      <c r="Y50" s="281">
        <v>9134</v>
      </c>
      <c r="Z50" s="281">
        <v>8458</v>
      </c>
      <c r="AA50" s="281">
        <v>8724</v>
      </c>
      <c r="AB50" s="283">
        <v>9806</v>
      </c>
      <c r="AC50" s="281">
        <v>8773</v>
      </c>
      <c r="AD50" s="281">
        <v>9733</v>
      </c>
      <c r="AE50" s="281">
        <v>9966</v>
      </c>
      <c r="AF50" s="283">
        <v>11173</v>
      </c>
      <c r="AG50" s="281">
        <f>+AG28</f>
        <v>11088</v>
      </c>
      <c r="AH50" s="281">
        <f>+AH28</f>
        <v>11868</v>
      </c>
      <c r="AI50" s="281">
        <f>+AI28</f>
        <v>12802</v>
      </c>
      <c r="AJ50" s="283">
        <v>13936</v>
      </c>
      <c r="AK50" s="281">
        <f t="shared" ref="AK50:AT50" si="0">+AK28</f>
        <v>13868</v>
      </c>
      <c r="AL50" s="281">
        <f t="shared" si="0"/>
        <v>15910</v>
      </c>
      <c r="AM50" s="281">
        <f t="shared" si="0"/>
        <v>14997</v>
      </c>
      <c r="AN50" s="283">
        <f t="shared" si="0"/>
        <v>15568</v>
      </c>
      <c r="AO50" s="281">
        <f t="shared" si="0"/>
        <v>14143</v>
      </c>
      <c r="AP50" s="281">
        <f t="shared" si="0"/>
        <v>16511</v>
      </c>
      <c r="AQ50" s="281">
        <f t="shared" si="0"/>
        <v>15699</v>
      </c>
      <c r="AR50" s="283">
        <f t="shared" si="0"/>
        <v>17251</v>
      </c>
      <c r="AS50" s="281">
        <f t="shared" si="0"/>
        <v>15536</v>
      </c>
      <c r="AT50" s="281">
        <f t="shared" si="0"/>
        <v>15130</v>
      </c>
      <c r="AU50" s="281">
        <v>15242</v>
      </c>
    </row>
    <row r="51" spans="1:48" ht="12.75" x14ac:dyDescent="0.2">
      <c r="A51" s="272" t="s">
        <v>355</v>
      </c>
      <c r="B51" s="294">
        <v>0.23452635212927803</v>
      </c>
      <c r="C51" s="294">
        <v>0.23042579883403438</v>
      </c>
      <c r="D51" s="294">
        <v>0.22752199974493048</v>
      </c>
      <c r="E51" s="294">
        <v>0.22063471333420401</v>
      </c>
      <c r="F51" s="294">
        <v>0.21885480672721486</v>
      </c>
      <c r="G51" s="294">
        <v>0.21402469409224295</v>
      </c>
      <c r="H51" s="294">
        <f t="shared" ref="H51:K55" si="1">+H29/H$28</f>
        <v>0.22338251986379115</v>
      </c>
      <c r="I51" s="294">
        <f t="shared" si="1"/>
        <v>0.25785809152010303</v>
      </c>
      <c r="J51" s="294">
        <f t="shared" si="1"/>
        <v>0.25567174320136554</v>
      </c>
      <c r="K51" s="294">
        <f t="shared" si="1"/>
        <v>0.27977800138356079</v>
      </c>
      <c r="L51" s="272"/>
      <c r="M51" s="294">
        <v>0.24369180947240587</v>
      </c>
      <c r="N51" s="294">
        <v>0.21855565427084656</v>
      </c>
      <c r="O51" s="294">
        <v>0.23455978975032851</v>
      </c>
      <c r="P51" s="294">
        <v>0.21538279773156899</v>
      </c>
      <c r="Q51" s="295">
        <v>0.22932102514271832</v>
      </c>
      <c r="R51" s="294">
        <v>0.21517829929899421</v>
      </c>
      <c r="S51" s="294">
        <v>0.22184229613511552</v>
      </c>
      <c r="T51" s="294">
        <v>0.21784428869103997</v>
      </c>
      <c r="U51" s="295">
        <v>0.22759325498211549</v>
      </c>
      <c r="V51" s="294">
        <v>0.22614342179559571</v>
      </c>
      <c r="W51" s="294">
        <v>0.21569206536719826</v>
      </c>
      <c r="X51" s="296">
        <v>0.20612840466926069</v>
      </c>
      <c r="Y51" s="294">
        <v>0.22980074447120649</v>
      </c>
      <c r="Z51" s="294">
        <v>0.21766375029557816</v>
      </c>
      <c r="AA51" s="294">
        <v>0.23</v>
      </c>
      <c r="AB51" s="296">
        <v>0.18651845808688558</v>
      </c>
      <c r="AC51" s="294">
        <v>0.218</v>
      </c>
      <c r="AD51" s="294">
        <v>0.22171992191513407</v>
      </c>
      <c r="AE51" s="294">
        <v>0.23339353802929963</v>
      </c>
      <c r="AF51" s="296">
        <v>0.21990512843461918</v>
      </c>
      <c r="AG51" s="294">
        <f>AG29/$AG$28</f>
        <v>0.24954906204906205</v>
      </c>
      <c r="AH51" s="294">
        <f>AH29/$AH$28</f>
        <v>0.26449275362318841</v>
      </c>
      <c r="AI51" s="294">
        <f>AI29/$AI$28</f>
        <v>0.26816122480862364</v>
      </c>
      <c r="AJ51" s="296">
        <f>AJ29/$AJ$28</f>
        <v>0.24935419058553387</v>
      </c>
      <c r="AK51" s="294">
        <f t="shared" ref="AK51:AU55" si="2">AK29/AK$28</f>
        <v>0.27105566772425727</v>
      </c>
      <c r="AL51" s="294">
        <f t="shared" si="2"/>
        <v>0.24852294154619736</v>
      </c>
      <c r="AM51" s="294">
        <f t="shared" si="2"/>
        <v>0.25451757018070281</v>
      </c>
      <c r="AN51" s="296">
        <f t="shared" si="2"/>
        <v>0.25038540596094555</v>
      </c>
      <c r="AO51" s="294">
        <f t="shared" si="2"/>
        <v>0.27766386198119208</v>
      </c>
      <c r="AP51" s="294">
        <f t="shared" si="2"/>
        <v>0.29434922173096723</v>
      </c>
      <c r="AQ51" s="294">
        <f t="shared" si="2"/>
        <v>0.27696031594369069</v>
      </c>
      <c r="AR51" s="296">
        <f t="shared" si="2"/>
        <v>0.27012926786852937</v>
      </c>
      <c r="AS51" s="294">
        <f t="shared" si="2"/>
        <v>0.30374613800205974</v>
      </c>
      <c r="AT51" s="294">
        <f t="shared" si="2"/>
        <v>0.29543952412425645</v>
      </c>
      <c r="AU51" s="294">
        <f t="shared" si="2"/>
        <v>0.28073743603201678</v>
      </c>
      <c r="AV51" s="100"/>
    </row>
    <row r="52" spans="1:48" ht="12.75" x14ac:dyDescent="0.2">
      <c r="A52" s="272" t="s">
        <v>356</v>
      </c>
      <c r="B52" s="294">
        <v>0.14428818786433173</v>
      </c>
      <c r="C52" s="294">
        <v>0.13050697365508079</v>
      </c>
      <c r="D52" s="294">
        <v>0.13633465119244995</v>
      </c>
      <c r="E52" s="294">
        <v>0.13127856863001175</v>
      </c>
      <c r="F52" s="294">
        <v>0.15618497392837033</v>
      </c>
      <c r="G52" s="294">
        <v>0.12834283815957034</v>
      </c>
      <c r="H52" s="294">
        <f t="shared" si="1"/>
        <v>0.13361079581283894</v>
      </c>
      <c r="I52" s="294">
        <f t="shared" si="1"/>
        <v>0.13774298708093533</v>
      </c>
      <c r="J52" s="294">
        <f t="shared" si="1"/>
        <v>0.14038082296206686</v>
      </c>
      <c r="K52" s="294">
        <f t="shared" si="1"/>
        <v>0.12200490535186466</v>
      </c>
      <c r="L52" s="272"/>
      <c r="M52" s="294">
        <v>0.14842801241397921</v>
      </c>
      <c r="N52" s="294">
        <v>0.140119304480264</v>
      </c>
      <c r="O52" s="294">
        <v>0.12733245729303547</v>
      </c>
      <c r="P52" s="294">
        <v>0.13031663516068054</v>
      </c>
      <c r="Q52" s="295">
        <v>0.12437750516215232</v>
      </c>
      <c r="R52" s="294">
        <v>0.12181245555216906</v>
      </c>
      <c r="S52" s="294">
        <v>0.12744793285669878</v>
      </c>
      <c r="T52" s="294">
        <v>0.14898655048304604</v>
      </c>
      <c r="U52" s="295">
        <v>0.16055186509964231</v>
      </c>
      <c r="V52" s="294">
        <v>0.15207980425371731</v>
      </c>
      <c r="W52" s="294">
        <v>0.16203977160858438</v>
      </c>
      <c r="X52" s="296">
        <v>0.15048638132295719</v>
      </c>
      <c r="Y52" s="294">
        <v>0.12218086271075104</v>
      </c>
      <c r="Z52" s="294">
        <v>0.14790730669188934</v>
      </c>
      <c r="AA52" s="294">
        <v>0.11393856029344337</v>
      </c>
      <c r="AB52" s="297">
        <v>0.13002243524372833</v>
      </c>
      <c r="AC52" s="294">
        <v>0.13170000000000001</v>
      </c>
      <c r="AD52" s="294">
        <v>0.14158019110243503</v>
      </c>
      <c r="AE52" s="294">
        <v>0.13726670680313063</v>
      </c>
      <c r="AF52" s="297">
        <v>0.12485456010024165</v>
      </c>
      <c r="AG52" s="294">
        <f>AG30/$AG$28</f>
        <v>0.14114357864357865</v>
      </c>
      <c r="AH52" s="294">
        <f>AH30/$AH$28</f>
        <v>0.13456353218739467</v>
      </c>
      <c r="AI52" s="294">
        <f>AI30/$AI$28</f>
        <v>0.14138415872519919</v>
      </c>
      <c r="AJ52" s="296">
        <f>AJ30/$AJ$28</f>
        <v>0.13440011481056258</v>
      </c>
      <c r="AK52" s="294">
        <f t="shared" si="2"/>
        <v>0.14313527545428323</v>
      </c>
      <c r="AL52" s="294">
        <f t="shared" si="2"/>
        <v>0.13299811439346323</v>
      </c>
      <c r="AM52" s="294">
        <f t="shared" si="2"/>
        <v>0.14629592585183704</v>
      </c>
      <c r="AN52" s="296">
        <f t="shared" si="2"/>
        <v>0.13977389516957861</v>
      </c>
      <c r="AO52" s="294">
        <f t="shared" si="2"/>
        <v>0.12281694124301774</v>
      </c>
      <c r="AP52" s="294">
        <f t="shared" si="2"/>
        <v>0.12852038035249227</v>
      </c>
      <c r="AQ52" s="294">
        <f t="shared" si="2"/>
        <v>0.11523026944391362</v>
      </c>
      <c r="AR52" s="296">
        <f t="shared" si="2"/>
        <v>0.12126833227059301</v>
      </c>
      <c r="AS52" s="294">
        <f t="shared" si="2"/>
        <v>0.12351956745623069</v>
      </c>
      <c r="AT52" s="294">
        <f t="shared" si="2"/>
        <v>0.12769332452081955</v>
      </c>
      <c r="AU52" s="294">
        <f t="shared" si="2"/>
        <v>0.13403752788347986</v>
      </c>
      <c r="AV52" s="100"/>
    </row>
    <row r="53" spans="1:48" ht="12.75" x14ac:dyDescent="0.2">
      <c r="A53" s="272" t="s">
        <v>357</v>
      </c>
      <c r="B53" s="294">
        <v>0.23112708025883139</v>
      </c>
      <c r="C53" s="294">
        <v>0.25440926868865765</v>
      </c>
      <c r="D53" s="294">
        <v>0.25481443693406453</v>
      </c>
      <c r="E53" s="294">
        <v>0.2377954812589787</v>
      </c>
      <c r="F53" s="294">
        <v>0.23087468481480575</v>
      </c>
      <c r="G53" s="294">
        <v>0.24024140413044681</v>
      </c>
      <c r="H53" s="294">
        <f t="shared" si="1"/>
        <v>0.22239878925463488</v>
      </c>
      <c r="I53" s="294">
        <f t="shared" si="1"/>
        <v>0.16756550086529562</v>
      </c>
      <c r="J53" s="294">
        <f t="shared" si="1"/>
        <v>0.14294947218401471</v>
      </c>
      <c r="K53" s="294">
        <f t="shared" si="1"/>
        <v>0.13708257342305516</v>
      </c>
      <c r="L53" s="272"/>
      <c r="M53" s="294">
        <v>0.23721495074888679</v>
      </c>
      <c r="N53" s="294">
        <v>0.26767356263485215</v>
      </c>
      <c r="O53" s="294">
        <v>0.25978975032851509</v>
      </c>
      <c r="P53" s="294">
        <v>0.25378071833648391</v>
      </c>
      <c r="Q53" s="295">
        <v>0.22640592736548038</v>
      </c>
      <c r="R53" s="294">
        <v>0.25104134918215992</v>
      </c>
      <c r="S53" s="294">
        <v>0.23044244119780333</v>
      </c>
      <c r="T53" s="294">
        <v>0.24104944118204205</v>
      </c>
      <c r="U53" s="295">
        <v>0.24854368932038834</v>
      </c>
      <c r="V53" s="294">
        <v>0.23273103707886317</v>
      </c>
      <c r="W53" s="294">
        <v>0.21204961606615474</v>
      </c>
      <c r="X53" s="296">
        <v>0.23073929961089495</v>
      </c>
      <c r="Y53" s="294">
        <v>0.23341361944383621</v>
      </c>
      <c r="Z53" s="294">
        <v>0.23161503901631592</v>
      </c>
      <c r="AA53" s="294">
        <v>0.24025676295277396</v>
      </c>
      <c r="AB53" s="297">
        <v>0.25402814603304097</v>
      </c>
      <c r="AC53" s="294">
        <v>0.22706000000000001</v>
      </c>
      <c r="AD53" s="294">
        <v>0.2231583273399774</v>
      </c>
      <c r="AE53" s="294">
        <v>0.21794099939795303</v>
      </c>
      <c r="AF53" s="297">
        <v>0.22205316387720397</v>
      </c>
      <c r="AG53" s="294">
        <f>AG31/$AG$28</f>
        <v>0.19588744588744589</v>
      </c>
      <c r="AH53" s="294">
        <f>AH31/$AH$28</f>
        <v>0.18343444556791372</v>
      </c>
      <c r="AI53" s="294">
        <f>AI31/$AI$28</f>
        <v>0.1431026402124668</v>
      </c>
      <c r="AJ53" s="296">
        <f>AJ31/$AJ$28</f>
        <v>0.15398966704936853</v>
      </c>
      <c r="AK53" s="294">
        <f t="shared" si="2"/>
        <v>0.15539371214306316</v>
      </c>
      <c r="AL53" s="294">
        <f t="shared" si="2"/>
        <v>0.15248271527341295</v>
      </c>
      <c r="AM53" s="294">
        <f t="shared" si="2"/>
        <v>0.1233580049343202</v>
      </c>
      <c r="AN53" s="296">
        <f t="shared" si="2"/>
        <v>0.14099434737923947</v>
      </c>
      <c r="AO53" s="294">
        <f t="shared" si="2"/>
        <v>0.14296825284593084</v>
      </c>
      <c r="AP53" s="294">
        <f t="shared" si="2"/>
        <v>0.13621222215492701</v>
      </c>
      <c r="AQ53" s="294">
        <f t="shared" si="2"/>
        <v>0.13287470539524809</v>
      </c>
      <c r="AR53" s="296">
        <f t="shared" si="2"/>
        <v>0.13691959886383398</v>
      </c>
      <c r="AS53" s="294">
        <f t="shared" si="2"/>
        <v>0.12422760041194644</v>
      </c>
      <c r="AT53" s="294">
        <f t="shared" si="2"/>
        <v>0.13443489755452742</v>
      </c>
      <c r="AU53" s="294">
        <f t="shared" si="2"/>
        <v>0.1292481301666448</v>
      </c>
      <c r="AV53" s="100"/>
    </row>
    <row r="54" spans="1:48" ht="12.75" x14ac:dyDescent="0.2">
      <c r="A54" s="272" t="s">
        <v>358</v>
      </c>
      <c r="B54" s="294">
        <v>0.15776677980645548</v>
      </c>
      <c r="C54" s="294">
        <v>0.14168696037192827</v>
      </c>
      <c r="D54" s="294">
        <v>0.13024486672618288</v>
      </c>
      <c r="E54" s="294">
        <v>0.13981977275695442</v>
      </c>
      <c r="F54" s="294">
        <v>0.13300203187348528</v>
      </c>
      <c r="G54" s="294">
        <v>0.13897347876640276</v>
      </c>
      <c r="H54" s="294">
        <f t="shared" si="1"/>
        <v>0.13845377727330055</v>
      </c>
      <c r="I54" s="294">
        <f t="shared" si="1"/>
        <v>0.15609530325592627</v>
      </c>
      <c r="J54" s="294">
        <f t="shared" si="1"/>
        <v>0.16406211159537976</v>
      </c>
      <c r="K54" s="294">
        <f t="shared" si="1"/>
        <v>0.17030375448085025</v>
      </c>
      <c r="L54" s="272"/>
      <c r="M54" s="294">
        <v>0.13452975306976117</v>
      </c>
      <c r="N54" s="294">
        <v>0.12730041883487753</v>
      </c>
      <c r="O54" s="294">
        <v>0.13626806833114324</v>
      </c>
      <c r="P54" s="294">
        <v>0.12381852551984877</v>
      </c>
      <c r="Q54" s="295">
        <v>0.13397303534556054</v>
      </c>
      <c r="R54" s="294">
        <v>0.13715330691862238</v>
      </c>
      <c r="S54" s="294">
        <v>0.14962180084965288</v>
      </c>
      <c r="T54" s="294">
        <v>0.13790490623224094</v>
      </c>
      <c r="U54" s="295">
        <v>0.12079713847726112</v>
      </c>
      <c r="V54" s="294">
        <v>0.13137587050630528</v>
      </c>
      <c r="W54" s="294">
        <v>0.13299862177594016</v>
      </c>
      <c r="X54" s="296">
        <v>0.1463035019455253</v>
      </c>
      <c r="Y54" s="294">
        <v>0.14987957083424566</v>
      </c>
      <c r="Z54" s="294">
        <v>0.12567982974698511</v>
      </c>
      <c r="AA54" s="294">
        <v>0.14706556625401193</v>
      </c>
      <c r="AB54" s="297">
        <v>0.13308178666122783</v>
      </c>
      <c r="AC54" s="294">
        <v>0.13769500000000001</v>
      </c>
      <c r="AD54" s="294">
        <v>0.14435425870749</v>
      </c>
      <c r="AE54" s="294">
        <v>0.14107967088099538</v>
      </c>
      <c r="AF54" s="297">
        <v>0.13156717085831915</v>
      </c>
      <c r="AG54" s="294">
        <f>AG32/$AG$28</f>
        <v>0.15178571428571427</v>
      </c>
      <c r="AH54" s="294">
        <f>AH32/$AH$28</f>
        <v>0.16026289180990899</v>
      </c>
      <c r="AI54" s="294">
        <f>AI32/$AI$28</f>
        <v>0.15981877831588814</v>
      </c>
      <c r="AJ54" s="296">
        <f>AJ32/$AJ$28</f>
        <v>0.15255453501722158</v>
      </c>
      <c r="AK54" s="294">
        <f t="shared" si="2"/>
        <v>0.14767810787424285</v>
      </c>
      <c r="AL54" s="294">
        <f t="shared" si="2"/>
        <v>0.17510999371464489</v>
      </c>
      <c r="AM54" s="294">
        <f t="shared" si="2"/>
        <v>0.17410148696405947</v>
      </c>
      <c r="AN54" s="296">
        <f t="shared" si="2"/>
        <v>0.15769527235354575</v>
      </c>
      <c r="AO54" s="294">
        <f t="shared" si="2"/>
        <v>0.15937212755426713</v>
      </c>
      <c r="AP54" s="294">
        <f t="shared" si="2"/>
        <v>0.16504148749318637</v>
      </c>
      <c r="AQ54" s="294">
        <f t="shared" si="2"/>
        <v>0.17574367794127013</v>
      </c>
      <c r="AR54" s="296">
        <f t="shared" si="2"/>
        <v>0.17935192162773173</v>
      </c>
      <c r="AS54" s="294">
        <f t="shared" si="2"/>
        <v>0.1627188465499485</v>
      </c>
      <c r="AT54" s="294">
        <f t="shared" si="2"/>
        <v>0.14857898215465962</v>
      </c>
      <c r="AU54" s="294">
        <f t="shared" si="2"/>
        <v>0.16041201942002362</v>
      </c>
      <c r="AV54" s="100"/>
    </row>
    <row r="55" spans="1:48" ht="12.75" x14ac:dyDescent="0.2">
      <c r="A55" s="272" t="s">
        <v>359</v>
      </c>
      <c r="B55" s="294">
        <v>0.2322890800423221</v>
      </c>
      <c r="C55" s="294">
        <v>0.24297099845029888</v>
      </c>
      <c r="D55" s="294">
        <v>0.25108404540237217</v>
      </c>
      <c r="E55" s="294">
        <v>0.27047146401985112</v>
      </c>
      <c r="F55" s="294">
        <v>0.26108350265612379</v>
      </c>
      <c r="G55" s="294">
        <v>0.27841758485133711</v>
      </c>
      <c r="H55" s="294">
        <f t="shared" si="1"/>
        <v>0.28215411779543448</v>
      </c>
      <c r="I55" s="294">
        <f t="shared" si="1"/>
        <v>0.28073811727773978</v>
      </c>
      <c r="J55" s="294">
        <f t="shared" si="1"/>
        <v>0.29693585005717316</v>
      </c>
      <c r="K55" s="294">
        <f t="shared" si="1"/>
        <v>0.29083076536066915</v>
      </c>
      <c r="L55" s="272"/>
      <c r="M55" s="294">
        <v>0.23613547429496695</v>
      </c>
      <c r="N55" s="294">
        <v>0.2463510597791598</v>
      </c>
      <c r="O55" s="294">
        <v>0.24204993429697766</v>
      </c>
      <c r="P55" s="294">
        <v>0.27670132325141777</v>
      </c>
      <c r="Q55" s="295">
        <v>0.28592250698408844</v>
      </c>
      <c r="R55" s="294">
        <v>0.27481458904805445</v>
      </c>
      <c r="S55" s="294">
        <v>0.27064552896072946</v>
      </c>
      <c r="T55" s="294">
        <v>0.25421481341163099</v>
      </c>
      <c r="U55" s="295">
        <v>0.24251405212059274</v>
      </c>
      <c r="V55" s="294">
        <v>0.25766986636551853</v>
      </c>
      <c r="W55" s="294">
        <v>0.27721992518212246</v>
      </c>
      <c r="X55" s="296">
        <v>0.26634241245136187</v>
      </c>
      <c r="Y55" s="294">
        <v>0.26472520253996057</v>
      </c>
      <c r="Z55" s="294">
        <v>0.27713407424923148</v>
      </c>
      <c r="AA55" s="294">
        <v>0.27384227418615315</v>
      </c>
      <c r="AB55" s="297">
        <v>0.29634917397511729</v>
      </c>
      <c r="AC55" s="294">
        <v>0.28519</v>
      </c>
      <c r="AD55" s="294">
        <v>0.26918730093496351</v>
      </c>
      <c r="AE55" s="294">
        <v>0.27031908488862133</v>
      </c>
      <c r="AF55" s="297">
        <v>0.30161997672961605</v>
      </c>
      <c r="AG55" s="294">
        <f>AG33/$AG$28</f>
        <v>0.26163419913419911</v>
      </c>
      <c r="AH55" s="294">
        <f>AH33/$AH$28</f>
        <v>0.25724637681159418</v>
      </c>
      <c r="AI55" s="294">
        <f>AI33/$AI$28</f>
        <v>0.28753319793782223</v>
      </c>
      <c r="AJ55" s="296">
        <f>AJ33/$AJ$28</f>
        <v>0.30970149253731344</v>
      </c>
      <c r="AK55" s="294">
        <f t="shared" si="2"/>
        <v>0.28273723680415347</v>
      </c>
      <c r="AL55" s="294">
        <f t="shared" si="2"/>
        <v>0.29088623507228156</v>
      </c>
      <c r="AM55" s="294">
        <f t="shared" si="2"/>
        <v>0.30172701206908048</v>
      </c>
      <c r="AN55" s="296">
        <f t="shared" si="2"/>
        <v>0.31115107913669066</v>
      </c>
      <c r="AO55" s="294">
        <f t="shared" si="2"/>
        <v>0.29717881637559218</v>
      </c>
      <c r="AP55" s="294">
        <f t="shared" si="2"/>
        <v>0.27587668826842709</v>
      </c>
      <c r="AQ55" s="294">
        <f t="shared" si="2"/>
        <v>0.29919103127587743</v>
      </c>
      <c r="AR55" s="296">
        <f t="shared" si="2"/>
        <v>0.2923308793693119</v>
      </c>
      <c r="AS55" s="294">
        <f t="shared" si="2"/>
        <v>0.28578784757981462</v>
      </c>
      <c r="AT55" s="294">
        <f t="shared" si="2"/>
        <v>0.29385327164573694</v>
      </c>
      <c r="AU55" s="294">
        <f t="shared" si="2"/>
        <v>0.29556488649783491</v>
      </c>
      <c r="AV55" s="100"/>
    </row>
    <row r="56" spans="1:48" ht="12.75" x14ac:dyDescent="0.2">
      <c r="A56" s="272"/>
      <c r="B56" s="272"/>
      <c r="C56" s="272"/>
      <c r="D56" s="284"/>
      <c r="E56" s="284"/>
      <c r="F56" s="284"/>
      <c r="G56" s="284"/>
      <c r="H56" s="284"/>
      <c r="I56" s="284"/>
      <c r="J56" s="284"/>
      <c r="K56" s="284"/>
      <c r="L56" s="272"/>
      <c r="M56" s="272"/>
      <c r="N56" s="272"/>
      <c r="O56" s="272"/>
      <c r="P56" s="284"/>
      <c r="Q56" s="298"/>
      <c r="R56" s="284"/>
      <c r="S56" s="284"/>
      <c r="T56" s="284"/>
      <c r="U56" s="298"/>
      <c r="V56" s="284"/>
      <c r="W56" s="284"/>
      <c r="X56" s="285"/>
      <c r="Y56" s="284"/>
      <c r="Z56" s="284"/>
      <c r="AA56" s="299"/>
      <c r="AB56" s="297"/>
      <c r="AC56" s="284"/>
      <c r="AD56" s="284"/>
      <c r="AE56" s="284"/>
      <c r="AF56" s="297"/>
      <c r="AG56" s="284"/>
      <c r="AH56" s="284"/>
      <c r="AI56" s="284"/>
      <c r="AJ56" s="297"/>
      <c r="AK56" s="284"/>
      <c r="AL56" s="284"/>
      <c r="AM56" s="284"/>
      <c r="AN56" s="285"/>
      <c r="AO56" s="284"/>
      <c r="AP56" s="284"/>
      <c r="AQ56" s="284"/>
      <c r="AR56" s="285"/>
      <c r="AS56" s="284"/>
      <c r="AT56" s="284"/>
      <c r="AU56" s="284"/>
      <c r="AV56" s="100"/>
    </row>
    <row r="57" spans="1:48" ht="12.75" x14ac:dyDescent="0.2">
      <c r="A57" s="280" t="s">
        <v>296</v>
      </c>
      <c r="B57" s="281">
        <v>20317</v>
      </c>
      <c r="C57" s="281">
        <v>18898</v>
      </c>
      <c r="D57" s="281">
        <v>22383</v>
      </c>
      <c r="E57" s="281">
        <v>28540</v>
      </c>
      <c r="F57" s="281">
        <v>29891</v>
      </c>
      <c r="G57" s="281">
        <v>26928</v>
      </c>
      <c r="H57" s="281">
        <v>29320</v>
      </c>
      <c r="I57" s="286">
        <f>I35</f>
        <v>38904</v>
      </c>
      <c r="J57" s="281">
        <f>J35</f>
        <v>47530</v>
      </c>
      <c r="K57" s="281">
        <f>K35</f>
        <v>48914</v>
      </c>
      <c r="L57" s="292"/>
      <c r="M57" s="281">
        <v>5220</v>
      </c>
      <c r="N57" s="281">
        <v>5495</v>
      </c>
      <c r="O57" s="281">
        <v>5406</v>
      </c>
      <c r="P57" s="281">
        <v>6262</v>
      </c>
      <c r="Q57" s="293">
        <v>5943</v>
      </c>
      <c r="R57" s="281">
        <v>7325</v>
      </c>
      <c r="S57" s="281">
        <v>7178</v>
      </c>
      <c r="T57" s="281">
        <v>8094</v>
      </c>
      <c r="U57" s="293">
        <v>7115</v>
      </c>
      <c r="V57" s="281">
        <v>7702</v>
      </c>
      <c r="W57" s="281">
        <v>7334</v>
      </c>
      <c r="X57" s="283">
        <v>7740</v>
      </c>
      <c r="Y57" s="281">
        <v>6579</v>
      </c>
      <c r="Z57" s="281">
        <v>6422</v>
      </c>
      <c r="AA57" s="281">
        <v>6471</v>
      </c>
      <c r="AB57" s="283">
        <v>7456</v>
      </c>
      <c r="AC57" s="281">
        <v>6391</v>
      </c>
      <c r="AD57" s="281">
        <v>7187</v>
      </c>
      <c r="AE57" s="281">
        <v>7242</v>
      </c>
      <c r="AF57" s="283">
        <v>8500</v>
      </c>
      <c r="AG57" s="286">
        <f t="shared" ref="AG57:AM57" si="3">AG35</f>
        <v>8485</v>
      </c>
      <c r="AH57" s="286">
        <f t="shared" si="3"/>
        <v>9060</v>
      </c>
      <c r="AI57" s="286">
        <f t="shared" si="3"/>
        <v>10070</v>
      </c>
      <c r="AJ57" s="287">
        <f t="shared" si="3"/>
        <v>11289</v>
      </c>
      <c r="AK57" s="281">
        <f t="shared" si="3"/>
        <v>10733</v>
      </c>
      <c r="AL57" s="281">
        <f t="shared" si="3"/>
        <v>12510</v>
      </c>
      <c r="AM57" s="281">
        <f t="shared" si="3"/>
        <v>11729</v>
      </c>
      <c r="AN57" s="283">
        <f t="shared" ref="AN57:AT57" si="4">+AN35</f>
        <v>12558</v>
      </c>
      <c r="AO57" s="281">
        <f t="shared" si="4"/>
        <v>11212</v>
      </c>
      <c r="AP57" s="281">
        <f t="shared" si="4"/>
        <v>12516</v>
      </c>
      <c r="AQ57" s="281">
        <f t="shared" si="4"/>
        <v>11875</v>
      </c>
      <c r="AR57" s="283">
        <f t="shared" si="4"/>
        <v>13311</v>
      </c>
      <c r="AS57" s="281">
        <f t="shared" si="4"/>
        <v>11704</v>
      </c>
      <c r="AT57" s="281">
        <f t="shared" si="4"/>
        <v>11435</v>
      </c>
      <c r="AU57" s="281">
        <v>11513</v>
      </c>
      <c r="AV57" s="100"/>
    </row>
    <row r="58" spans="1:48" ht="12.75" x14ac:dyDescent="0.2">
      <c r="A58" s="272" t="s">
        <v>355</v>
      </c>
      <c r="B58" s="294">
        <v>0.1917113747108333</v>
      </c>
      <c r="C58" s="294">
        <v>0.18432839494019787</v>
      </c>
      <c r="D58" s="294">
        <v>0.21445095240439041</v>
      </c>
      <c r="E58" s="294">
        <v>0.27755081951075455</v>
      </c>
      <c r="F58" s="294">
        <v>0.28764089186395631</v>
      </c>
      <c r="G58" s="294">
        <v>0.19240196078431374</v>
      </c>
      <c r="H58" s="294">
        <f>+H36/H$35</f>
        <v>0.20617326057298771</v>
      </c>
      <c r="I58" s="294">
        <f>I36/$I$35</f>
        <v>0.24884330660086365</v>
      </c>
      <c r="J58" s="294">
        <f t="shared" ref="J58:K62" si="5">J36/$J$35</f>
        <v>0.24041657900273511</v>
      </c>
      <c r="K58" s="294">
        <f t="shared" si="5"/>
        <v>0.24571849358300021</v>
      </c>
      <c r="L58" s="272"/>
      <c r="M58" s="294">
        <v>0.2157088122605364</v>
      </c>
      <c r="N58" s="294">
        <v>0.1743403093721565</v>
      </c>
      <c r="O58" s="294">
        <v>0.2005179430262671</v>
      </c>
      <c r="P58" s="294">
        <v>0.1898754391568189</v>
      </c>
      <c r="Q58" s="295">
        <v>0.19737506309944472</v>
      </c>
      <c r="R58" s="294">
        <v>0.19249146757679181</v>
      </c>
      <c r="S58" s="294">
        <v>0.19671217609361941</v>
      </c>
      <c r="T58" s="294">
        <v>0.20311341734618235</v>
      </c>
      <c r="U58" s="295">
        <v>0.20028109627547436</v>
      </c>
      <c r="V58" s="294">
        <v>0.20514152168267982</v>
      </c>
      <c r="W58" s="294">
        <v>0.18571038996454867</v>
      </c>
      <c r="X58" s="294">
        <v>0.19082687338501292</v>
      </c>
      <c r="Y58" s="295">
        <v>0.20246238030095759</v>
      </c>
      <c r="Z58" s="294">
        <v>0.19635627530364372</v>
      </c>
      <c r="AA58" s="294">
        <v>0.20754133827847318</v>
      </c>
      <c r="AB58" s="296">
        <v>0.16697961373390557</v>
      </c>
      <c r="AC58" s="295">
        <v>0.19</v>
      </c>
      <c r="AD58" s="294">
        <v>0.20217058577988034</v>
      </c>
      <c r="AE58" s="294">
        <v>0.21913835956917979</v>
      </c>
      <c r="AF58" s="296">
        <v>0.20847058823529413</v>
      </c>
      <c r="AG58" s="300">
        <f>AG36/$AG$35</f>
        <v>0.23995285798467886</v>
      </c>
      <c r="AH58" s="301">
        <f>AH36/$AH$35</f>
        <v>0.25231788079470197</v>
      </c>
      <c r="AI58" s="301">
        <f>AI36/$AI$35</f>
        <v>0.25849056603773585</v>
      </c>
      <c r="AJ58" s="302">
        <f>AJ36/$AJ$35</f>
        <v>0.24413145539906103</v>
      </c>
      <c r="AK58" s="294">
        <f t="shared" ref="AK58:AU62" si="6">AK36/AK$35</f>
        <v>0.25211963104444235</v>
      </c>
      <c r="AL58" s="294">
        <f t="shared" si="6"/>
        <v>0.23661071143085532</v>
      </c>
      <c r="AM58" s="294">
        <f t="shared" si="6"/>
        <v>0.23898030522636202</v>
      </c>
      <c r="AN58" s="296">
        <f t="shared" si="6"/>
        <v>0.23554706163401815</v>
      </c>
      <c r="AO58" s="294">
        <f t="shared" si="6"/>
        <v>0.26712450945415628</v>
      </c>
      <c r="AP58" s="294">
        <f t="shared" si="6"/>
        <v>0.24017257909875359</v>
      </c>
      <c r="AQ58" s="294">
        <f t="shared" si="6"/>
        <v>0.22686315789473685</v>
      </c>
      <c r="AR58" s="296">
        <f t="shared" si="6"/>
        <v>0.22417549395237021</v>
      </c>
      <c r="AS58" s="294">
        <f t="shared" si="6"/>
        <v>0.25247778537252219</v>
      </c>
      <c r="AT58" s="294">
        <f t="shared" si="6"/>
        <v>0.24573677306515085</v>
      </c>
      <c r="AU58" s="294">
        <f t="shared" si="6"/>
        <v>0.22835056023625466</v>
      </c>
      <c r="AV58" s="100"/>
    </row>
    <row r="59" spans="1:48" ht="12.75" x14ac:dyDescent="0.2">
      <c r="A59" s="272" t="s">
        <v>356</v>
      </c>
      <c r="B59" s="294">
        <v>0.15666683073288379</v>
      </c>
      <c r="C59" s="294">
        <v>0.13008810355859626</v>
      </c>
      <c r="D59" s="294">
        <v>0.16296697347049269</v>
      </c>
      <c r="E59" s="294">
        <v>0.20549293694935275</v>
      </c>
      <c r="F59" s="294">
        <v>0.26061918590343064</v>
      </c>
      <c r="G59" s="294">
        <v>0.14104278074866311</v>
      </c>
      <c r="H59" s="294">
        <f>+H37/H$35</f>
        <v>0.14737380627557981</v>
      </c>
      <c r="I59" s="294">
        <f>I37/$I$35</f>
        <v>0.15103845362944684</v>
      </c>
      <c r="J59" s="294">
        <f t="shared" si="5"/>
        <v>0.15150431306543236</v>
      </c>
      <c r="K59" s="294">
        <f t="shared" si="5"/>
        <v>0.14386703134862192</v>
      </c>
      <c r="L59" s="272"/>
      <c r="M59" s="294">
        <v>0.15842911877394636</v>
      </c>
      <c r="N59" s="294">
        <v>0.16014558689717925</v>
      </c>
      <c r="O59" s="294">
        <v>0.13780984091749907</v>
      </c>
      <c r="P59" s="294">
        <v>0.13717662088789523</v>
      </c>
      <c r="Q59" s="295">
        <v>0.13679959616355375</v>
      </c>
      <c r="R59" s="294">
        <v>0.13392491467576792</v>
      </c>
      <c r="S59" s="294">
        <v>0.14210086375034828</v>
      </c>
      <c r="T59" s="294">
        <v>0.16814924635532494</v>
      </c>
      <c r="U59" s="295">
        <v>0.1865073787772312</v>
      </c>
      <c r="V59" s="294">
        <v>0.17411062061802129</v>
      </c>
      <c r="W59" s="294">
        <v>0.18489228251977094</v>
      </c>
      <c r="X59" s="294">
        <v>0.16421188630490957</v>
      </c>
      <c r="Y59" s="295">
        <v>0.13299893600851193</v>
      </c>
      <c r="Z59" s="294">
        <v>0.16708190594830272</v>
      </c>
      <c r="AA59" s="294">
        <v>0.12192860454334724</v>
      </c>
      <c r="AB59" s="296">
        <v>0.14230150214592274</v>
      </c>
      <c r="AC59" s="295">
        <v>0.15</v>
      </c>
      <c r="AD59" s="294">
        <v>0.15722832892722971</v>
      </c>
      <c r="AE59" s="294">
        <v>0.15341066003866335</v>
      </c>
      <c r="AF59" s="296">
        <v>0.13529411764705881</v>
      </c>
      <c r="AG59" s="300">
        <f>AG37/$AG$35</f>
        <v>0.15674720094284031</v>
      </c>
      <c r="AH59" s="301">
        <f>AH37/$AH$35</f>
        <v>0.14933774834437086</v>
      </c>
      <c r="AI59" s="301">
        <f>AI37/$AI$35</f>
        <v>0.15451837140019861</v>
      </c>
      <c r="AJ59" s="302">
        <f>AJ37/$AJ$35</f>
        <v>0.14500841527150324</v>
      </c>
      <c r="AK59" s="294">
        <f t="shared" si="6"/>
        <v>0.15988074163793906</v>
      </c>
      <c r="AL59" s="294">
        <f t="shared" si="6"/>
        <v>0.14164668265387689</v>
      </c>
      <c r="AM59" s="294">
        <f t="shared" si="6"/>
        <v>0.15329525108704919</v>
      </c>
      <c r="AN59" s="296">
        <f t="shared" si="6"/>
        <v>0.15249243510113075</v>
      </c>
      <c r="AO59" s="294">
        <f t="shared" si="6"/>
        <v>0.13137709596860506</v>
      </c>
      <c r="AP59" s="294">
        <f t="shared" si="6"/>
        <v>0.15164589325663153</v>
      </c>
      <c r="AQ59" s="294">
        <f t="shared" si="6"/>
        <v>0.13372631578947369</v>
      </c>
      <c r="AR59" s="296">
        <f t="shared" si="6"/>
        <v>0.14116144542108031</v>
      </c>
      <c r="AS59" s="294">
        <f t="shared" si="6"/>
        <v>0.14567669172932332</v>
      </c>
      <c r="AT59" s="294">
        <f t="shared" si="6"/>
        <v>0.15076519457804985</v>
      </c>
      <c r="AU59" s="294">
        <f t="shared" si="6"/>
        <v>0.15677929297316076</v>
      </c>
      <c r="AV59" s="100"/>
    </row>
    <row r="60" spans="1:48" ht="12.75" x14ac:dyDescent="0.2">
      <c r="A60" s="272" t="s">
        <v>357</v>
      </c>
      <c r="B60" s="294">
        <v>0.25648471723187477</v>
      </c>
      <c r="C60" s="294">
        <v>0.24299847418418075</v>
      </c>
      <c r="D60" s="294">
        <v>0.29930599990156026</v>
      </c>
      <c r="E60" s="294">
        <v>0.30639366048137029</v>
      </c>
      <c r="F60" s="294">
        <v>0.3210119604272284</v>
      </c>
      <c r="G60" s="294">
        <v>0.22556446821152704</v>
      </c>
      <c r="H60" s="294">
        <f>+H38/H$35</f>
        <v>0.20289904502046385</v>
      </c>
      <c r="I60" s="294">
        <f>I38/$I$35</f>
        <v>0.14618034135307423</v>
      </c>
      <c r="J60" s="294">
        <f t="shared" si="5"/>
        <v>0.12815064169997897</v>
      </c>
      <c r="K60" s="294">
        <f t="shared" si="5"/>
        <v>0.12941300231432779</v>
      </c>
      <c r="L60" s="272"/>
      <c r="M60" s="294">
        <v>0.25344827586206897</v>
      </c>
      <c r="N60" s="294">
        <v>0.28462238398544132</v>
      </c>
      <c r="O60" s="294">
        <v>0.27450980392156865</v>
      </c>
      <c r="P60" s="294">
        <v>0.27307569466624082</v>
      </c>
      <c r="Q60" s="295">
        <v>0.20780750462729261</v>
      </c>
      <c r="R60" s="294">
        <v>0.23153583617747439</v>
      </c>
      <c r="S60" s="294">
        <v>0.20730008358874338</v>
      </c>
      <c r="T60" s="294">
        <v>0.22325179145045712</v>
      </c>
      <c r="U60" s="295">
        <v>0.23527758257203091</v>
      </c>
      <c r="V60" s="294">
        <v>0.21838483510776421</v>
      </c>
      <c r="W60" s="294">
        <v>0.20029997272975184</v>
      </c>
      <c r="X60" s="294">
        <v>0.21925064599483204</v>
      </c>
      <c r="Y60" s="295">
        <v>0.21690226478188174</v>
      </c>
      <c r="Z60" s="294">
        <v>0.21208346309560885</v>
      </c>
      <c r="AA60" s="294">
        <v>0.22747643331787978</v>
      </c>
      <c r="AB60" s="296">
        <v>0.2431598712446352</v>
      </c>
      <c r="AC60" s="295">
        <v>0.2</v>
      </c>
      <c r="AD60" s="294">
        <v>0.20258800612216502</v>
      </c>
      <c r="AE60" s="294">
        <v>0.19814968240817454</v>
      </c>
      <c r="AF60" s="296">
        <v>0.20588235294117646</v>
      </c>
      <c r="AG60" s="300">
        <f>AG38/$AG$35</f>
        <v>0.17748968768414849</v>
      </c>
      <c r="AH60" s="301">
        <f>AH38/$AH$35</f>
        <v>0.16810154525386314</v>
      </c>
      <c r="AI60" s="301">
        <f>AI38/$AI$35</f>
        <v>0.11886792452830189</v>
      </c>
      <c r="AJ60" s="302">
        <f>AJ38/$AJ$35</f>
        <v>0.12941801753919746</v>
      </c>
      <c r="AK60" s="294">
        <f t="shared" si="6"/>
        <v>0.13630858101183266</v>
      </c>
      <c r="AL60" s="294">
        <f t="shared" si="6"/>
        <v>0.13693045563549161</v>
      </c>
      <c r="AM60" s="294">
        <f t="shared" si="6"/>
        <v>0.11075112967857448</v>
      </c>
      <c r="AN60" s="296">
        <f t="shared" si="6"/>
        <v>0.12868291129160694</v>
      </c>
      <c r="AO60" s="294">
        <f t="shared" si="6"/>
        <v>0.13280413842311808</v>
      </c>
      <c r="AP60" s="294">
        <f t="shared" si="6"/>
        <v>0.12384148290188558</v>
      </c>
      <c r="AQ60" s="294">
        <f t="shared" si="6"/>
        <v>0.12479999999999999</v>
      </c>
      <c r="AR60" s="296">
        <f t="shared" si="6"/>
        <v>0.12245511231312449</v>
      </c>
      <c r="AS60" s="294">
        <f t="shared" si="6"/>
        <v>0.1072282980177717</v>
      </c>
      <c r="AT60" s="294">
        <f t="shared" si="6"/>
        <v>0.11718408395277656</v>
      </c>
      <c r="AU60" s="294">
        <f t="shared" si="6"/>
        <v>0.11100495092504126</v>
      </c>
      <c r="AV60" s="100"/>
    </row>
    <row r="61" spans="1:48" ht="12.75" x14ac:dyDescent="0.2">
      <c r="A61" s="272" t="s">
        <v>358</v>
      </c>
      <c r="B61" s="294">
        <v>0.15336909976866664</v>
      </c>
      <c r="C61" s="294">
        <v>0.13028498301914654</v>
      </c>
      <c r="D61" s="294">
        <v>0.1298420042329084</v>
      </c>
      <c r="E61" s="294">
        <v>0.18816754442092828</v>
      </c>
      <c r="F61" s="294">
        <v>0.16877491755672588</v>
      </c>
      <c r="G61" s="294">
        <v>0.12726530005941772</v>
      </c>
      <c r="H61" s="294">
        <f>+H39/H$35</f>
        <v>0.12517053206002729</v>
      </c>
      <c r="I61" s="294">
        <f>I39/$I$35</f>
        <v>0.15085852354513674</v>
      </c>
      <c r="J61" s="294">
        <f t="shared" si="5"/>
        <v>0.1622554176309699</v>
      </c>
      <c r="K61" s="294">
        <f t="shared" si="5"/>
        <v>0.1807700399747528</v>
      </c>
      <c r="L61" s="272"/>
      <c r="M61" s="294">
        <v>0.11781609195402298</v>
      </c>
      <c r="N61" s="294">
        <v>0.11774340309372157</v>
      </c>
      <c r="O61" s="294">
        <v>0.12782093969663336</v>
      </c>
      <c r="P61" s="294">
        <v>0.10938997125519004</v>
      </c>
      <c r="Q61" s="295">
        <v>0.12889113242470132</v>
      </c>
      <c r="R61" s="294">
        <v>0.13269624573378841</v>
      </c>
      <c r="S61" s="294">
        <v>0.14683755920869324</v>
      </c>
      <c r="T61" s="294">
        <v>0.12737830491722263</v>
      </c>
      <c r="U61" s="295">
        <v>0.11061138439915671</v>
      </c>
      <c r="V61" s="294">
        <v>0.10997143599065178</v>
      </c>
      <c r="W61" s="294">
        <v>0.10799018271066267</v>
      </c>
      <c r="X61" s="294">
        <v>0.12958656330749355</v>
      </c>
      <c r="Y61" s="295">
        <v>0.14029487764097887</v>
      </c>
      <c r="Z61" s="294">
        <v>0.1184989099968857</v>
      </c>
      <c r="AA61" s="294">
        <v>0.13413691855972801</v>
      </c>
      <c r="AB61" s="296">
        <v>0.11735515021459228</v>
      </c>
      <c r="AC61" s="295">
        <v>0.13</v>
      </c>
      <c r="AD61" s="294">
        <v>0.13093084736329483</v>
      </c>
      <c r="AE61" s="294">
        <v>0.12372272852803093</v>
      </c>
      <c r="AF61" s="296">
        <v>0.11858823529411765</v>
      </c>
      <c r="AG61" s="300">
        <f>AG39/$AG$35</f>
        <v>0.14484384207424866</v>
      </c>
      <c r="AH61" s="301">
        <f>AH39/$AH$35</f>
        <v>0.1575055187637969</v>
      </c>
      <c r="AI61" s="301">
        <f>AI39/$AI$35</f>
        <v>0.15412115193644488</v>
      </c>
      <c r="AJ61" s="302">
        <f>AJ39/$AJ$35</f>
        <v>0.14713437859863585</v>
      </c>
      <c r="AK61" s="294">
        <f t="shared" si="6"/>
        <v>0.14394856983136123</v>
      </c>
      <c r="AL61" s="294">
        <f t="shared" si="6"/>
        <v>0.17737809752198241</v>
      </c>
      <c r="AM61" s="294">
        <f t="shared" si="6"/>
        <v>0.17162588455963851</v>
      </c>
      <c r="AN61" s="296">
        <f t="shared" si="6"/>
        <v>0.15408504538939322</v>
      </c>
      <c r="AO61" s="294">
        <f t="shared" si="6"/>
        <v>0.15322868355333571</v>
      </c>
      <c r="AP61" s="294">
        <f t="shared" si="6"/>
        <v>0.17569511025886864</v>
      </c>
      <c r="AQ61" s="294">
        <f t="shared" si="6"/>
        <v>0.18071578947368422</v>
      </c>
      <c r="AR61" s="296">
        <f t="shared" si="6"/>
        <v>0.18999323867478027</v>
      </c>
      <c r="AS61" s="294">
        <f t="shared" si="6"/>
        <v>0.17190704032809295</v>
      </c>
      <c r="AT61" s="294">
        <f t="shared" si="6"/>
        <v>0.1529514648010494</v>
      </c>
      <c r="AU61" s="294">
        <f t="shared" si="6"/>
        <v>0.1655519847129332</v>
      </c>
      <c r="AV61" s="100"/>
    </row>
    <row r="62" spans="1:48" ht="12.75" x14ac:dyDescent="0.2">
      <c r="A62" s="272" t="s">
        <v>359</v>
      </c>
      <c r="B62" s="294">
        <v>0.2417679775557415</v>
      </c>
      <c r="C62" s="294">
        <v>0.24245705566766748</v>
      </c>
      <c r="D62" s="294">
        <v>0.29512231136486688</v>
      </c>
      <c r="E62" s="294">
        <v>0.42712998966382831</v>
      </c>
      <c r="F62" s="294">
        <v>0.43318403307574938</v>
      </c>
      <c r="G62" s="294">
        <v>0.31372549019607843</v>
      </c>
      <c r="H62" s="294">
        <f>+H40/H$35</f>
        <v>0.31838335607094131</v>
      </c>
      <c r="I62" s="294">
        <f>I40/$I$35</f>
        <v>0.30307937487147851</v>
      </c>
      <c r="J62" s="294">
        <f t="shared" si="5"/>
        <v>0.31767304860088363</v>
      </c>
      <c r="K62" s="294">
        <f t="shared" si="5"/>
        <v>0.32934988428361034</v>
      </c>
      <c r="L62" s="272"/>
      <c r="M62" s="294">
        <v>0.25459770114942532</v>
      </c>
      <c r="N62" s="294">
        <v>0.26314831665150135</v>
      </c>
      <c r="O62" s="294">
        <v>0.25934147243803179</v>
      </c>
      <c r="P62" s="294">
        <v>0.29048227403385501</v>
      </c>
      <c r="Q62" s="295">
        <v>0.32912670368500757</v>
      </c>
      <c r="R62" s="294">
        <v>0.30935153583617747</v>
      </c>
      <c r="S62" s="294">
        <v>0.3070493173585957</v>
      </c>
      <c r="T62" s="294">
        <v>0.27810723993081293</v>
      </c>
      <c r="U62" s="295">
        <v>0.26732255797610682</v>
      </c>
      <c r="V62" s="294">
        <v>0.29239158660088288</v>
      </c>
      <c r="W62" s="294">
        <v>0.3211071720752659</v>
      </c>
      <c r="X62" s="294">
        <v>0.29612403100775192</v>
      </c>
      <c r="Y62" s="295">
        <v>0.30734154126766988</v>
      </c>
      <c r="Z62" s="294">
        <v>0.30597944565555901</v>
      </c>
      <c r="AA62" s="294">
        <v>0.3089167053005718</v>
      </c>
      <c r="AB62" s="296">
        <v>0.3302038626609442</v>
      </c>
      <c r="AC62" s="295">
        <v>0.33</v>
      </c>
      <c r="AD62" s="294">
        <v>0.30708223180743011</v>
      </c>
      <c r="AE62" s="294">
        <v>0.30557856945595141</v>
      </c>
      <c r="AF62" s="296">
        <v>0.33176470588235296</v>
      </c>
      <c r="AG62" s="300">
        <f>AG40/$AG$35</f>
        <v>0.28096641131408367</v>
      </c>
      <c r="AH62" s="301">
        <f>AH40/$AH$35</f>
        <v>0.27273730684326714</v>
      </c>
      <c r="AI62" s="301">
        <f>AI40/$AI$35</f>
        <v>0.31400198609731877</v>
      </c>
      <c r="AJ62" s="302">
        <f>AJ40/$AJ$35</f>
        <v>0.33430773319160245</v>
      </c>
      <c r="AK62" s="294">
        <f t="shared" si="6"/>
        <v>0.30774247647442465</v>
      </c>
      <c r="AL62" s="294">
        <f t="shared" si="6"/>
        <v>0.30743405275779379</v>
      </c>
      <c r="AM62" s="294">
        <f t="shared" si="6"/>
        <v>0.3253474294483758</v>
      </c>
      <c r="AN62" s="296">
        <f t="shared" si="6"/>
        <v>0.32919254658385094</v>
      </c>
      <c r="AO62" s="294">
        <f t="shared" si="6"/>
        <v>0.31546557260078489</v>
      </c>
      <c r="AP62" s="294">
        <f t="shared" si="6"/>
        <v>0.30864493448386066</v>
      </c>
      <c r="AQ62" s="294">
        <f t="shared" si="6"/>
        <v>0.33389473684210524</v>
      </c>
      <c r="AR62" s="296">
        <f t="shared" si="6"/>
        <v>0.32221470963864474</v>
      </c>
      <c r="AS62" s="294">
        <f t="shared" si="6"/>
        <v>0.32271018455228984</v>
      </c>
      <c r="AT62" s="294">
        <f t="shared" si="6"/>
        <v>0.33336248360297333</v>
      </c>
      <c r="AU62" s="294">
        <f t="shared" si="6"/>
        <v>0.33831321115261009</v>
      </c>
      <c r="AV62" s="100"/>
    </row>
    <row r="63" spans="1:48" ht="12.75" x14ac:dyDescent="0.2">
      <c r="A63" s="272"/>
      <c r="B63" s="272"/>
      <c r="C63" s="272"/>
      <c r="D63" s="284"/>
      <c r="E63" s="284"/>
      <c r="F63" s="284"/>
      <c r="G63" s="284"/>
      <c r="H63" s="284"/>
      <c r="I63" s="284"/>
      <c r="J63" s="284"/>
      <c r="K63" s="284"/>
      <c r="L63" s="272"/>
      <c r="M63" s="272"/>
      <c r="N63" s="284"/>
      <c r="O63" s="272"/>
      <c r="P63" s="284"/>
      <c r="Q63" s="298"/>
      <c r="R63" s="284"/>
      <c r="S63" s="284"/>
      <c r="T63" s="284"/>
      <c r="U63" s="298"/>
      <c r="V63" s="284"/>
      <c r="W63" s="284"/>
      <c r="X63" s="284"/>
      <c r="Y63" s="298"/>
      <c r="Z63" s="284"/>
      <c r="AA63" s="294"/>
      <c r="AB63" s="296"/>
      <c r="AC63" s="298"/>
      <c r="AD63" s="284"/>
      <c r="AE63" s="284"/>
      <c r="AF63" s="296"/>
      <c r="AG63" s="298"/>
      <c r="AH63" s="284"/>
      <c r="AI63" s="284"/>
      <c r="AJ63" s="296"/>
      <c r="AK63" s="298"/>
      <c r="AL63" s="284"/>
      <c r="AM63" s="284"/>
      <c r="AN63" s="296"/>
      <c r="AO63" s="294"/>
      <c r="AP63" s="294"/>
      <c r="AQ63" s="294"/>
      <c r="AR63" s="296"/>
      <c r="AS63" s="294"/>
      <c r="AT63" s="294"/>
      <c r="AU63" s="294"/>
      <c r="AV63" s="100"/>
    </row>
    <row r="64" spans="1:48" ht="12.75" x14ac:dyDescent="0.2">
      <c r="A64" s="280" t="s">
        <v>299</v>
      </c>
      <c r="B64" s="281">
        <v>8088</v>
      </c>
      <c r="C64" s="281">
        <v>7925</v>
      </c>
      <c r="D64" s="281">
        <v>8738</v>
      </c>
      <c r="E64" s="281">
        <v>9519</v>
      </c>
      <c r="F64" s="281">
        <v>10799</v>
      </c>
      <c r="G64" s="281">
        <v>9025</v>
      </c>
      <c r="H64" s="281">
        <v>10205</v>
      </c>
      <c r="I64" s="286">
        <f>I42</f>
        <v>10806</v>
      </c>
      <c r="J64" s="281">
        <f>J42</f>
        <v>12723</v>
      </c>
      <c r="K64" s="281">
        <f>K42</f>
        <v>14640</v>
      </c>
      <c r="L64" s="292"/>
      <c r="M64" s="281">
        <v>2161</v>
      </c>
      <c r="N64" s="281">
        <v>2297</v>
      </c>
      <c r="O64" s="281">
        <v>2141</v>
      </c>
      <c r="P64" s="281">
        <v>2139</v>
      </c>
      <c r="Q64" s="293">
        <v>2245</v>
      </c>
      <c r="R64" s="281">
        <v>2452</v>
      </c>
      <c r="S64" s="281">
        <v>2382</v>
      </c>
      <c r="T64" s="281">
        <v>2440</v>
      </c>
      <c r="U64" s="293">
        <v>2605</v>
      </c>
      <c r="V64" s="281">
        <v>2926</v>
      </c>
      <c r="W64" s="281">
        <v>2765</v>
      </c>
      <c r="X64" s="283">
        <v>2503</v>
      </c>
      <c r="Y64" s="281">
        <v>2505</v>
      </c>
      <c r="Z64" s="281">
        <v>2035</v>
      </c>
      <c r="AA64" s="281">
        <v>2196</v>
      </c>
      <c r="AB64" s="283">
        <v>2288</v>
      </c>
      <c r="AC64" s="281">
        <v>2345</v>
      </c>
      <c r="AD64" s="281">
        <v>2517</v>
      </c>
      <c r="AE64" s="281">
        <v>2699</v>
      </c>
      <c r="AF64" s="283">
        <v>2644</v>
      </c>
      <c r="AG64" s="286">
        <f t="shared" ref="AG64:AM64" si="7">AG42</f>
        <v>2588</v>
      </c>
      <c r="AH64" s="286">
        <f t="shared" si="7"/>
        <v>2793.5</v>
      </c>
      <c r="AI64" s="286">
        <f t="shared" si="7"/>
        <v>2711</v>
      </c>
      <c r="AJ64" s="287">
        <f t="shared" si="7"/>
        <v>2713</v>
      </c>
      <c r="AK64" s="281">
        <f t="shared" si="7"/>
        <v>3125</v>
      </c>
      <c r="AL64" s="281">
        <f t="shared" si="7"/>
        <v>3418</v>
      </c>
      <c r="AM64" s="281">
        <f t="shared" si="7"/>
        <v>3195</v>
      </c>
      <c r="AN64" s="283">
        <f t="shared" ref="AN64:AT64" si="8">+AN42</f>
        <v>2985</v>
      </c>
      <c r="AO64" s="281">
        <f t="shared" si="8"/>
        <v>2949</v>
      </c>
      <c r="AP64" s="281">
        <f t="shared" si="8"/>
        <v>3991</v>
      </c>
      <c r="AQ64" s="281">
        <f t="shared" si="8"/>
        <v>3809</v>
      </c>
      <c r="AR64" s="283">
        <f t="shared" si="8"/>
        <v>3891</v>
      </c>
      <c r="AS64" s="281">
        <f t="shared" si="8"/>
        <v>3811</v>
      </c>
      <c r="AT64" s="281">
        <f t="shared" si="8"/>
        <v>3665</v>
      </c>
      <c r="AU64" s="281">
        <v>3704</v>
      </c>
      <c r="AV64" s="100"/>
    </row>
    <row r="65" spans="1:48" ht="12.75" x14ac:dyDescent="0.2">
      <c r="A65" s="272" t="s">
        <v>355</v>
      </c>
      <c r="B65" s="294">
        <v>0.26483679525222553</v>
      </c>
      <c r="C65" s="294">
        <v>0.27987381703470032</v>
      </c>
      <c r="D65" s="294">
        <v>0.28759441519798579</v>
      </c>
      <c r="E65" s="294">
        <v>0.2862695661308961</v>
      </c>
      <c r="F65" s="294">
        <v>0.28335957033058617</v>
      </c>
      <c r="G65" s="294">
        <v>0.2742382271468144</v>
      </c>
      <c r="H65" s="294">
        <f>+H43/H$42</f>
        <v>0.26967172954434099</v>
      </c>
      <c r="I65" s="294">
        <f>I43/$I$42</f>
        <v>0.29483620210993894</v>
      </c>
      <c r="J65" s="294">
        <f t="shared" ref="J65:K69" si="9">J43/$J$42</f>
        <v>0.31187612984359037</v>
      </c>
      <c r="K65" s="294">
        <f t="shared" si="9"/>
        <v>0.47473080248369093</v>
      </c>
      <c r="L65" s="284"/>
      <c r="M65" s="294">
        <v>0.30032392410920872</v>
      </c>
      <c r="N65" s="294">
        <v>0.29734436221158034</v>
      </c>
      <c r="O65" s="294">
        <v>0.29659037832788415</v>
      </c>
      <c r="P65" s="294">
        <v>0.2552594670406732</v>
      </c>
      <c r="Q65" s="295">
        <v>0.31180400890868598</v>
      </c>
      <c r="R65" s="294">
        <v>0.27773246329526918</v>
      </c>
      <c r="S65" s="294">
        <v>0.29513014273719562</v>
      </c>
      <c r="T65" s="294">
        <v>0.26270491803278689</v>
      </c>
      <c r="U65" s="295">
        <v>0.29673704414587332</v>
      </c>
      <c r="V65" s="294">
        <v>0.28981544771018453</v>
      </c>
      <c r="W65" s="294">
        <v>0.29005424954792042</v>
      </c>
      <c r="X65" s="294">
        <v>0.25449460647223332</v>
      </c>
      <c r="Y65" s="295">
        <v>0.29341317365269459</v>
      </c>
      <c r="Z65" s="294">
        <v>0.28255528255528256</v>
      </c>
      <c r="AA65" s="294">
        <v>0.26775956284153007</v>
      </c>
      <c r="AB65" s="296">
        <v>0.25218531468531469</v>
      </c>
      <c r="AC65" s="295">
        <v>0.28100000000000003</v>
      </c>
      <c r="AD65" s="294">
        <v>0.27532777115613827</v>
      </c>
      <c r="AE65" s="294">
        <v>0.27084105224157096</v>
      </c>
      <c r="AF65" s="296">
        <v>0.25302571860816941</v>
      </c>
      <c r="AG65" s="300">
        <f>AG43/$AG$42</f>
        <v>0.27434312210200928</v>
      </c>
      <c r="AH65" s="301">
        <f>AH43/$AH$42</f>
        <v>0.30212994451405045</v>
      </c>
      <c r="AI65" s="301">
        <f>AI43/$AI$42</f>
        <v>0.30505348579859831</v>
      </c>
      <c r="AJ65" s="302">
        <f>AJ43/$AJ$42</f>
        <v>0.29671949870991521</v>
      </c>
      <c r="AK65" s="294">
        <f t="shared" ref="AK65:AU69" si="10">AK43/AK$42</f>
        <v>0.33792</v>
      </c>
      <c r="AL65" s="294">
        <f t="shared" si="10"/>
        <v>0.30076067875950846</v>
      </c>
      <c r="AM65" s="294">
        <f t="shared" si="10"/>
        <v>0.29921752738654145</v>
      </c>
      <c r="AN65" s="296">
        <f t="shared" si="10"/>
        <v>0.31088777219430486</v>
      </c>
      <c r="AO65" s="294">
        <f t="shared" si="10"/>
        <v>0.31332655137334692</v>
      </c>
      <c r="AP65" s="294">
        <f t="shared" si="10"/>
        <v>0.46279128038085693</v>
      </c>
      <c r="AQ65" s="294">
        <f t="shared" si="10"/>
        <v>0.43318456287739565</v>
      </c>
      <c r="AR65" s="296">
        <f t="shared" si="10"/>
        <v>0.41608840914931894</v>
      </c>
      <c r="AS65" s="294">
        <f t="shared" si="10"/>
        <v>0.46024665442141172</v>
      </c>
      <c r="AT65" s="294">
        <f t="shared" si="10"/>
        <v>0.44638472032742155</v>
      </c>
      <c r="AU65" s="294">
        <f t="shared" si="10"/>
        <v>0.44033477321814257</v>
      </c>
      <c r="AV65" s="100"/>
    </row>
    <row r="66" spans="1:48" ht="12.75" x14ac:dyDescent="0.2">
      <c r="A66" s="272" t="s">
        <v>356</v>
      </c>
      <c r="B66" s="294">
        <v>9.2977250247279916E-2</v>
      </c>
      <c r="C66" s="294">
        <v>8.9337539432176663E-2</v>
      </c>
      <c r="D66" s="294">
        <v>8.9494163424124515E-2</v>
      </c>
      <c r="E66" s="294">
        <v>8.9400147074272504E-2</v>
      </c>
      <c r="F66" s="294">
        <v>0.10037966478377627</v>
      </c>
      <c r="G66" s="294">
        <v>9.2853185595567864E-2</v>
      </c>
      <c r="H66" s="294">
        <f>+H44/H$42</f>
        <v>9.5737383635472809E-2</v>
      </c>
      <c r="I66" s="294">
        <f>I44/$I$42</f>
        <v>8.9764945400703317E-2</v>
      </c>
      <c r="J66" s="294">
        <f t="shared" si="9"/>
        <v>9.9819225025544286E-2</v>
      </c>
      <c r="K66" s="294">
        <f t="shared" si="9"/>
        <v>7.2467185412245533E-2</v>
      </c>
      <c r="L66" s="284"/>
      <c r="M66" s="294">
        <v>8.745950948634891E-2</v>
      </c>
      <c r="N66" s="294">
        <v>8.0104484109708315E-2</v>
      </c>
      <c r="O66" s="294">
        <v>9.1546006539000468E-2</v>
      </c>
      <c r="P66" s="294">
        <v>9.957924263674614E-2</v>
      </c>
      <c r="Q66" s="295">
        <v>9.3986636971046769E-2</v>
      </c>
      <c r="R66" s="294">
        <v>8.8907014681892327E-2</v>
      </c>
      <c r="S66" s="294">
        <v>8.8161209068010074E-2</v>
      </c>
      <c r="T66" s="294">
        <v>8.6885245901639346E-2</v>
      </c>
      <c r="U66" s="295">
        <v>9.3666026871401145E-2</v>
      </c>
      <c r="V66" s="294">
        <v>9.4326725905673273E-2</v>
      </c>
      <c r="W66" s="294">
        <v>0.10488245931283906</v>
      </c>
      <c r="X66" s="294">
        <v>0.10946863763483819</v>
      </c>
      <c r="Y66" s="295">
        <v>9.6207584830339324E-2</v>
      </c>
      <c r="Z66" s="294">
        <v>8.6977886977886984E-2</v>
      </c>
      <c r="AA66" s="294">
        <v>9.3351548269581058E-2</v>
      </c>
      <c r="AB66" s="296">
        <v>9.3531468531468528E-2</v>
      </c>
      <c r="AC66" s="295">
        <v>9.6799999999999997E-2</v>
      </c>
      <c r="AD66" s="294">
        <v>9.8529996027016287E-2</v>
      </c>
      <c r="AE66" s="294">
        <v>9.4849944423860688E-2</v>
      </c>
      <c r="AF66" s="296">
        <v>9.3040847201210281E-2</v>
      </c>
      <c r="AG66" s="300">
        <f>AG44/$AG$42</f>
        <v>9.0803709428129833E-2</v>
      </c>
      <c r="AH66" s="301">
        <f>AH44/$AH$42</f>
        <v>8.698764990155719E-2</v>
      </c>
      <c r="AI66" s="301">
        <f>AI44/$AI$42</f>
        <v>9.3692364441165618E-2</v>
      </c>
      <c r="AJ66" s="302">
        <f>AJ44/$AJ$42</f>
        <v>8.772576483597494E-2</v>
      </c>
      <c r="AK66" s="294">
        <f t="shared" si="10"/>
        <v>8.6080000000000004E-2</v>
      </c>
      <c r="AL66" s="294">
        <f t="shared" si="10"/>
        <v>0.10064365125804564</v>
      </c>
      <c r="AM66" s="294">
        <f t="shared" si="10"/>
        <v>0.12394366197183099</v>
      </c>
      <c r="AN66" s="296">
        <f t="shared" si="10"/>
        <v>8.7437185929648248E-2</v>
      </c>
      <c r="AO66" s="294">
        <f t="shared" si="10"/>
        <v>8.952187182095625E-2</v>
      </c>
      <c r="AP66" s="294">
        <f t="shared" si="10"/>
        <v>5.5875720370834381E-2</v>
      </c>
      <c r="AQ66" s="294">
        <f t="shared" si="10"/>
        <v>5.8020477815699661E-2</v>
      </c>
      <c r="AR66" s="296">
        <f t="shared" si="10"/>
        <v>5.4998714983294783E-2</v>
      </c>
      <c r="AS66" s="294">
        <f t="shared" si="10"/>
        <v>5.6153240619260039E-2</v>
      </c>
      <c r="AT66" s="294">
        <f t="shared" si="10"/>
        <v>5.6753069577080491E-2</v>
      </c>
      <c r="AU66" s="294">
        <f t="shared" si="10"/>
        <v>6.4254859611231105E-2</v>
      </c>
      <c r="AV66" s="100"/>
    </row>
    <row r="67" spans="1:48" ht="12.75" x14ac:dyDescent="0.2">
      <c r="A67" s="272" t="s">
        <v>357</v>
      </c>
      <c r="B67" s="294">
        <v>0.3076162215628091</v>
      </c>
      <c r="C67" s="294">
        <v>0.29615141955835961</v>
      </c>
      <c r="D67" s="294">
        <v>0.29674982833600366</v>
      </c>
      <c r="E67" s="294">
        <v>0.29236264313478305</v>
      </c>
      <c r="F67" s="294">
        <v>0.26270951013982774</v>
      </c>
      <c r="G67" s="294">
        <v>0.28742382271468142</v>
      </c>
      <c r="H67" s="294">
        <f>+H45/H$42</f>
        <v>0.27623713865752081</v>
      </c>
      <c r="I67" s="294">
        <f>I45/$I$42</f>
        <v>0.24171756431612068</v>
      </c>
      <c r="J67" s="294">
        <f t="shared" si="9"/>
        <v>0.19586575493201289</v>
      </c>
      <c r="K67" s="294">
        <f t="shared" si="9"/>
        <v>0.20372553643008726</v>
      </c>
      <c r="L67" s="284"/>
      <c r="M67" s="294">
        <v>0.29523368810735773</v>
      </c>
      <c r="N67" s="294">
        <v>0.30213321723987813</v>
      </c>
      <c r="O67" s="294">
        <v>0.29939280709948624</v>
      </c>
      <c r="P67" s="294">
        <v>0.28985507246376813</v>
      </c>
      <c r="Q67" s="295">
        <v>0.27037861915367484</v>
      </c>
      <c r="R67" s="294">
        <v>0.30587275693311583</v>
      </c>
      <c r="S67" s="294">
        <v>0.28883291351805207</v>
      </c>
      <c r="T67" s="294">
        <v>0.30245901639344264</v>
      </c>
      <c r="U67" s="295">
        <v>0.28138195777351249</v>
      </c>
      <c r="V67" s="294">
        <v>0.26555023923444976</v>
      </c>
      <c r="W67" s="294">
        <v>0.24195298372513563</v>
      </c>
      <c r="X67" s="294">
        <v>0.2628845385537355</v>
      </c>
      <c r="Y67" s="295">
        <v>0.2806387225548902</v>
      </c>
      <c r="Z67" s="294">
        <v>0.30171990171990171</v>
      </c>
      <c r="AA67" s="294">
        <v>0.27823315118397085</v>
      </c>
      <c r="AB67" s="296">
        <v>0.29108391608391609</v>
      </c>
      <c r="AC67" s="295">
        <v>0.28656700000000002</v>
      </c>
      <c r="AD67" s="294">
        <v>0.28009535160905841</v>
      </c>
      <c r="AE67" s="294">
        <v>0.26787699147832533</v>
      </c>
      <c r="AF67" s="296">
        <v>0.27193645990922843</v>
      </c>
      <c r="AG67" s="300">
        <f>AG45/$AG$42</f>
        <v>0.2604327666151468</v>
      </c>
      <c r="AH67" s="301">
        <f>AH45/$AH$42</f>
        <v>0.23339896187578307</v>
      </c>
      <c r="AI67" s="301">
        <f>AI45/$AI$42</f>
        <v>0.22943563260789376</v>
      </c>
      <c r="AJ67" s="302">
        <f>AJ45/$AJ$42</f>
        <v>0.24474751197935865</v>
      </c>
      <c r="AK67" s="294">
        <f t="shared" si="10"/>
        <v>0.21792</v>
      </c>
      <c r="AL67" s="294">
        <f t="shared" si="10"/>
        <v>0.20509069631363369</v>
      </c>
      <c r="AM67" s="294">
        <f t="shared" si="10"/>
        <v>0.16870109546165885</v>
      </c>
      <c r="AN67" s="296">
        <f t="shared" si="10"/>
        <v>0.19128978224455612</v>
      </c>
      <c r="AO67" s="294">
        <f t="shared" si="10"/>
        <v>0.18887758562224483</v>
      </c>
      <c r="AP67" s="294">
        <f t="shared" si="10"/>
        <v>0.1758957654723127</v>
      </c>
      <c r="AQ67" s="294">
        <f t="shared" si="10"/>
        <v>0.15568390653714886</v>
      </c>
      <c r="AR67" s="296">
        <f t="shared" si="10"/>
        <v>0.19018247237214084</v>
      </c>
      <c r="AS67" s="294">
        <f t="shared" si="10"/>
        <v>0.17475728155339806</v>
      </c>
      <c r="AT67" s="294">
        <f t="shared" si="10"/>
        <v>0.18772169167803546</v>
      </c>
      <c r="AU67" s="294">
        <f t="shared" si="10"/>
        <v>0.18493520518358531</v>
      </c>
      <c r="AV67" s="100"/>
    </row>
    <row r="68" spans="1:48" ht="12.75" x14ac:dyDescent="0.2">
      <c r="A68" s="272" t="s">
        <v>358</v>
      </c>
      <c r="B68" s="294">
        <v>0.17173590504451039</v>
      </c>
      <c r="C68" s="294">
        <v>0.16012618296529968</v>
      </c>
      <c r="D68" s="294">
        <v>0.14843213550011444</v>
      </c>
      <c r="E68" s="294">
        <v>0.16073116924046643</v>
      </c>
      <c r="F68" s="294">
        <v>0.18557273821650153</v>
      </c>
      <c r="G68" s="294">
        <v>0.17662049861495846</v>
      </c>
      <c r="H68" s="294">
        <f>+H46/H$42</f>
        <v>0.17853993140617344</v>
      </c>
      <c r="I68" s="294">
        <f>I46/$I$42</f>
        <v>0.17499537294095874</v>
      </c>
      <c r="J68" s="294">
        <f t="shared" si="9"/>
        <v>0.17197201917786686</v>
      </c>
      <c r="K68" s="294">
        <f t="shared" si="9"/>
        <v>0.17605910555686552</v>
      </c>
      <c r="L68" s="284"/>
      <c r="M68" s="294">
        <v>0.14761684405367886</v>
      </c>
      <c r="N68" s="294">
        <v>0.1410535481062255</v>
      </c>
      <c r="O68" s="294">
        <v>0.14946286781877627</v>
      </c>
      <c r="P68" s="294">
        <v>0.15614773258532025</v>
      </c>
      <c r="Q68" s="295">
        <v>0.15011135857461025</v>
      </c>
      <c r="R68" s="294">
        <v>0.15415986949429036</v>
      </c>
      <c r="S68" s="294">
        <v>0.16372795969773299</v>
      </c>
      <c r="T68" s="294">
        <v>0.17418032786885246</v>
      </c>
      <c r="U68" s="295">
        <v>0.15163147792706333</v>
      </c>
      <c r="V68" s="294">
        <v>0.18762816131237184</v>
      </c>
      <c r="W68" s="294">
        <v>0.20216998191681737</v>
      </c>
      <c r="X68" s="294">
        <v>0.20015980823012386</v>
      </c>
      <c r="Y68" s="295">
        <v>0.17804391217564872</v>
      </c>
      <c r="Z68" s="294">
        <v>0.1484029484029484</v>
      </c>
      <c r="AA68" s="294">
        <v>0.1889799635701275</v>
      </c>
      <c r="AB68" s="296">
        <v>0.18837412587412589</v>
      </c>
      <c r="AC68" s="295">
        <v>0.16375000000000001</v>
      </c>
      <c r="AD68" s="294">
        <v>0.18474374255065554</v>
      </c>
      <c r="AE68" s="294">
        <v>0.18895887365690997</v>
      </c>
      <c r="AF68" s="296">
        <v>0.17511346444780634</v>
      </c>
      <c r="AG68" s="300">
        <f>AG46/$AG$42</f>
        <v>0.17542503863987635</v>
      </c>
      <c r="AH68" s="301">
        <f>AH46/$AH$42</f>
        <v>0.1700375872561303</v>
      </c>
      <c r="AI68" s="301">
        <f>AI46/$AI$42</f>
        <v>0.18222058281077094</v>
      </c>
      <c r="AJ68" s="302">
        <f>AJ46/$AJ$42</f>
        <v>0.17250276446737928</v>
      </c>
      <c r="AK68" s="294">
        <f t="shared" si="10"/>
        <v>0.16128000000000001</v>
      </c>
      <c r="AL68" s="294">
        <f t="shared" si="10"/>
        <v>0.16559391456992392</v>
      </c>
      <c r="AM68" s="294">
        <f t="shared" si="10"/>
        <v>0.18685446009389672</v>
      </c>
      <c r="AN68" s="296">
        <f t="shared" si="10"/>
        <v>0.17453936348408711</v>
      </c>
      <c r="AO68" s="294">
        <f t="shared" si="10"/>
        <v>0.18175652763648695</v>
      </c>
      <c r="AP68" s="294">
        <f t="shared" si="10"/>
        <v>0.13179654221999498</v>
      </c>
      <c r="AQ68" s="294">
        <f t="shared" si="10"/>
        <v>0.16093462851142032</v>
      </c>
      <c r="AR68" s="296">
        <f t="shared" si="10"/>
        <v>0.14520688768953996</v>
      </c>
      <c r="AS68" s="294">
        <f t="shared" si="10"/>
        <v>0.13513513513513514</v>
      </c>
      <c r="AT68" s="294">
        <f t="shared" si="10"/>
        <v>0.13615279672578445</v>
      </c>
      <c r="AU68" s="294">
        <f t="shared" si="10"/>
        <v>0.14605831533477323</v>
      </c>
      <c r="AV68" s="100"/>
    </row>
    <row r="69" spans="1:48" ht="12.75" x14ac:dyDescent="0.2">
      <c r="A69" s="272" t="s">
        <v>359</v>
      </c>
      <c r="B69" s="294">
        <v>0.16271018793273986</v>
      </c>
      <c r="C69" s="294">
        <v>0.17451104100946371</v>
      </c>
      <c r="D69" s="294">
        <v>0.17772945754177158</v>
      </c>
      <c r="E69" s="294">
        <v>0.1712364744195819</v>
      </c>
      <c r="F69" s="294">
        <v>0.16797851652930826</v>
      </c>
      <c r="G69" s="294">
        <v>0.16886426592797785</v>
      </c>
      <c r="H69" s="294">
        <f>+H47/H$42</f>
        <v>0.17981381675649191</v>
      </c>
      <c r="I69" s="294">
        <f>I47/$I$42</f>
        <v>0.19868591523227835</v>
      </c>
      <c r="J69" s="294">
        <f t="shared" si="9"/>
        <v>0.22046687102098561</v>
      </c>
      <c r="K69" s="294">
        <f t="shared" si="9"/>
        <v>0.22368938143519609</v>
      </c>
      <c r="L69" s="284"/>
      <c r="M69" s="294">
        <v>0.16936603424340582</v>
      </c>
      <c r="N69" s="294">
        <v>0.17936438833260776</v>
      </c>
      <c r="O69" s="294">
        <v>0.16300794021485288</v>
      </c>
      <c r="P69" s="294">
        <v>0.19915848527349228</v>
      </c>
      <c r="Q69" s="295">
        <v>0.17371937639198218</v>
      </c>
      <c r="R69" s="294">
        <v>0.1733278955954323</v>
      </c>
      <c r="S69" s="294">
        <v>0.16414777497900923</v>
      </c>
      <c r="T69" s="294">
        <v>0.17377049180327869</v>
      </c>
      <c r="U69" s="295">
        <v>0.1765834932821497</v>
      </c>
      <c r="V69" s="294">
        <v>0.16267942583732056</v>
      </c>
      <c r="W69" s="294">
        <v>0.16094032549728751</v>
      </c>
      <c r="X69" s="294">
        <v>0.17299240910906913</v>
      </c>
      <c r="Y69" s="295">
        <v>0.15169660678642716</v>
      </c>
      <c r="Z69" s="294">
        <v>0.18034398034398033</v>
      </c>
      <c r="AA69" s="294">
        <v>0.17167577413479052</v>
      </c>
      <c r="AB69" s="296">
        <v>0.17482517482517482</v>
      </c>
      <c r="AC69" s="295">
        <v>0.17185500000000001</v>
      </c>
      <c r="AD69" s="294">
        <v>0.1613031386571315</v>
      </c>
      <c r="AE69" s="294">
        <v>0.17747313819933308</v>
      </c>
      <c r="AF69" s="296">
        <v>0.20688350983358547</v>
      </c>
      <c r="AG69" s="300">
        <f>AG47/$AG$42</f>
        <v>0.19899536321483771</v>
      </c>
      <c r="AH69" s="301">
        <f>AH47/$AH$42</f>
        <v>0.20762484338643278</v>
      </c>
      <c r="AI69" s="301">
        <f>AI47/$AI$42</f>
        <v>0.18959793434157138</v>
      </c>
      <c r="AJ69" s="302">
        <f>AJ47/$AJ$42</f>
        <v>0.19830446000737192</v>
      </c>
      <c r="AK69" s="294">
        <f t="shared" si="10"/>
        <v>0.1968</v>
      </c>
      <c r="AL69" s="294">
        <f t="shared" si="10"/>
        <v>0.22791105909888823</v>
      </c>
      <c r="AM69" s="294">
        <f t="shared" si="10"/>
        <v>0.22128325508607199</v>
      </c>
      <c r="AN69" s="296">
        <f t="shared" si="10"/>
        <v>0.23584589614740367</v>
      </c>
      <c r="AO69" s="294">
        <f t="shared" si="10"/>
        <v>0.22651746354696509</v>
      </c>
      <c r="AP69" s="294">
        <f t="shared" si="10"/>
        <v>0.17364069155600101</v>
      </c>
      <c r="AQ69" s="294">
        <f t="shared" si="10"/>
        <v>0.19217642425833553</v>
      </c>
      <c r="AR69" s="296">
        <f t="shared" si="10"/>
        <v>0.19352351580570548</v>
      </c>
      <c r="AS69" s="294">
        <f t="shared" si="10"/>
        <v>0.17370768827079508</v>
      </c>
      <c r="AT69" s="294">
        <f t="shared" si="10"/>
        <v>0.17298772169167803</v>
      </c>
      <c r="AU69" s="294">
        <f t="shared" si="10"/>
        <v>0.16441684665226783</v>
      </c>
      <c r="AV69" s="100"/>
    </row>
    <row r="70" spans="1:48" ht="12.75" x14ac:dyDescent="0.2">
      <c r="A70" s="272"/>
      <c r="B70" s="272"/>
      <c r="C70" s="272"/>
      <c r="D70" s="272"/>
      <c r="E70" s="272"/>
      <c r="F70" s="272"/>
      <c r="G70" s="272"/>
      <c r="H70" s="272"/>
      <c r="I70" s="272"/>
      <c r="J70" s="272"/>
      <c r="K70" s="272"/>
      <c r="L70" s="284"/>
      <c r="M70" s="272"/>
      <c r="N70" s="272"/>
      <c r="O70" s="272"/>
      <c r="P70" s="272"/>
      <c r="Q70" s="303"/>
      <c r="R70" s="272"/>
      <c r="S70" s="272"/>
      <c r="T70" s="272"/>
      <c r="U70" s="303"/>
      <c r="V70" s="272"/>
      <c r="W70" s="272"/>
      <c r="X70" s="272"/>
      <c r="Y70" s="303"/>
      <c r="Z70" s="272"/>
      <c r="AA70" s="294"/>
      <c r="AB70" s="296"/>
      <c r="AC70" s="294"/>
      <c r="AD70" s="272"/>
      <c r="AE70" s="272"/>
      <c r="AF70" s="296"/>
      <c r="AG70" s="294"/>
      <c r="AH70" s="272"/>
      <c r="AI70" s="272"/>
      <c r="AJ70" s="296"/>
      <c r="AK70" s="294"/>
      <c r="AL70" s="272"/>
      <c r="AM70" s="272"/>
      <c r="AN70" s="296"/>
      <c r="AO70" s="294"/>
      <c r="AP70" s="272"/>
      <c r="AQ70" s="272"/>
      <c r="AR70" s="296"/>
      <c r="AS70" s="294"/>
      <c r="AT70" s="272"/>
      <c r="AU70" s="272"/>
    </row>
    <row r="71" spans="1:48" ht="12.75" x14ac:dyDescent="0.2">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row>
    <row r="72" spans="1:48" ht="12.75" x14ac:dyDescent="0.2">
      <c r="A72" s="304" t="s">
        <v>362</v>
      </c>
      <c r="B72" s="305"/>
      <c r="C72" s="306"/>
      <c r="D72" s="307"/>
      <c r="E72" s="307"/>
      <c r="F72" s="305"/>
      <c r="G72" s="305"/>
      <c r="H72" s="305"/>
      <c r="I72" s="305"/>
      <c r="J72" s="305"/>
      <c r="K72" s="305"/>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row>
    <row r="73" spans="1:48" ht="12.75" x14ac:dyDescent="0.2">
      <c r="A73" s="292" t="s">
        <v>363</v>
      </c>
      <c r="B73" s="308"/>
      <c r="C73" s="308"/>
      <c r="D73" s="308"/>
      <c r="E73" s="308"/>
      <c r="F73" s="308">
        <f t="shared" ref="F73:K73" si="11">SUM(F74:F76)</f>
        <v>8941</v>
      </c>
      <c r="G73" s="308">
        <f t="shared" si="11"/>
        <v>7731</v>
      </c>
      <c r="H73" s="308">
        <f t="shared" si="11"/>
        <v>8856</v>
      </c>
      <c r="I73" s="309">
        <f t="shared" si="11"/>
        <v>12813.712785259837</v>
      </c>
      <c r="J73" s="309">
        <f t="shared" si="11"/>
        <v>15428</v>
      </c>
      <c r="K73" s="309">
        <f t="shared" si="11"/>
        <v>17795</v>
      </c>
      <c r="L73" s="272"/>
      <c r="M73" s="310"/>
      <c r="N73" s="311"/>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row>
    <row r="74" spans="1:48" ht="12.75" x14ac:dyDescent="0.2">
      <c r="A74" s="272" t="s">
        <v>364</v>
      </c>
      <c r="B74" s="311"/>
      <c r="C74" s="311"/>
      <c r="D74" s="311"/>
      <c r="E74" s="311"/>
      <c r="F74" s="311">
        <v>4123</v>
      </c>
      <c r="G74" s="311">
        <v>3299</v>
      </c>
      <c r="H74" s="311">
        <v>3653</v>
      </c>
      <c r="I74" s="311">
        <v>5332.6370679466063</v>
      </c>
      <c r="J74" s="311">
        <v>6313</v>
      </c>
      <c r="K74" s="311">
        <v>8293</v>
      </c>
      <c r="L74" s="272"/>
      <c r="M74" s="311"/>
      <c r="N74" s="311"/>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row>
    <row r="75" spans="1:48" ht="12.75" x14ac:dyDescent="0.2">
      <c r="A75" s="272" t="s">
        <v>365</v>
      </c>
      <c r="B75" s="311"/>
      <c r="C75" s="311"/>
      <c r="D75" s="311"/>
      <c r="E75" s="311"/>
      <c r="F75" s="311">
        <v>3213</v>
      </c>
      <c r="G75" s="311">
        <v>2961.9999999999995</v>
      </c>
      <c r="H75" s="311">
        <v>3526</v>
      </c>
      <c r="I75" s="311">
        <v>4876.3044898889284</v>
      </c>
      <c r="J75" s="311">
        <v>6585</v>
      </c>
      <c r="K75" s="311">
        <v>6905</v>
      </c>
      <c r="L75" s="272"/>
      <c r="M75" s="311"/>
      <c r="N75" s="311"/>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row>
    <row r="76" spans="1:48" ht="12.75" x14ac:dyDescent="0.2">
      <c r="A76" s="272" t="s">
        <v>366</v>
      </c>
      <c r="B76" s="311"/>
      <c r="C76" s="311"/>
      <c r="D76" s="311"/>
      <c r="E76" s="311"/>
      <c r="F76" s="311">
        <v>1605</v>
      </c>
      <c r="G76" s="311">
        <v>1470</v>
      </c>
      <c r="H76" s="311">
        <v>1677</v>
      </c>
      <c r="I76" s="311">
        <v>2604.7712274243027</v>
      </c>
      <c r="J76" s="311">
        <v>2530</v>
      </c>
      <c r="K76" s="311">
        <v>2597</v>
      </c>
      <c r="L76" s="272"/>
      <c r="M76" s="311"/>
      <c r="N76" s="311"/>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row>
    <row r="77" spans="1:48" ht="12.75" x14ac:dyDescent="0.2">
      <c r="A77" s="272"/>
      <c r="B77" s="311"/>
      <c r="C77" s="311"/>
      <c r="D77" s="311"/>
      <c r="E77" s="311"/>
      <c r="F77" s="311"/>
      <c r="G77" s="311"/>
      <c r="H77" s="311">
        <v>0</v>
      </c>
      <c r="I77" s="311"/>
      <c r="J77" s="311"/>
      <c r="K77" s="311"/>
      <c r="L77" s="272"/>
      <c r="M77" s="311"/>
      <c r="N77" s="311"/>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row>
    <row r="78" spans="1:48" ht="12.75" x14ac:dyDescent="0.2">
      <c r="A78" s="292" t="s">
        <v>356</v>
      </c>
      <c r="B78" s="308"/>
      <c r="C78" s="308"/>
      <c r="D78" s="308"/>
      <c r="E78" s="308"/>
      <c r="F78" s="308">
        <v>6380</v>
      </c>
      <c r="G78" s="308">
        <v>4636</v>
      </c>
      <c r="H78" s="308">
        <v>5297.0000000000009</v>
      </c>
      <c r="I78" s="308">
        <v>6845.2045232223627</v>
      </c>
      <c r="J78" s="308">
        <v>8471</v>
      </c>
      <c r="K78" s="308">
        <v>7760</v>
      </c>
      <c r="L78" s="272"/>
      <c r="M78" s="311"/>
      <c r="N78" s="311"/>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row>
    <row r="79" spans="1:48" ht="12.75" x14ac:dyDescent="0.2">
      <c r="A79" s="272" t="s">
        <v>367</v>
      </c>
      <c r="B79" s="311"/>
      <c r="C79" s="311"/>
      <c r="D79" s="311"/>
      <c r="E79" s="311"/>
      <c r="F79" s="311">
        <v>2564</v>
      </c>
      <c r="G79" s="311">
        <v>2013</v>
      </c>
      <c r="H79" s="311">
        <v>2323</v>
      </c>
      <c r="I79" s="311">
        <v>2869.9747868270888</v>
      </c>
      <c r="J79" s="311">
        <v>4040</v>
      </c>
      <c r="K79" s="311">
        <v>3250</v>
      </c>
      <c r="L79" s="272"/>
      <c r="M79" s="311"/>
      <c r="N79" s="311"/>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row>
    <row r="80" spans="1:48" ht="12.75" x14ac:dyDescent="0.2">
      <c r="A80" s="272" t="s">
        <v>368</v>
      </c>
      <c r="B80" s="311"/>
      <c r="C80" s="311"/>
      <c r="D80" s="311"/>
      <c r="E80" s="311"/>
      <c r="F80" s="311">
        <v>1483</v>
      </c>
      <c r="G80" s="311">
        <v>982.99999999999989</v>
      </c>
      <c r="H80" s="311">
        <v>1083</v>
      </c>
      <c r="I80" s="311">
        <v>1288.0641560114236</v>
      </c>
      <c r="J80" s="311">
        <v>1638</v>
      </c>
      <c r="K80" s="311">
        <v>1819</v>
      </c>
      <c r="L80" s="272"/>
      <c r="M80" s="311"/>
      <c r="N80" s="311"/>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row>
    <row r="81" spans="1:46" ht="12.75" x14ac:dyDescent="0.2">
      <c r="A81" s="272" t="s">
        <v>369</v>
      </c>
      <c r="B81" s="311"/>
      <c r="C81" s="311"/>
      <c r="D81" s="311"/>
      <c r="E81" s="311"/>
      <c r="F81" s="311">
        <v>1044</v>
      </c>
      <c r="G81" s="311">
        <v>949</v>
      </c>
      <c r="H81" s="311">
        <v>947</v>
      </c>
      <c r="I81" s="311">
        <v>1359.6665697587744</v>
      </c>
      <c r="J81" s="311">
        <v>1463</v>
      </c>
      <c r="K81" s="311">
        <v>1409</v>
      </c>
      <c r="L81" s="272"/>
      <c r="M81" s="311"/>
      <c r="N81" s="311"/>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row>
    <row r="82" spans="1:46" ht="12.75" x14ac:dyDescent="0.2">
      <c r="A82" s="272" t="s">
        <v>370</v>
      </c>
      <c r="B82" s="311"/>
      <c r="C82" s="311"/>
      <c r="D82" s="311"/>
      <c r="E82" s="311"/>
      <c r="F82" s="311">
        <v>0</v>
      </c>
      <c r="G82" s="311">
        <v>0</v>
      </c>
      <c r="H82" s="311">
        <v>0</v>
      </c>
      <c r="I82" s="311">
        <v>0</v>
      </c>
      <c r="J82" s="311">
        <v>267</v>
      </c>
      <c r="K82" s="311">
        <v>333</v>
      </c>
      <c r="L82" s="272"/>
      <c r="M82" s="311"/>
      <c r="N82" s="311"/>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row>
    <row r="83" spans="1:46" ht="12.75" x14ac:dyDescent="0.2">
      <c r="A83" s="272" t="s">
        <v>371</v>
      </c>
      <c r="B83" s="311"/>
      <c r="C83" s="311"/>
      <c r="D83" s="311"/>
      <c r="E83" s="311"/>
      <c r="F83" s="311">
        <v>0</v>
      </c>
      <c r="G83" s="311">
        <v>0</v>
      </c>
      <c r="H83" s="311">
        <v>0</v>
      </c>
      <c r="I83" s="311">
        <v>487</v>
      </c>
      <c r="J83" s="311">
        <v>213</v>
      </c>
      <c r="K83" s="311">
        <v>19</v>
      </c>
      <c r="L83" s="272"/>
      <c r="M83" s="311"/>
      <c r="N83" s="311"/>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row>
    <row r="84" spans="1:46" ht="12.75" x14ac:dyDescent="0.2">
      <c r="A84" s="272" t="s">
        <v>372</v>
      </c>
      <c r="B84" s="311"/>
      <c r="C84" s="311"/>
      <c r="D84" s="311"/>
      <c r="E84" s="311"/>
      <c r="F84" s="311">
        <v>1289</v>
      </c>
      <c r="G84" s="311">
        <v>691</v>
      </c>
      <c r="H84" s="311">
        <v>944</v>
      </c>
      <c r="I84" s="311">
        <v>840</v>
      </c>
      <c r="J84" s="311">
        <v>850</v>
      </c>
      <c r="K84" s="311">
        <v>930</v>
      </c>
      <c r="L84" s="311"/>
      <c r="M84" s="311"/>
      <c r="N84" s="311"/>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row>
    <row r="85" spans="1:46" ht="12.75" x14ac:dyDescent="0.2">
      <c r="A85" s="272"/>
      <c r="B85" s="311"/>
      <c r="C85" s="311"/>
      <c r="D85" s="311"/>
      <c r="E85" s="311"/>
      <c r="F85" s="311"/>
      <c r="G85" s="311"/>
      <c r="H85" s="311"/>
      <c r="I85" s="311"/>
      <c r="J85" s="311"/>
      <c r="K85" s="311"/>
      <c r="L85" s="311"/>
      <c r="M85" s="311"/>
      <c r="N85" s="311"/>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row>
    <row r="86" spans="1:46" ht="12.75" x14ac:dyDescent="0.2">
      <c r="A86" s="292" t="s">
        <v>373</v>
      </c>
      <c r="B86" s="308"/>
      <c r="C86" s="308"/>
      <c r="D86" s="308"/>
      <c r="E86" s="308"/>
      <c r="F86" s="308">
        <f t="shared" ref="F86:K86" si="12">SUM(F87:F96)</f>
        <v>9431</v>
      </c>
      <c r="G86" s="308">
        <f t="shared" si="12"/>
        <v>9834</v>
      </c>
      <c r="H86" s="308">
        <f t="shared" si="12"/>
        <v>8817</v>
      </c>
      <c r="I86" s="308">
        <f t="shared" si="12"/>
        <v>8327.0918001631926</v>
      </c>
      <c r="J86" s="308">
        <f t="shared" si="12"/>
        <v>8626</v>
      </c>
      <c r="K86" s="308">
        <f t="shared" si="12"/>
        <v>8719</v>
      </c>
      <c r="L86" s="311"/>
      <c r="M86" s="311"/>
      <c r="N86" s="311"/>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row>
    <row r="87" spans="1:46" ht="12.75" x14ac:dyDescent="0.2">
      <c r="A87" s="272" t="s">
        <v>374</v>
      </c>
      <c r="B87" s="311"/>
      <c r="C87" s="311"/>
      <c r="D87" s="311"/>
      <c r="E87" s="311"/>
      <c r="F87" s="311">
        <v>1179</v>
      </c>
      <c r="G87" s="311">
        <v>1098</v>
      </c>
      <c r="H87" s="311">
        <v>1234</v>
      </c>
      <c r="I87" s="311">
        <v>1247.4662313352308</v>
      </c>
      <c r="J87" s="311">
        <v>1405</v>
      </c>
      <c r="K87" s="311">
        <v>1468</v>
      </c>
      <c r="L87" s="311"/>
      <c r="M87" s="311"/>
      <c r="N87" s="311"/>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row>
    <row r="88" spans="1:46" ht="12.75" x14ac:dyDescent="0.2">
      <c r="A88" s="272" t="s">
        <v>375</v>
      </c>
      <c r="B88" s="311"/>
      <c r="C88" s="311"/>
      <c r="D88" s="311"/>
      <c r="E88" s="311"/>
      <c r="F88" s="311">
        <v>0</v>
      </c>
      <c r="G88" s="311">
        <v>530</v>
      </c>
      <c r="H88" s="311">
        <v>563</v>
      </c>
      <c r="I88" s="311">
        <v>786.38061856460752</v>
      </c>
      <c r="J88" s="311">
        <v>896</v>
      </c>
      <c r="K88" s="311">
        <v>1386</v>
      </c>
      <c r="L88" s="311"/>
      <c r="M88" s="311"/>
      <c r="N88" s="311"/>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row>
    <row r="89" spans="1:46" ht="12.75" customHeight="1" x14ac:dyDescent="0.2">
      <c r="A89" s="272" t="s">
        <v>376</v>
      </c>
      <c r="B89" s="311"/>
      <c r="C89" s="311"/>
      <c r="D89" s="311"/>
      <c r="E89" s="311"/>
      <c r="F89" s="311">
        <v>0</v>
      </c>
      <c r="G89" s="311">
        <v>322</v>
      </c>
      <c r="H89" s="311">
        <v>366.99999999999994</v>
      </c>
      <c r="I89" s="311">
        <v>424.2380602085392</v>
      </c>
      <c r="J89" s="311">
        <v>489</v>
      </c>
      <c r="K89" s="311">
        <v>565</v>
      </c>
      <c r="L89" s="311"/>
      <c r="M89" s="311"/>
      <c r="N89" s="311"/>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row>
    <row r="90" spans="1:46" ht="12.75" x14ac:dyDescent="0.2">
      <c r="A90" s="272" t="s">
        <v>377</v>
      </c>
      <c r="B90" s="311"/>
      <c r="C90" s="311"/>
      <c r="D90" s="311"/>
      <c r="E90" s="311"/>
      <c r="F90" s="311">
        <v>576</v>
      </c>
      <c r="G90" s="311">
        <v>520</v>
      </c>
      <c r="H90" s="311">
        <v>517</v>
      </c>
      <c r="I90" s="311">
        <v>638.56300232250715</v>
      </c>
      <c r="J90" s="311">
        <v>976</v>
      </c>
      <c r="K90" s="311">
        <v>558</v>
      </c>
      <c r="L90" s="311"/>
      <c r="M90" s="311"/>
      <c r="N90" s="311"/>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row>
    <row r="91" spans="1:46" ht="12.75" customHeight="1" x14ac:dyDescent="0.2">
      <c r="A91" s="272" t="s">
        <v>378</v>
      </c>
      <c r="B91" s="311"/>
      <c r="C91" s="311"/>
      <c r="D91" s="311"/>
      <c r="E91" s="311"/>
      <c r="F91" s="311">
        <v>607</v>
      </c>
      <c r="G91" s="311">
        <v>492</v>
      </c>
      <c r="H91" s="311">
        <v>537</v>
      </c>
      <c r="I91" s="311">
        <v>578.9990897676829</v>
      </c>
      <c r="J91" s="311">
        <v>590</v>
      </c>
      <c r="K91" s="311">
        <v>546</v>
      </c>
      <c r="L91" s="311"/>
      <c r="M91" s="311"/>
      <c r="N91" s="311"/>
      <c r="O91" s="272"/>
      <c r="P91" s="272"/>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row>
    <row r="92" spans="1:46" ht="12.75" x14ac:dyDescent="0.2">
      <c r="A92" s="272" t="s">
        <v>379</v>
      </c>
      <c r="B92" s="311"/>
      <c r="C92" s="311"/>
      <c r="D92" s="311"/>
      <c r="E92" s="311"/>
      <c r="F92" s="311">
        <v>0</v>
      </c>
      <c r="G92" s="311">
        <v>304</v>
      </c>
      <c r="H92" s="311">
        <v>378</v>
      </c>
      <c r="I92" s="311">
        <v>515.49829019650065</v>
      </c>
      <c r="J92" s="311">
        <v>622</v>
      </c>
      <c r="K92" s="311">
        <v>466</v>
      </c>
      <c r="L92" s="311"/>
      <c r="M92" s="311"/>
      <c r="N92" s="311"/>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row>
    <row r="93" spans="1:46" ht="12.75" customHeight="1" x14ac:dyDescent="0.2">
      <c r="A93" s="272" t="s">
        <v>380</v>
      </c>
      <c r="B93" s="311"/>
      <c r="C93" s="311"/>
      <c r="D93" s="311"/>
      <c r="E93" s="311"/>
      <c r="F93" s="311">
        <v>0</v>
      </c>
      <c r="G93" s="311">
        <v>0</v>
      </c>
      <c r="H93" s="311">
        <v>0</v>
      </c>
      <c r="I93" s="311">
        <v>0</v>
      </c>
      <c r="J93" s="311">
        <v>437</v>
      </c>
      <c r="K93" s="311">
        <v>390</v>
      </c>
      <c r="L93" s="311"/>
      <c r="M93" s="311"/>
      <c r="N93" s="311"/>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row>
    <row r="94" spans="1:46" ht="12.75" x14ac:dyDescent="0.2">
      <c r="A94" s="272" t="s">
        <v>381</v>
      </c>
      <c r="B94" s="311"/>
      <c r="C94" s="311"/>
      <c r="D94" s="311"/>
      <c r="E94" s="311"/>
      <c r="F94" s="311">
        <v>519</v>
      </c>
      <c r="G94" s="311">
        <v>456</v>
      </c>
      <c r="H94" s="311">
        <v>319</v>
      </c>
      <c r="I94" s="311">
        <v>291.31474834807568</v>
      </c>
      <c r="J94" s="311">
        <v>0</v>
      </c>
      <c r="K94" s="311">
        <v>0</v>
      </c>
      <c r="L94" s="311"/>
      <c r="M94" s="311"/>
      <c r="N94" s="311"/>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row>
    <row r="95" spans="1:46" ht="12.75" x14ac:dyDescent="0.2">
      <c r="A95" s="272" t="s">
        <v>382</v>
      </c>
      <c r="B95" s="311"/>
      <c r="C95" s="311"/>
      <c r="D95" s="311"/>
      <c r="E95" s="311"/>
      <c r="F95" s="311">
        <v>2957.9999999999995</v>
      </c>
      <c r="G95" s="311">
        <v>2559</v>
      </c>
      <c r="H95" s="311">
        <v>2421</v>
      </c>
      <c r="I95" s="311">
        <v>1249.0323261179196</v>
      </c>
      <c r="J95" s="311">
        <v>0</v>
      </c>
      <c r="K95" s="311">
        <v>0</v>
      </c>
      <c r="L95" s="311"/>
      <c r="M95" s="311"/>
      <c r="N95" s="311"/>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row>
    <row r="96" spans="1:46" ht="12.75" x14ac:dyDescent="0.2">
      <c r="A96" s="272" t="s">
        <v>372</v>
      </c>
      <c r="B96" s="311"/>
      <c r="C96" s="311"/>
      <c r="D96" s="311"/>
      <c r="E96" s="311"/>
      <c r="F96" s="311">
        <v>3592</v>
      </c>
      <c r="G96" s="311">
        <v>3553</v>
      </c>
      <c r="H96" s="311">
        <v>2481</v>
      </c>
      <c r="I96" s="311">
        <v>2595.5994333021276</v>
      </c>
      <c r="J96" s="311">
        <v>3211</v>
      </c>
      <c r="K96" s="311">
        <v>3340</v>
      </c>
      <c r="L96" s="311"/>
      <c r="M96" s="311"/>
      <c r="N96" s="311"/>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row>
    <row r="97" spans="1:46" ht="12.75" x14ac:dyDescent="0.2">
      <c r="A97" s="272"/>
      <c r="B97" s="311"/>
      <c r="C97" s="311"/>
      <c r="D97" s="311"/>
      <c r="E97" s="311"/>
      <c r="F97" s="311"/>
      <c r="G97" s="311"/>
      <c r="H97" s="311"/>
      <c r="I97" s="311"/>
      <c r="J97" s="311"/>
      <c r="K97" s="311"/>
      <c r="L97" s="311"/>
      <c r="M97" s="311"/>
      <c r="N97" s="311"/>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row>
    <row r="98" spans="1:46" ht="12.75" x14ac:dyDescent="0.2">
      <c r="A98" s="292" t="s">
        <v>383</v>
      </c>
      <c r="B98" s="308"/>
      <c r="C98" s="308"/>
      <c r="D98" s="308"/>
      <c r="E98" s="308"/>
      <c r="F98" s="308">
        <v>5432</v>
      </c>
      <c r="G98" s="308">
        <v>5020</v>
      </c>
      <c r="H98" s="308">
        <v>5489</v>
      </c>
      <c r="I98" s="308">
        <v>7757.0578959144341</v>
      </c>
      <c r="J98" s="308">
        <v>9900</v>
      </c>
      <c r="K98" s="308">
        <v>10832</v>
      </c>
      <c r="L98" s="311"/>
      <c r="M98" s="311"/>
      <c r="N98" s="311"/>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row>
    <row r="99" spans="1:46" ht="12.75" x14ac:dyDescent="0.2">
      <c r="A99" s="272" t="s">
        <v>384</v>
      </c>
      <c r="B99" s="311"/>
      <c r="C99" s="311"/>
      <c r="D99" s="311"/>
      <c r="E99" s="311"/>
      <c r="F99" s="311">
        <v>2482</v>
      </c>
      <c r="G99" s="311">
        <v>2125</v>
      </c>
      <c r="H99" s="311">
        <v>2460</v>
      </c>
      <c r="I99" s="311">
        <v>3510.6582043927729</v>
      </c>
      <c r="J99" s="311">
        <v>4042</v>
      </c>
      <c r="K99" s="311">
        <v>4309</v>
      </c>
      <c r="L99" s="311"/>
      <c r="M99" s="311"/>
      <c r="N99" s="311"/>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row>
    <row r="100" spans="1:46" ht="12.75" x14ac:dyDescent="0.2">
      <c r="A100" s="272" t="s">
        <v>385</v>
      </c>
      <c r="B100" s="311"/>
      <c r="C100" s="311"/>
      <c r="D100" s="311"/>
      <c r="E100" s="311"/>
      <c r="F100" s="311">
        <v>521</v>
      </c>
      <c r="G100" s="311">
        <v>540</v>
      </c>
      <c r="H100" s="311">
        <v>493</v>
      </c>
      <c r="I100" s="311">
        <v>1038.9655455360555</v>
      </c>
      <c r="J100" s="311">
        <v>1745</v>
      </c>
      <c r="K100" s="311">
        <v>2472</v>
      </c>
      <c r="L100" s="311"/>
      <c r="M100" s="311"/>
      <c r="N100" s="311"/>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row>
    <row r="101" spans="1:46" ht="12.75" x14ac:dyDescent="0.2">
      <c r="A101" s="272" t="s">
        <v>386</v>
      </c>
      <c r="B101" s="311"/>
      <c r="C101" s="311"/>
      <c r="D101" s="311"/>
      <c r="E101" s="311"/>
      <c r="F101" s="311">
        <v>0</v>
      </c>
      <c r="G101" s="311">
        <v>481</v>
      </c>
      <c r="H101" s="311">
        <v>632</v>
      </c>
      <c r="I101" s="311">
        <v>766.27388424156857</v>
      </c>
      <c r="J101" s="311">
        <v>817</v>
      </c>
      <c r="K101" s="311">
        <v>1072</v>
      </c>
      <c r="L101" s="311"/>
      <c r="M101" s="311"/>
      <c r="N101" s="311"/>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row>
    <row r="102" spans="1:46" ht="12.75" x14ac:dyDescent="0.2">
      <c r="A102" s="272" t="s">
        <v>387</v>
      </c>
      <c r="B102" s="311"/>
      <c r="C102" s="311"/>
      <c r="D102" s="311"/>
      <c r="E102" s="311"/>
      <c r="F102" s="311">
        <v>0</v>
      </c>
      <c r="G102" s="311">
        <v>0</v>
      </c>
      <c r="H102" s="311">
        <v>0</v>
      </c>
      <c r="I102" s="311">
        <v>0</v>
      </c>
      <c r="J102" s="311">
        <v>443</v>
      </c>
      <c r="K102" s="311">
        <v>430</v>
      </c>
      <c r="L102" s="311"/>
      <c r="M102" s="311"/>
      <c r="N102" s="311"/>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row>
    <row r="103" spans="1:46" ht="12.75" x14ac:dyDescent="0.2">
      <c r="A103" s="272" t="s">
        <v>372</v>
      </c>
      <c r="B103" s="311"/>
      <c r="C103" s="311"/>
      <c r="D103" s="311"/>
      <c r="E103" s="311"/>
      <c r="F103" s="311">
        <v>2429</v>
      </c>
      <c r="G103" s="311">
        <v>2354.9999999999995</v>
      </c>
      <c r="H103" s="311">
        <v>1904</v>
      </c>
      <c r="I103" s="311">
        <v>2441.1602617440367</v>
      </c>
      <c r="J103" s="311">
        <v>2853</v>
      </c>
      <c r="K103" s="311">
        <v>2549</v>
      </c>
      <c r="L103" s="311"/>
      <c r="M103" s="311"/>
      <c r="N103" s="311"/>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row>
    <row r="104" spans="1:46" ht="12.75" x14ac:dyDescent="0.2">
      <c r="A104" s="272"/>
      <c r="B104" s="311"/>
      <c r="C104" s="311"/>
      <c r="D104" s="311"/>
      <c r="E104" s="311"/>
      <c r="F104" s="311"/>
      <c r="G104" s="311">
        <v>0</v>
      </c>
      <c r="H104" s="311">
        <v>0</v>
      </c>
      <c r="I104" s="311">
        <v>0</v>
      </c>
      <c r="J104" s="311"/>
      <c r="K104" s="311"/>
      <c r="L104" s="311"/>
      <c r="M104" s="311"/>
      <c r="N104" s="311"/>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row>
    <row r="105" spans="1:46" ht="12.75" x14ac:dyDescent="0.2">
      <c r="A105" s="292" t="s">
        <v>388</v>
      </c>
      <c r="B105" s="308"/>
      <c r="C105" s="308"/>
      <c r="D105" s="308"/>
      <c r="E105" s="308"/>
      <c r="F105" s="308">
        <v>10665</v>
      </c>
      <c r="G105" s="308">
        <v>10056.999999999998</v>
      </c>
      <c r="H105" s="308">
        <v>11186</v>
      </c>
      <c r="I105" s="308">
        <v>13950.932995440176</v>
      </c>
      <c r="J105" s="308">
        <v>17918</v>
      </c>
      <c r="K105" s="308">
        <v>18498</v>
      </c>
      <c r="L105" s="311"/>
      <c r="M105" s="311"/>
      <c r="N105" s="311"/>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row>
    <row r="106" spans="1:46" ht="12.75" x14ac:dyDescent="0.2">
      <c r="A106" s="272" t="s">
        <v>389</v>
      </c>
      <c r="B106" s="311"/>
      <c r="C106" s="311"/>
      <c r="D106" s="311"/>
      <c r="E106" s="311"/>
      <c r="F106" s="311">
        <v>4465</v>
      </c>
      <c r="G106" s="311">
        <v>4568</v>
      </c>
      <c r="H106" s="311">
        <v>4801</v>
      </c>
      <c r="I106" s="311">
        <v>6055.9670354451137</v>
      </c>
      <c r="J106" s="311">
        <v>10300</v>
      </c>
      <c r="K106" s="311">
        <v>10444</v>
      </c>
      <c r="L106" s="311"/>
      <c r="M106" s="311"/>
      <c r="N106" s="311"/>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c r="AT106" s="272"/>
    </row>
    <row r="107" spans="1:46" ht="12.75" x14ac:dyDescent="0.2">
      <c r="A107" s="272" t="s">
        <v>390</v>
      </c>
      <c r="B107" s="311"/>
      <c r="C107" s="311"/>
      <c r="D107" s="311"/>
      <c r="E107" s="311"/>
      <c r="F107" s="311">
        <v>1791</v>
      </c>
      <c r="G107" s="311">
        <v>1881</v>
      </c>
      <c r="H107" s="311">
        <v>2216</v>
      </c>
      <c r="I107" s="311">
        <v>2453.7340884550081</v>
      </c>
      <c r="J107" s="311">
        <v>2372</v>
      </c>
      <c r="K107" s="311">
        <v>2812</v>
      </c>
      <c r="L107" s="311"/>
      <c r="M107" s="311"/>
      <c r="N107" s="311"/>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2"/>
      <c r="AR107" s="272"/>
      <c r="AS107" s="272"/>
      <c r="AT107" s="272"/>
    </row>
    <row r="108" spans="1:46" ht="12.75" x14ac:dyDescent="0.2">
      <c r="A108" s="272" t="s">
        <v>391</v>
      </c>
      <c r="B108" s="311"/>
      <c r="C108" s="311"/>
      <c r="D108" s="311"/>
      <c r="E108" s="311"/>
      <c r="F108" s="311">
        <v>1388</v>
      </c>
      <c r="G108" s="311">
        <v>1174</v>
      </c>
      <c r="H108" s="311">
        <v>1553.9999999999998</v>
      </c>
      <c r="I108" s="311">
        <v>1637.6668759142742</v>
      </c>
      <c r="J108" s="311">
        <v>1588</v>
      </c>
      <c r="K108" s="311">
        <v>1777</v>
      </c>
      <c r="L108" s="311"/>
      <c r="M108" s="311"/>
      <c r="N108" s="311"/>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row>
    <row r="109" spans="1:46" ht="12.75" x14ac:dyDescent="0.2">
      <c r="A109" s="272" t="s">
        <v>392</v>
      </c>
      <c r="B109" s="311"/>
      <c r="C109" s="311"/>
      <c r="D109" s="311"/>
      <c r="E109" s="311"/>
      <c r="F109" s="311">
        <v>770</v>
      </c>
      <c r="G109" s="311">
        <v>634</v>
      </c>
      <c r="H109" s="311">
        <v>801</v>
      </c>
      <c r="I109" s="311">
        <v>933.21484169715234</v>
      </c>
      <c r="J109" s="311">
        <v>997</v>
      </c>
      <c r="K109" s="311">
        <v>990</v>
      </c>
      <c r="L109" s="311"/>
      <c r="M109" s="311"/>
      <c r="N109" s="311"/>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row>
    <row r="110" spans="1:46" ht="12.75" x14ac:dyDescent="0.2">
      <c r="A110" s="272" t="s">
        <v>393</v>
      </c>
      <c r="B110" s="311"/>
      <c r="C110" s="311"/>
      <c r="D110" s="311"/>
      <c r="E110" s="311"/>
      <c r="F110" s="311">
        <v>0</v>
      </c>
      <c r="G110" s="311">
        <v>0</v>
      </c>
      <c r="H110" s="311">
        <v>0</v>
      </c>
      <c r="I110" s="311">
        <v>0</v>
      </c>
      <c r="J110" s="311">
        <v>877</v>
      </c>
      <c r="K110" s="311">
        <v>740</v>
      </c>
      <c r="L110" s="311"/>
      <c r="M110" s="311"/>
      <c r="N110" s="311"/>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row>
    <row r="111" spans="1:46" ht="12.75" x14ac:dyDescent="0.2">
      <c r="A111" s="272" t="s">
        <v>394</v>
      </c>
      <c r="B111" s="311"/>
      <c r="C111" s="311"/>
      <c r="D111" s="311"/>
      <c r="E111" s="311"/>
      <c r="F111" s="311">
        <v>0</v>
      </c>
      <c r="G111" s="311">
        <v>0</v>
      </c>
      <c r="H111" s="311">
        <v>0</v>
      </c>
      <c r="I111" s="311">
        <v>0</v>
      </c>
      <c r="J111" s="311">
        <v>644</v>
      </c>
      <c r="K111" s="311">
        <v>699</v>
      </c>
      <c r="L111" s="311"/>
      <c r="M111" s="311"/>
      <c r="N111" s="311"/>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row>
    <row r="112" spans="1:46" ht="12.75" x14ac:dyDescent="0.2">
      <c r="A112" s="272" t="s">
        <v>395</v>
      </c>
      <c r="B112" s="311"/>
      <c r="C112" s="311"/>
      <c r="D112" s="311"/>
      <c r="E112" s="311"/>
      <c r="F112" s="311">
        <v>0</v>
      </c>
      <c r="G112" s="311">
        <v>0</v>
      </c>
      <c r="H112" s="311">
        <v>0</v>
      </c>
      <c r="I112" s="311">
        <v>0</v>
      </c>
      <c r="J112" s="311">
        <v>254</v>
      </c>
      <c r="K112" s="311">
        <v>333</v>
      </c>
      <c r="L112" s="311"/>
      <c r="M112" s="311"/>
      <c r="N112" s="311"/>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row>
    <row r="113" spans="1:46" ht="12.75" x14ac:dyDescent="0.2">
      <c r="A113" s="272" t="s">
        <v>396</v>
      </c>
      <c r="B113" s="311"/>
      <c r="C113" s="311"/>
      <c r="D113" s="311"/>
      <c r="E113" s="311"/>
      <c r="F113" s="311">
        <v>0</v>
      </c>
      <c r="G113" s="311">
        <v>0</v>
      </c>
      <c r="H113" s="311">
        <v>0</v>
      </c>
      <c r="I113" s="311">
        <v>0</v>
      </c>
      <c r="J113" s="311">
        <v>162</v>
      </c>
      <c r="K113" s="311">
        <v>138</v>
      </c>
      <c r="L113" s="311"/>
      <c r="M113" s="311"/>
      <c r="N113" s="311"/>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row>
    <row r="114" spans="1:46" ht="12.75" x14ac:dyDescent="0.2">
      <c r="A114" s="272" t="s">
        <v>372</v>
      </c>
      <c r="B114" s="311"/>
      <c r="C114" s="311"/>
      <c r="D114" s="311"/>
      <c r="E114" s="311"/>
      <c r="F114" s="311">
        <v>2251</v>
      </c>
      <c r="G114" s="311">
        <v>1800</v>
      </c>
      <c r="H114" s="311">
        <v>1814</v>
      </c>
      <c r="I114" s="311">
        <v>2870.3501539286272</v>
      </c>
      <c r="J114" s="311">
        <v>724</v>
      </c>
      <c r="K114" s="311">
        <v>565</v>
      </c>
      <c r="L114" s="311"/>
      <c r="M114" s="311"/>
      <c r="N114" s="311"/>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2"/>
      <c r="AO114" s="272"/>
      <c r="AP114" s="272"/>
      <c r="AQ114" s="272"/>
      <c r="AR114" s="272"/>
      <c r="AS114" s="272"/>
      <c r="AT114" s="272"/>
    </row>
    <row r="115" spans="1:46" ht="12.75" x14ac:dyDescent="0.2">
      <c r="A115" s="272"/>
      <c r="B115" s="311"/>
      <c r="C115" s="311"/>
      <c r="D115" s="311"/>
      <c r="E115" s="311"/>
      <c r="F115" s="311"/>
      <c r="G115" s="311"/>
      <c r="H115" s="311">
        <v>0</v>
      </c>
      <c r="I115" s="311"/>
      <c r="J115" s="311"/>
      <c r="K115" s="311"/>
      <c r="L115" s="311"/>
      <c r="M115" s="311"/>
      <c r="N115" s="311"/>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row>
    <row r="116" spans="1:46" ht="12.75" x14ac:dyDescent="0.2">
      <c r="A116" s="292" t="s">
        <v>397</v>
      </c>
      <c r="B116" s="308"/>
      <c r="C116" s="308"/>
      <c r="D116" s="308"/>
      <c r="E116" s="308"/>
      <c r="F116" s="308">
        <f t="shared" ref="F116:K116" si="13">F73+F78+F86+F98+F105</f>
        <v>40849</v>
      </c>
      <c r="G116" s="308">
        <f t="shared" si="13"/>
        <v>37278</v>
      </c>
      <c r="H116" s="308">
        <f t="shared" si="13"/>
        <v>39645</v>
      </c>
      <c r="I116" s="308">
        <f t="shared" si="13"/>
        <v>49694</v>
      </c>
      <c r="J116" s="308">
        <f t="shared" si="13"/>
        <v>60343</v>
      </c>
      <c r="K116" s="308">
        <f t="shared" si="13"/>
        <v>63604</v>
      </c>
      <c r="L116" s="311"/>
      <c r="M116" s="311"/>
      <c r="N116" s="311"/>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272"/>
      <c r="AL116" s="272"/>
      <c r="AM116" s="272"/>
      <c r="AN116" s="272"/>
      <c r="AO116" s="272"/>
      <c r="AP116" s="272"/>
      <c r="AQ116" s="272"/>
      <c r="AR116" s="272"/>
      <c r="AS116" s="272"/>
      <c r="AT116" s="272"/>
    </row>
    <row r="117" spans="1:46" ht="12.75" x14ac:dyDescent="0.2">
      <c r="A117" s="292"/>
      <c r="B117" s="292"/>
      <c r="C117" s="292"/>
      <c r="D117" s="292"/>
      <c r="E117" s="292"/>
      <c r="F117" s="312"/>
      <c r="G117" s="308"/>
      <c r="H117" s="312"/>
      <c r="I117" s="312"/>
      <c r="J117" s="308"/>
      <c r="K117" s="308"/>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row>
    <row r="118" spans="1:46" ht="12.75" x14ac:dyDescent="0.2">
      <c r="A118" s="304" t="s">
        <v>361</v>
      </c>
      <c r="B118" s="305"/>
      <c r="C118" s="306"/>
      <c r="D118" s="307"/>
      <c r="E118" s="307"/>
      <c r="F118" s="305"/>
      <c r="G118" s="305"/>
      <c r="H118" s="305"/>
      <c r="I118" s="305"/>
      <c r="J118" s="305"/>
      <c r="K118" s="305"/>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2"/>
      <c r="AP118" s="272"/>
      <c r="AQ118" s="272"/>
      <c r="AR118" s="272"/>
      <c r="AS118" s="272"/>
      <c r="AT118" s="272"/>
    </row>
    <row r="119" spans="1:46" ht="12.75" x14ac:dyDescent="0.2">
      <c r="A119" s="292" t="s">
        <v>363</v>
      </c>
      <c r="B119" s="292"/>
      <c r="C119" s="292"/>
      <c r="D119" s="292"/>
      <c r="E119" s="292"/>
      <c r="F119" s="313">
        <f>F73/$F$116</f>
        <v>0.21887928713065191</v>
      </c>
      <c r="G119" s="313">
        <f>G73/$G$116</f>
        <v>0.2073877353935297</v>
      </c>
      <c r="H119" s="313">
        <f>H73/$H$116</f>
        <v>0.22338251986379115</v>
      </c>
      <c r="I119" s="313">
        <f>I73/$I$116</f>
        <v>0.25785231185374163</v>
      </c>
      <c r="J119" s="313">
        <f>J73/$J$116</f>
        <v>0.25567174320136554</v>
      </c>
      <c r="K119" s="313">
        <f>K73/$K$116</f>
        <v>0.27977800138356079</v>
      </c>
      <c r="L119" s="272"/>
      <c r="M119" s="314"/>
      <c r="N119" s="272"/>
      <c r="O119" s="272"/>
      <c r="P119" s="272"/>
      <c r="Q119" s="272"/>
      <c r="R119" s="272"/>
      <c r="S119" s="272"/>
      <c r="T119" s="272"/>
      <c r="U119" s="272"/>
      <c r="V119" s="272"/>
      <c r="W119" s="272"/>
      <c r="X119" s="272"/>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row>
    <row r="120" spans="1:46" ht="12.75" x14ac:dyDescent="0.2">
      <c r="A120" s="272" t="s">
        <v>364</v>
      </c>
      <c r="B120" s="272"/>
      <c r="C120" s="272"/>
      <c r="D120" s="272"/>
      <c r="E120" s="272"/>
      <c r="F120" s="294">
        <f>F74/$F$116</f>
        <v>0.10093270337095156</v>
      </c>
      <c r="G120" s="294">
        <f>G74/$G$116</f>
        <v>8.8497236976232629E-2</v>
      </c>
      <c r="H120" s="294">
        <f>H74/$H$116</f>
        <v>9.2142767057636521E-2</v>
      </c>
      <c r="I120" s="294">
        <f>I74/$I$116</f>
        <v>0.10730947534806226</v>
      </c>
      <c r="J120" s="294">
        <f>J74/$J$116</f>
        <v>0.1046185970203669</v>
      </c>
      <c r="K120" s="294">
        <f>K74/$K$116</f>
        <v>0.1303848814539966</v>
      </c>
      <c r="L120" s="272"/>
      <c r="M120" s="294"/>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row>
    <row r="121" spans="1:46" ht="12.75" x14ac:dyDescent="0.2">
      <c r="A121" s="272" t="s">
        <v>365</v>
      </c>
      <c r="B121" s="272"/>
      <c r="C121" s="272"/>
      <c r="D121" s="272"/>
      <c r="E121" s="272"/>
      <c r="F121" s="294">
        <f>F75/$F$116</f>
        <v>7.865553624323729E-2</v>
      </c>
      <c r="G121" s="294">
        <f>G75/$G$116</f>
        <v>7.9457052416975149E-2</v>
      </c>
      <c r="H121" s="294">
        <f>H75/$H$116</f>
        <v>8.893933661243536E-2</v>
      </c>
      <c r="I121" s="294">
        <f>I75/$I$116</f>
        <v>9.8126624741194685E-2</v>
      </c>
      <c r="J121" s="294">
        <f>J75/$J$116</f>
        <v>0.10912616210662381</v>
      </c>
      <c r="K121" s="294">
        <f>K75/$K$116</f>
        <v>0.10856235456889504</v>
      </c>
      <c r="L121" s="272"/>
      <c r="M121" s="294"/>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2"/>
      <c r="AP121" s="272"/>
      <c r="AQ121" s="272"/>
      <c r="AR121" s="272"/>
      <c r="AS121" s="272"/>
      <c r="AT121" s="272"/>
    </row>
    <row r="122" spans="1:46" ht="12.75" x14ac:dyDescent="0.2">
      <c r="A122" s="272" t="s">
        <v>366</v>
      </c>
      <c r="B122" s="272"/>
      <c r="C122" s="272"/>
      <c r="D122" s="272"/>
      <c r="E122" s="272"/>
      <c r="F122" s="294">
        <f>F76/$F$116</f>
        <v>3.9291047516463069E-2</v>
      </c>
      <c r="G122" s="294">
        <f>G76/$G$116</f>
        <v>3.9433446000321906E-2</v>
      </c>
      <c r="H122" s="294">
        <f>H76/$H$116</f>
        <v>4.2300416193719256E-2</v>
      </c>
      <c r="I122" s="294">
        <f>I76/$I$116</f>
        <v>5.2416211764484702E-2</v>
      </c>
      <c r="J122" s="294">
        <f>J76/$J$116</f>
        <v>4.1926984074374826E-2</v>
      </c>
      <c r="K122" s="294">
        <f>K76/$K$116</f>
        <v>4.0830765360669138E-2</v>
      </c>
      <c r="L122" s="272"/>
      <c r="M122" s="294"/>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272"/>
      <c r="AK122" s="272"/>
      <c r="AL122" s="272"/>
      <c r="AM122" s="272"/>
      <c r="AN122" s="272"/>
      <c r="AO122" s="272"/>
      <c r="AP122" s="272"/>
      <c r="AQ122" s="272"/>
      <c r="AR122" s="272"/>
      <c r="AS122" s="272"/>
      <c r="AT122" s="272"/>
    </row>
    <row r="123" spans="1:46" ht="12.75" x14ac:dyDescent="0.2">
      <c r="A123" s="272"/>
      <c r="B123" s="272" t="s">
        <v>306</v>
      </c>
      <c r="C123" s="272"/>
      <c r="D123" s="272"/>
      <c r="E123" s="272"/>
      <c r="F123" s="294"/>
      <c r="G123" s="294"/>
      <c r="H123" s="294"/>
      <c r="I123" s="294"/>
      <c r="J123" s="294"/>
      <c r="K123" s="294"/>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2"/>
      <c r="AP123" s="272"/>
      <c r="AQ123" s="272"/>
      <c r="AR123" s="272"/>
      <c r="AS123" s="272"/>
      <c r="AT123" s="272"/>
    </row>
    <row r="124" spans="1:46" ht="12.75" x14ac:dyDescent="0.2">
      <c r="A124" s="292" t="s">
        <v>356</v>
      </c>
      <c r="B124" s="292"/>
      <c r="C124" s="292"/>
      <c r="D124" s="292"/>
      <c r="E124" s="292"/>
      <c r="F124" s="313">
        <f t="shared" ref="F124:F130" si="14">F78/$F$116</f>
        <v>0.15618497392837033</v>
      </c>
      <c r="G124" s="313">
        <f t="shared" ref="G124:G130" si="15">G78/$G$116</f>
        <v>0.12436289500509684</v>
      </c>
      <c r="H124" s="313">
        <f t="shared" ref="H124:H130" si="16">H78/$H$116</f>
        <v>0.13361079581283897</v>
      </c>
      <c r="I124" s="313">
        <f t="shared" ref="I124:I130" si="17">I78/$I$116</f>
        <v>0.13774710273317428</v>
      </c>
      <c r="J124" s="313">
        <f t="shared" ref="J124:J130" si="18">J78/$J$116</f>
        <v>0.14038082296206686</v>
      </c>
      <c r="K124" s="313">
        <f t="shared" ref="K124:K130" si="19">K78/$K$116</f>
        <v>0.12200490535186466</v>
      </c>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row>
    <row r="125" spans="1:46" ht="12.75" x14ac:dyDescent="0.2">
      <c r="A125" s="272" t="s">
        <v>367</v>
      </c>
      <c r="B125" s="272"/>
      <c r="C125" s="272"/>
      <c r="D125" s="272"/>
      <c r="E125" s="272"/>
      <c r="F125" s="294">
        <f t="shared" si="14"/>
        <v>6.2767754412592719E-2</v>
      </c>
      <c r="G125" s="294">
        <f t="shared" si="15"/>
        <v>5.3999678094318368E-2</v>
      </c>
      <c r="H125" s="294">
        <f t="shared" si="16"/>
        <v>5.8595030899230675E-2</v>
      </c>
      <c r="I125" s="294">
        <f t="shared" si="17"/>
        <v>5.7752943752305885E-2</v>
      </c>
      <c r="J125" s="294">
        <f t="shared" si="18"/>
        <v>6.6950599075286277E-2</v>
      </c>
      <c r="K125" s="294">
        <f t="shared" si="19"/>
        <v>5.1097415256902083E-2</v>
      </c>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c r="AM125" s="272"/>
      <c r="AN125" s="272"/>
      <c r="AO125" s="272"/>
      <c r="AP125" s="272"/>
      <c r="AQ125" s="272"/>
      <c r="AR125" s="272"/>
      <c r="AS125" s="272"/>
      <c r="AT125" s="272"/>
    </row>
    <row r="126" spans="1:46" ht="12.75" x14ac:dyDescent="0.2">
      <c r="A126" s="272" t="s">
        <v>368</v>
      </c>
      <c r="B126" s="272"/>
      <c r="C126" s="272"/>
      <c r="D126" s="272"/>
      <c r="E126" s="272"/>
      <c r="F126" s="294">
        <f t="shared" si="14"/>
        <v>3.6304438297143138E-2</v>
      </c>
      <c r="G126" s="294">
        <f t="shared" si="15"/>
        <v>2.6369440420623422E-2</v>
      </c>
      <c r="H126" s="294">
        <f t="shared" si="16"/>
        <v>2.7317442300416193E-2</v>
      </c>
      <c r="I126" s="294">
        <f t="shared" si="17"/>
        <v>2.5919912987713279E-2</v>
      </c>
      <c r="J126" s="294">
        <f t="shared" si="18"/>
        <v>2.7144822100326468E-2</v>
      </c>
      <c r="K126" s="294">
        <f t="shared" si="19"/>
        <v>2.8598830262247656E-2</v>
      </c>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c r="AK126" s="272"/>
      <c r="AL126" s="272"/>
      <c r="AM126" s="272"/>
      <c r="AN126" s="272"/>
      <c r="AO126" s="272"/>
      <c r="AP126" s="272"/>
      <c r="AQ126" s="272"/>
      <c r="AR126" s="272"/>
      <c r="AS126" s="272"/>
      <c r="AT126" s="272"/>
    </row>
    <row r="127" spans="1:46" ht="12.75" x14ac:dyDescent="0.2">
      <c r="A127" s="272" t="s">
        <v>369</v>
      </c>
      <c r="B127" s="272"/>
      <c r="C127" s="272"/>
      <c r="D127" s="272"/>
      <c r="E127" s="272"/>
      <c r="F127" s="294">
        <f t="shared" si="14"/>
        <v>2.5557541188278785E-2</v>
      </c>
      <c r="G127" s="294">
        <f t="shared" si="15"/>
        <v>2.5457374322656795E-2</v>
      </c>
      <c r="H127" s="294">
        <f t="shared" si="16"/>
        <v>2.3886997099255895E-2</v>
      </c>
      <c r="I127" s="294">
        <f t="shared" si="17"/>
        <v>2.7360779364888604E-2</v>
      </c>
      <c r="J127" s="294">
        <f t="shared" si="18"/>
        <v>2.4244734269095007E-2</v>
      </c>
      <c r="K127" s="294">
        <f t="shared" si="19"/>
        <v>2.2152694799069242E-2</v>
      </c>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272"/>
      <c r="AK127" s="272"/>
      <c r="AL127" s="272"/>
      <c r="AM127" s="272"/>
      <c r="AN127" s="272"/>
      <c r="AO127" s="272"/>
      <c r="AP127" s="272"/>
      <c r="AQ127" s="272"/>
      <c r="AR127" s="272"/>
      <c r="AS127" s="272"/>
      <c r="AT127" s="272"/>
    </row>
    <row r="128" spans="1:46" ht="12.75" customHeight="1" x14ac:dyDescent="0.2">
      <c r="A128" s="272" t="s">
        <v>370</v>
      </c>
      <c r="B128" s="272"/>
      <c r="C128" s="272"/>
      <c r="D128" s="272"/>
      <c r="E128" s="272"/>
      <c r="F128" s="294">
        <f t="shared" si="14"/>
        <v>0</v>
      </c>
      <c r="G128" s="294">
        <f t="shared" si="15"/>
        <v>0</v>
      </c>
      <c r="H128" s="294">
        <f t="shared" si="16"/>
        <v>0</v>
      </c>
      <c r="I128" s="294">
        <f t="shared" si="17"/>
        <v>0</v>
      </c>
      <c r="J128" s="294">
        <f t="shared" si="18"/>
        <v>4.4247054339359992E-3</v>
      </c>
      <c r="K128" s="294">
        <f t="shared" si="19"/>
        <v>5.2355197786302749E-3</v>
      </c>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c r="AM128" s="272"/>
      <c r="AN128" s="272"/>
      <c r="AO128" s="272"/>
      <c r="AP128" s="272"/>
      <c r="AQ128" s="272"/>
      <c r="AR128" s="272"/>
      <c r="AS128" s="272"/>
      <c r="AT128" s="272"/>
    </row>
    <row r="129" spans="1:46" ht="12.75" customHeight="1" x14ac:dyDescent="0.2">
      <c r="A129" s="272" t="s">
        <v>398</v>
      </c>
      <c r="B129" s="272"/>
      <c r="C129" s="272"/>
      <c r="D129" s="272"/>
      <c r="E129" s="272"/>
      <c r="F129" s="294">
        <f t="shared" si="14"/>
        <v>0</v>
      </c>
      <c r="G129" s="294">
        <f t="shared" si="15"/>
        <v>0</v>
      </c>
      <c r="H129" s="294">
        <f t="shared" si="16"/>
        <v>0</v>
      </c>
      <c r="I129" s="294">
        <f t="shared" si="17"/>
        <v>9.7999758522155592E-3</v>
      </c>
      <c r="J129" s="294">
        <f t="shared" si="18"/>
        <v>3.5298211888702916E-3</v>
      </c>
      <c r="K129" s="294">
        <f t="shared" si="19"/>
        <v>2.9872335073265834E-4</v>
      </c>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2"/>
      <c r="AN129" s="272"/>
      <c r="AO129" s="272"/>
      <c r="AP129" s="272"/>
      <c r="AQ129" s="272"/>
      <c r="AR129" s="272"/>
      <c r="AS129" s="272"/>
      <c r="AT129" s="272"/>
    </row>
    <row r="130" spans="1:46" ht="12.75" x14ac:dyDescent="0.2">
      <c r="A130" s="272" t="s">
        <v>372</v>
      </c>
      <c r="B130" s="272"/>
      <c r="C130" s="272"/>
      <c r="D130" s="272"/>
      <c r="E130" s="272"/>
      <c r="F130" s="294">
        <f t="shared" si="14"/>
        <v>3.1555240030355702E-2</v>
      </c>
      <c r="G130" s="294">
        <f t="shared" si="15"/>
        <v>1.8536402167498255E-2</v>
      </c>
      <c r="H130" s="294">
        <f t="shared" si="16"/>
        <v>2.3811325513936183E-2</v>
      </c>
      <c r="I130" s="294">
        <f t="shared" si="17"/>
        <v>1.6903449108544293E-2</v>
      </c>
      <c r="J130" s="294">
        <f t="shared" si="18"/>
        <v>1.4086140894552807E-2</v>
      </c>
      <c r="K130" s="294">
        <f t="shared" si="19"/>
        <v>1.462172190428275E-2</v>
      </c>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c r="AK130" s="272"/>
      <c r="AL130" s="272"/>
      <c r="AM130" s="272"/>
      <c r="AN130" s="272"/>
      <c r="AO130" s="272"/>
      <c r="AP130" s="272"/>
      <c r="AQ130" s="272"/>
      <c r="AR130" s="272"/>
      <c r="AS130" s="272"/>
      <c r="AT130" s="272"/>
    </row>
    <row r="131" spans="1:46" ht="12.75" x14ac:dyDescent="0.2">
      <c r="A131" s="272"/>
      <c r="B131" s="272"/>
      <c r="C131" s="272"/>
      <c r="D131" s="272"/>
      <c r="E131" s="272"/>
      <c r="F131" s="294"/>
      <c r="G131" s="294"/>
      <c r="H131" s="294"/>
      <c r="I131" s="294"/>
      <c r="J131" s="294"/>
      <c r="K131" s="294"/>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c r="AK131" s="272"/>
      <c r="AL131" s="272"/>
      <c r="AM131" s="272"/>
      <c r="AN131" s="272"/>
      <c r="AO131" s="272"/>
      <c r="AP131" s="272"/>
      <c r="AQ131" s="272"/>
      <c r="AR131" s="272"/>
      <c r="AS131" s="272"/>
      <c r="AT131" s="272"/>
    </row>
    <row r="132" spans="1:46" ht="12.75" x14ac:dyDescent="0.2">
      <c r="A132" s="292" t="s">
        <v>373</v>
      </c>
      <c r="B132" s="292"/>
      <c r="C132" s="292"/>
      <c r="D132" s="292"/>
      <c r="E132" s="292"/>
      <c r="F132" s="313">
        <f t="shared" ref="F132:F142" si="20">F86/$F$116</f>
        <v>0.23087468481480575</v>
      </c>
      <c r="G132" s="313">
        <f t="shared" ref="G132:G142" si="21">G86/$G$116</f>
        <v>0.26380170610011267</v>
      </c>
      <c r="H132" s="313">
        <f t="shared" ref="H132:H142" si="22">H86/$H$116</f>
        <v>0.22239878925463488</v>
      </c>
      <c r="I132" s="313">
        <f t="shared" ref="I132:I142" si="23">I86/$I$116</f>
        <v>0.16756734817408928</v>
      </c>
      <c r="J132" s="313">
        <f t="shared" ref="J132:J142" si="24">J86/$J$116</f>
        <v>0.14294947218401471</v>
      </c>
      <c r="K132" s="313">
        <f t="shared" ref="K132:K142" si="25">K86/$K$116</f>
        <v>0.13708257342305516</v>
      </c>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2"/>
      <c r="AO132" s="272"/>
      <c r="AP132" s="272"/>
      <c r="AQ132" s="272"/>
      <c r="AR132" s="272"/>
      <c r="AS132" s="272"/>
      <c r="AT132" s="272"/>
    </row>
    <row r="133" spans="1:46" ht="12.75" x14ac:dyDescent="0.2">
      <c r="A133" s="272" t="s">
        <v>374</v>
      </c>
      <c r="B133" s="272"/>
      <c r="C133" s="272"/>
      <c r="D133" s="272"/>
      <c r="E133" s="272"/>
      <c r="F133" s="294">
        <f t="shared" si="20"/>
        <v>2.886239565228035E-2</v>
      </c>
      <c r="G133" s="294">
        <f t="shared" si="21"/>
        <v>2.94543698696282E-2</v>
      </c>
      <c r="H133" s="294">
        <f t="shared" si="22"/>
        <v>3.1126245428175055E-2</v>
      </c>
      <c r="I133" s="294">
        <f t="shared" si="23"/>
        <v>2.510295470952692E-2</v>
      </c>
      <c r="J133" s="294">
        <f t="shared" si="24"/>
        <v>2.3283562302172579E-2</v>
      </c>
      <c r="K133" s="294">
        <f t="shared" si="25"/>
        <v>2.3080309414502231E-2</v>
      </c>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c r="AK133" s="272"/>
      <c r="AL133" s="272"/>
      <c r="AM133" s="272"/>
      <c r="AN133" s="272"/>
      <c r="AO133" s="272"/>
      <c r="AP133" s="272"/>
      <c r="AQ133" s="272"/>
      <c r="AR133" s="272"/>
      <c r="AS133" s="272"/>
      <c r="AT133" s="272"/>
    </row>
    <row r="134" spans="1:46" ht="12.75" x14ac:dyDescent="0.2">
      <c r="A134" s="272" t="s">
        <v>375</v>
      </c>
      <c r="B134" s="272"/>
      <c r="C134" s="272"/>
      <c r="D134" s="272"/>
      <c r="E134" s="272"/>
      <c r="F134" s="294">
        <f t="shared" si="20"/>
        <v>0</v>
      </c>
      <c r="G134" s="294">
        <f t="shared" si="21"/>
        <v>1.4217500938891571E-2</v>
      </c>
      <c r="H134" s="294">
        <f t="shared" si="22"/>
        <v>1.4201034178332702E-2</v>
      </c>
      <c r="I134" s="294">
        <f t="shared" si="23"/>
        <v>1.5824458054586217E-2</v>
      </c>
      <c r="J134" s="294">
        <f t="shared" si="24"/>
        <v>1.4848449695905076E-2</v>
      </c>
      <c r="K134" s="294">
        <f t="shared" si="25"/>
        <v>2.1791082321866551E-2</v>
      </c>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c r="AK134" s="272"/>
      <c r="AL134" s="272"/>
      <c r="AM134" s="272"/>
      <c r="AN134" s="272"/>
      <c r="AO134" s="272"/>
      <c r="AP134" s="272"/>
      <c r="AQ134" s="272"/>
      <c r="AR134" s="272"/>
      <c r="AS134" s="272"/>
      <c r="AT134" s="272"/>
    </row>
    <row r="135" spans="1:46" ht="12.75" customHeight="1" x14ac:dyDescent="0.2">
      <c r="A135" s="272" t="s">
        <v>376</v>
      </c>
      <c r="B135" s="272"/>
      <c r="C135" s="272"/>
      <c r="D135" s="272"/>
      <c r="E135" s="272"/>
      <c r="F135" s="294">
        <f t="shared" si="20"/>
        <v>0</v>
      </c>
      <c r="G135" s="294">
        <f t="shared" si="21"/>
        <v>8.6378024572133696E-3</v>
      </c>
      <c r="H135" s="294">
        <f t="shared" si="22"/>
        <v>9.2571572707781553E-3</v>
      </c>
      <c r="I135" s="294">
        <f t="shared" si="23"/>
        <v>8.5370076912411798E-3</v>
      </c>
      <c r="J135" s="294">
        <f t="shared" si="24"/>
        <v>8.1036739969839091E-3</v>
      </c>
      <c r="K135" s="294">
        <f t="shared" si="25"/>
        <v>8.8830891138922084E-3</v>
      </c>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c r="AK135" s="272"/>
      <c r="AL135" s="272"/>
      <c r="AM135" s="272"/>
      <c r="AN135" s="272"/>
      <c r="AO135" s="272"/>
      <c r="AP135" s="272"/>
      <c r="AQ135" s="272"/>
      <c r="AR135" s="272"/>
      <c r="AS135" s="272"/>
      <c r="AT135" s="272"/>
    </row>
    <row r="136" spans="1:46" ht="12.75" x14ac:dyDescent="0.2">
      <c r="A136" s="272" t="s">
        <v>377</v>
      </c>
      <c r="B136" s="272"/>
      <c r="C136" s="272"/>
      <c r="D136" s="272"/>
      <c r="E136" s="272"/>
      <c r="F136" s="294">
        <f t="shared" si="20"/>
        <v>1.4100712379740019E-2</v>
      </c>
      <c r="G136" s="294">
        <f t="shared" si="21"/>
        <v>1.3949246204195504E-2</v>
      </c>
      <c r="H136" s="294">
        <f t="shared" si="22"/>
        <v>1.3040736536763778E-2</v>
      </c>
      <c r="I136" s="294">
        <f t="shared" si="23"/>
        <v>1.2849901443283036E-2</v>
      </c>
      <c r="J136" s="294">
        <f t="shared" si="24"/>
        <v>1.6174204133039459E-2</v>
      </c>
      <c r="K136" s="294">
        <f t="shared" si="25"/>
        <v>8.7730331425696501E-3</v>
      </c>
      <c r="L136" s="272"/>
      <c r="M136" s="272"/>
      <c r="N136" s="272"/>
      <c r="O136" s="272"/>
      <c r="P136" s="272"/>
      <c r="Q136" s="272"/>
      <c r="R136" s="272"/>
      <c r="S136" s="272"/>
      <c r="T136" s="272"/>
      <c r="U136" s="272"/>
      <c r="V136" s="272"/>
      <c r="W136" s="272"/>
      <c r="X136" s="272"/>
      <c r="Y136" s="272"/>
      <c r="Z136" s="272"/>
      <c r="AA136" s="272"/>
      <c r="AB136" s="272"/>
      <c r="AC136" s="272"/>
      <c r="AD136" s="272"/>
      <c r="AE136" s="272"/>
      <c r="AF136" s="272"/>
      <c r="AG136" s="272"/>
      <c r="AH136" s="272"/>
      <c r="AI136" s="272"/>
      <c r="AJ136" s="272"/>
      <c r="AK136" s="272"/>
      <c r="AL136" s="272"/>
      <c r="AM136" s="272"/>
      <c r="AN136" s="272"/>
      <c r="AO136" s="272"/>
      <c r="AP136" s="272"/>
      <c r="AQ136" s="272"/>
      <c r="AR136" s="272"/>
      <c r="AS136" s="272"/>
      <c r="AT136" s="272"/>
    </row>
    <row r="137" spans="1:46" ht="12.75" x14ac:dyDescent="0.2">
      <c r="A137" s="272" t="s">
        <v>378</v>
      </c>
      <c r="B137" s="272"/>
      <c r="C137" s="272"/>
      <c r="D137" s="272"/>
      <c r="E137" s="272"/>
      <c r="F137" s="294">
        <f t="shared" si="20"/>
        <v>1.4859604886288525E-2</v>
      </c>
      <c r="G137" s="294">
        <f t="shared" si="21"/>
        <v>1.3198132947046515E-2</v>
      </c>
      <c r="H137" s="294">
        <f t="shared" si="22"/>
        <v>1.3545213772228528E-2</v>
      </c>
      <c r="I137" s="294">
        <f t="shared" si="23"/>
        <v>1.1651287675930351E-2</v>
      </c>
      <c r="J137" s="294">
        <f t="shared" si="24"/>
        <v>9.7774389738660653E-3</v>
      </c>
      <c r="K137" s="294">
        <f t="shared" si="25"/>
        <v>8.5843657631595495E-3</v>
      </c>
      <c r="L137" s="272"/>
      <c r="M137" s="272"/>
      <c r="N137" s="272"/>
      <c r="O137" s="272"/>
      <c r="P137" s="272"/>
      <c r="Q137" s="272"/>
      <c r="R137" s="272"/>
      <c r="S137" s="272"/>
      <c r="T137" s="272"/>
      <c r="U137" s="272"/>
      <c r="V137" s="272"/>
      <c r="W137" s="272"/>
      <c r="X137" s="272"/>
      <c r="Y137" s="272"/>
      <c r="Z137" s="272"/>
      <c r="AA137" s="272"/>
      <c r="AB137" s="272"/>
      <c r="AC137" s="272"/>
      <c r="AD137" s="272"/>
      <c r="AE137" s="272"/>
      <c r="AF137" s="272"/>
      <c r="AG137" s="272"/>
      <c r="AH137" s="272"/>
      <c r="AI137" s="272"/>
      <c r="AJ137" s="272"/>
      <c r="AK137" s="272"/>
      <c r="AL137" s="272"/>
      <c r="AM137" s="272"/>
      <c r="AN137" s="272"/>
      <c r="AO137" s="272"/>
      <c r="AP137" s="272"/>
      <c r="AQ137" s="272"/>
      <c r="AR137" s="272"/>
      <c r="AS137" s="272"/>
      <c r="AT137" s="272"/>
    </row>
    <row r="138" spans="1:46" ht="12.75" customHeight="1" x14ac:dyDescent="0.2">
      <c r="A138" s="272" t="s">
        <v>379</v>
      </c>
      <c r="B138" s="272"/>
      <c r="C138" s="272"/>
      <c r="D138" s="272"/>
      <c r="E138" s="272"/>
      <c r="F138" s="294">
        <f t="shared" si="20"/>
        <v>0</v>
      </c>
      <c r="G138" s="294">
        <f t="shared" si="21"/>
        <v>8.1549439347604492E-3</v>
      </c>
      <c r="H138" s="294">
        <f t="shared" si="22"/>
        <v>9.5346197502837685E-3</v>
      </c>
      <c r="I138" s="294">
        <f t="shared" si="23"/>
        <v>1.0373451326045412E-2</v>
      </c>
      <c r="J138" s="294">
        <f t="shared" si="24"/>
        <v>1.0307740748719818E-2</v>
      </c>
      <c r="K138" s="294">
        <f t="shared" si="25"/>
        <v>7.3265832337588831E-3</v>
      </c>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2"/>
      <c r="AO138" s="272"/>
      <c r="AP138" s="272"/>
      <c r="AQ138" s="272"/>
      <c r="AR138" s="272"/>
      <c r="AS138" s="272"/>
      <c r="AT138" s="272"/>
    </row>
    <row r="139" spans="1:46" ht="12.75" customHeight="1" x14ac:dyDescent="0.2">
      <c r="A139" s="272" t="s">
        <v>380</v>
      </c>
      <c r="B139" s="272"/>
      <c r="C139" s="272"/>
      <c r="D139" s="272"/>
      <c r="E139" s="272"/>
      <c r="F139" s="294">
        <f t="shared" si="20"/>
        <v>0</v>
      </c>
      <c r="G139" s="294">
        <f t="shared" si="21"/>
        <v>0</v>
      </c>
      <c r="H139" s="294">
        <f t="shared" si="22"/>
        <v>0</v>
      </c>
      <c r="I139" s="294">
        <f t="shared" si="23"/>
        <v>0</v>
      </c>
      <c r="J139" s="294">
        <f t="shared" si="24"/>
        <v>7.2419336128465607E-3</v>
      </c>
      <c r="K139" s="294">
        <f t="shared" si="25"/>
        <v>6.13168983082825E-3</v>
      </c>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272"/>
      <c r="AN139" s="272"/>
      <c r="AO139" s="272"/>
      <c r="AP139" s="272"/>
      <c r="AQ139" s="272"/>
      <c r="AR139" s="272"/>
      <c r="AS139" s="272"/>
      <c r="AT139" s="272"/>
    </row>
    <row r="140" spans="1:46" ht="12.75" x14ac:dyDescent="0.2">
      <c r="A140" s="272" t="s">
        <v>381</v>
      </c>
      <c r="B140" s="272"/>
      <c r="C140" s="272"/>
      <c r="D140" s="272"/>
      <c r="E140" s="272"/>
      <c r="F140" s="294">
        <f t="shared" si="20"/>
        <v>1.2705329383828245E-2</v>
      </c>
      <c r="G140" s="294">
        <f t="shared" si="21"/>
        <v>1.2232415902140673E-2</v>
      </c>
      <c r="H140" s="294">
        <f t="shared" si="22"/>
        <v>8.0464119056627564E-3</v>
      </c>
      <c r="I140" s="294">
        <f t="shared" si="23"/>
        <v>5.8621714562739104E-3</v>
      </c>
      <c r="J140" s="294">
        <f t="shared" si="24"/>
        <v>0</v>
      </c>
      <c r="K140" s="294">
        <f t="shared" si="25"/>
        <v>0</v>
      </c>
      <c r="L140" s="272"/>
      <c r="M140" s="272"/>
      <c r="N140" s="272"/>
      <c r="O140" s="272"/>
      <c r="P140" s="272"/>
      <c r="Q140" s="272"/>
      <c r="R140" s="272"/>
      <c r="S140" s="272"/>
      <c r="T140" s="272"/>
      <c r="U140" s="272"/>
      <c r="V140" s="272"/>
      <c r="W140" s="272"/>
      <c r="X140" s="272"/>
      <c r="Y140" s="272"/>
      <c r="Z140" s="272"/>
      <c r="AA140" s="272"/>
      <c r="AB140" s="272"/>
      <c r="AC140" s="272"/>
      <c r="AD140" s="272"/>
      <c r="AE140" s="272"/>
      <c r="AF140" s="272"/>
      <c r="AG140" s="272"/>
      <c r="AH140" s="272"/>
      <c r="AI140" s="272"/>
      <c r="AJ140" s="272"/>
      <c r="AK140" s="272"/>
      <c r="AL140" s="272"/>
      <c r="AM140" s="272"/>
      <c r="AN140" s="272"/>
      <c r="AO140" s="272"/>
      <c r="AP140" s="272"/>
      <c r="AQ140" s="272"/>
      <c r="AR140" s="272"/>
      <c r="AS140" s="272"/>
      <c r="AT140" s="272"/>
    </row>
    <row r="141" spans="1:46" ht="12.75" x14ac:dyDescent="0.2">
      <c r="A141" s="272" t="s">
        <v>382</v>
      </c>
      <c r="B141" s="272"/>
      <c r="C141" s="272"/>
      <c r="D141" s="272"/>
      <c r="E141" s="272"/>
      <c r="F141" s="294">
        <f t="shared" si="20"/>
        <v>7.2413033366789878E-2</v>
      </c>
      <c r="G141" s="294">
        <f t="shared" si="21"/>
        <v>6.8646386608723645E-2</v>
      </c>
      <c r="H141" s="294">
        <f t="shared" si="22"/>
        <v>6.1066969353007948E-2</v>
      </c>
      <c r="I141" s="294">
        <f t="shared" si="23"/>
        <v>2.5134469475548753E-2</v>
      </c>
      <c r="J141" s="294">
        <f t="shared" si="24"/>
        <v>0</v>
      </c>
      <c r="K141" s="294">
        <f t="shared" si="25"/>
        <v>0</v>
      </c>
      <c r="L141" s="272"/>
      <c r="M141" s="272"/>
      <c r="N141" s="272"/>
      <c r="O141" s="272"/>
      <c r="P141" s="272"/>
      <c r="Q141" s="272"/>
      <c r="R141" s="272"/>
      <c r="S141" s="272"/>
      <c r="T141" s="272"/>
      <c r="U141" s="272"/>
      <c r="V141" s="272"/>
      <c r="W141" s="272"/>
      <c r="X141" s="272"/>
      <c r="Y141" s="272"/>
      <c r="Z141" s="272"/>
      <c r="AA141" s="272"/>
      <c r="AB141" s="272"/>
      <c r="AC141" s="272"/>
      <c r="AD141" s="272"/>
      <c r="AE141" s="272"/>
      <c r="AF141" s="272"/>
      <c r="AG141" s="272"/>
      <c r="AH141" s="272"/>
      <c r="AI141" s="272"/>
      <c r="AJ141" s="272"/>
      <c r="AK141" s="272"/>
      <c r="AL141" s="272"/>
      <c r="AM141" s="272"/>
      <c r="AN141" s="272"/>
      <c r="AO141" s="272"/>
      <c r="AP141" s="272"/>
      <c r="AQ141" s="272"/>
      <c r="AR141" s="272"/>
      <c r="AS141" s="272"/>
      <c r="AT141" s="272"/>
    </row>
    <row r="142" spans="1:46" ht="12.75" x14ac:dyDescent="0.2">
      <c r="A142" s="272" t="s">
        <v>372</v>
      </c>
      <c r="B142" s="272"/>
      <c r="C142" s="272"/>
      <c r="D142" s="272"/>
      <c r="E142" s="272"/>
      <c r="F142" s="294">
        <f t="shared" si="20"/>
        <v>8.7933609145878722E-2</v>
      </c>
      <c r="G142" s="294">
        <f t="shared" si="21"/>
        <v>9.5310907237512746E-2</v>
      </c>
      <c r="H142" s="294">
        <f t="shared" si="22"/>
        <v>6.2580401059402199E-2</v>
      </c>
      <c r="I142" s="294">
        <f t="shared" si="23"/>
        <v>5.2231646341653469E-2</v>
      </c>
      <c r="J142" s="294">
        <f t="shared" si="24"/>
        <v>5.321246872048125E-2</v>
      </c>
      <c r="K142" s="294">
        <f t="shared" si="25"/>
        <v>5.2512420602477829E-2</v>
      </c>
      <c r="L142" s="272"/>
      <c r="M142" s="272"/>
      <c r="N142" s="272"/>
      <c r="O142" s="272"/>
      <c r="P142" s="272"/>
      <c r="Q142" s="272"/>
      <c r="R142" s="272"/>
      <c r="S142" s="272"/>
      <c r="T142" s="272"/>
      <c r="U142" s="272"/>
      <c r="V142" s="272"/>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row>
    <row r="143" spans="1:46" ht="12.75" x14ac:dyDescent="0.2">
      <c r="A143" s="272"/>
      <c r="B143" s="272" t="s">
        <v>306</v>
      </c>
      <c r="C143" s="272"/>
      <c r="D143" s="272"/>
      <c r="E143" s="272"/>
      <c r="F143" s="294"/>
      <c r="G143" s="294"/>
      <c r="H143" s="294"/>
      <c r="I143" s="294"/>
      <c r="J143" s="294"/>
      <c r="K143" s="294"/>
      <c r="L143" s="272"/>
      <c r="M143" s="272"/>
      <c r="N143" s="272"/>
      <c r="O143" s="272"/>
      <c r="P143" s="272"/>
      <c r="Q143" s="272"/>
      <c r="R143" s="272"/>
      <c r="S143" s="272"/>
      <c r="T143" s="272"/>
      <c r="U143" s="272"/>
      <c r="V143" s="272"/>
      <c r="W143" s="272"/>
      <c r="X143" s="272"/>
      <c r="Y143" s="272"/>
      <c r="Z143" s="272"/>
      <c r="AA143" s="272"/>
      <c r="AB143" s="272"/>
      <c r="AC143" s="272"/>
      <c r="AD143" s="272"/>
      <c r="AE143" s="272"/>
      <c r="AF143" s="272"/>
      <c r="AG143" s="272"/>
      <c r="AH143" s="272"/>
      <c r="AI143" s="272"/>
      <c r="AJ143" s="272"/>
      <c r="AK143" s="272"/>
      <c r="AL143" s="272"/>
      <c r="AM143" s="272"/>
      <c r="AN143" s="272"/>
      <c r="AO143" s="272"/>
      <c r="AP143" s="272"/>
      <c r="AQ143" s="272"/>
      <c r="AR143" s="272"/>
      <c r="AS143" s="272"/>
      <c r="AT143" s="272"/>
    </row>
    <row r="144" spans="1:46" ht="12.75" x14ac:dyDescent="0.2">
      <c r="A144" s="292" t="s">
        <v>383</v>
      </c>
      <c r="B144" s="292"/>
      <c r="C144" s="292"/>
      <c r="D144" s="292"/>
      <c r="E144" s="292"/>
      <c r="F144" s="313">
        <f t="shared" ref="F144:F149" si="26">F98/$F$116</f>
        <v>0.13297755147004822</v>
      </c>
      <c r="G144" s="313">
        <f t="shared" ref="G144:G149" si="27">G98/$G$116</f>
        <v>0.13466387681742584</v>
      </c>
      <c r="H144" s="313">
        <f t="shared" ref="H144:H149" si="28">H98/$H$116</f>
        <v>0.13845377727330055</v>
      </c>
      <c r="I144" s="313">
        <f t="shared" ref="I144:I149" si="29">I98/$I$116</f>
        <v>0.15609646830431106</v>
      </c>
      <c r="J144" s="313">
        <f t="shared" ref="J144:J149" si="30">J98/$J$116</f>
        <v>0.16406211159537976</v>
      </c>
      <c r="K144" s="313">
        <f t="shared" ref="K144:K149" si="31">K98/$K$116</f>
        <v>0.17030375448085025</v>
      </c>
      <c r="L144" s="272"/>
      <c r="M144" s="272"/>
      <c r="N144" s="272"/>
      <c r="O144" s="272"/>
      <c r="P144" s="272"/>
      <c r="Q144" s="272"/>
      <c r="R144" s="272"/>
      <c r="S144" s="272"/>
      <c r="T144" s="272"/>
      <c r="U144" s="272"/>
      <c r="V144" s="272"/>
      <c r="W144" s="272"/>
      <c r="X144" s="272"/>
      <c r="Y144" s="272"/>
      <c r="Z144" s="272"/>
      <c r="AA144" s="272"/>
      <c r="AB144" s="272"/>
      <c r="AC144" s="272"/>
      <c r="AD144" s="272"/>
      <c r="AE144" s="272"/>
      <c r="AF144" s="272"/>
      <c r="AG144" s="272"/>
      <c r="AH144" s="272"/>
      <c r="AI144" s="272"/>
      <c r="AJ144" s="272"/>
      <c r="AK144" s="272"/>
      <c r="AL144" s="272"/>
      <c r="AM144" s="272"/>
      <c r="AN144" s="272"/>
      <c r="AO144" s="272"/>
      <c r="AP144" s="272"/>
      <c r="AQ144" s="272"/>
      <c r="AR144" s="272"/>
      <c r="AS144" s="272"/>
      <c r="AT144" s="272"/>
    </row>
    <row r="145" spans="1:46" ht="12.75" x14ac:dyDescent="0.2">
      <c r="A145" s="272" t="s">
        <v>384</v>
      </c>
      <c r="B145" s="272"/>
      <c r="C145" s="272"/>
      <c r="D145" s="272"/>
      <c r="E145" s="272"/>
      <c r="F145" s="294">
        <f t="shared" si="26"/>
        <v>6.0760361330754728E-2</v>
      </c>
      <c r="G145" s="294">
        <f t="shared" si="27"/>
        <v>5.7004131122914317E-2</v>
      </c>
      <c r="H145" s="294">
        <f t="shared" si="28"/>
        <v>6.205069996216421E-2</v>
      </c>
      <c r="I145" s="294">
        <f t="shared" si="29"/>
        <v>7.0645514637436568E-2</v>
      </c>
      <c r="J145" s="294">
        <f t="shared" si="30"/>
        <v>6.6983742936214646E-2</v>
      </c>
      <c r="K145" s="294">
        <f t="shared" si="31"/>
        <v>6.7747311489843406E-2</v>
      </c>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272"/>
      <c r="AJ145" s="272"/>
      <c r="AK145" s="272"/>
      <c r="AL145" s="272"/>
      <c r="AM145" s="272"/>
      <c r="AN145" s="272"/>
      <c r="AO145" s="272"/>
      <c r="AP145" s="272"/>
      <c r="AQ145" s="272"/>
      <c r="AR145" s="272"/>
      <c r="AS145" s="272"/>
      <c r="AT145" s="272"/>
    </row>
    <row r="146" spans="1:46" ht="12.75" x14ac:dyDescent="0.2">
      <c r="A146" s="272" t="s">
        <v>399</v>
      </c>
      <c r="B146" s="272"/>
      <c r="C146" s="272"/>
      <c r="D146" s="272"/>
      <c r="E146" s="272"/>
      <c r="F146" s="294">
        <f t="shared" si="26"/>
        <v>1.2754290190702343E-2</v>
      </c>
      <c r="G146" s="294">
        <f t="shared" si="27"/>
        <v>1.4485755673587638E-2</v>
      </c>
      <c r="H146" s="294">
        <f t="shared" si="28"/>
        <v>1.2435363854206079E-2</v>
      </c>
      <c r="I146" s="294">
        <f t="shared" si="29"/>
        <v>2.0907263362499609E-2</v>
      </c>
      <c r="J146" s="294">
        <f t="shared" si="30"/>
        <v>2.8918018659993702E-2</v>
      </c>
      <c r="K146" s="294">
        <f t="shared" si="31"/>
        <v>3.8865480158480598E-2</v>
      </c>
      <c r="L146" s="272"/>
      <c r="M146" s="272"/>
      <c r="N146" s="272"/>
      <c r="O146" s="272"/>
      <c r="P146" s="272"/>
      <c r="Q146" s="272"/>
      <c r="R146" s="272"/>
      <c r="S146" s="272"/>
      <c r="T146" s="272"/>
      <c r="U146" s="272"/>
      <c r="V146" s="272"/>
      <c r="W146" s="272"/>
      <c r="X146" s="272"/>
      <c r="Y146" s="272"/>
      <c r="Z146" s="272"/>
      <c r="AA146" s="272"/>
      <c r="AB146" s="272"/>
      <c r="AC146" s="272"/>
      <c r="AD146" s="272"/>
      <c r="AE146" s="272"/>
      <c r="AF146" s="272"/>
      <c r="AG146" s="272"/>
      <c r="AH146" s="272"/>
      <c r="AI146" s="272"/>
      <c r="AJ146" s="272"/>
      <c r="AK146" s="272"/>
      <c r="AL146" s="272"/>
      <c r="AM146" s="272"/>
      <c r="AN146" s="272"/>
      <c r="AO146" s="272"/>
      <c r="AP146" s="272"/>
      <c r="AQ146" s="272"/>
      <c r="AR146" s="272"/>
      <c r="AS146" s="272"/>
      <c r="AT146" s="272"/>
    </row>
    <row r="147" spans="1:46" ht="12.75" x14ac:dyDescent="0.2">
      <c r="A147" s="272" t="s">
        <v>386</v>
      </c>
      <c r="B147" s="272"/>
      <c r="C147" s="272"/>
      <c r="D147" s="272"/>
      <c r="E147" s="272"/>
      <c r="F147" s="294">
        <f t="shared" si="26"/>
        <v>0</v>
      </c>
      <c r="G147" s="294">
        <f t="shared" si="27"/>
        <v>1.2903052738880842E-2</v>
      </c>
      <c r="H147" s="294">
        <f t="shared" si="28"/>
        <v>1.5941480640686088E-2</v>
      </c>
      <c r="I147" s="294">
        <f t="shared" si="29"/>
        <v>1.5419847149385612E-2</v>
      </c>
      <c r="J147" s="294">
        <f t="shared" si="30"/>
        <v>1.3539267189234873E-2</v>
      </c>
      <c r="K147" s="294">
        <f t="shared" si="31"/>
        <v>1.6854285893968934E-2</v>
      </c>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2"/>
      <c r="AN147" s="272"/>
      <c r="AO147" s="272"/>
      <c r="AP147" s="272"/>
      <c r="AQ147" s="272"/>
      <c r="AR147" s="272"/>
      <c r="AS147" s="272"/>
      <c r="AT147" s="272"/>
    </row>
    <row r="148" spans="1:46" ht="12.75" x14ac:dyDescent="0.2">
      <c r="A148" s="272" t="s">
        <v>387</v>
      </c>
      <c r="B148" s="272"/>
      <c r="C148" s="272"/>
      <c r="D148" s="272"/>
      <c r="E148" s="272"/>
      <c r="F148" s="294">
        <f t="shared" si="26"/>
        <v>0</v>
      </c>
      <c r="G148" s="294">
        <f t="shared" si="27"/>
        <v>0</v>
      </c>
      <c r="H148" s="294">
        <f t="shared" si="28"/>
        <v>0</v>
      </c>
      <c r="I148" s="294">
        <f t="shared" si="29"/>
        <v>0</v>
      </c>
      <c r="J148" s="294">
        <f t="shared" si="30"/>
        <v>7.3413651956316392E-3</v>
      </c>
      <c r="K148" s="294">
        <f t="shared" si="31"/>
        <v>6.7605810955285832E-3</v>
      </c>
      <c r="L148" s="272"/>
      <c r="M148" s="272"/>
      <c r="N148" s="272"/>
      <c r="O148" s="272"/>
      <c r="P148" s="272"/>
      <c r="Q148" s="272"/>
      <c r="R148" s="272"/>
      <c r="S148" s="272"/>
      <c r="T148" s="272"/>
      <c r="U148" s="272"/>
      <c r="V148" s="272"/>
      <c r="W148" s="272"/>
      <c r="X148" s="272"/>
      <c r="Y148" s="272"/>
      <c r="Z148" s="272"/>
      <c r="AA148" s="272"/>
      <c r="AB148" s="272"/>
      <c r="AC148" s="272"/>
      <c r="AD148" s="272"/>
      <c r="AE148" s="272"/>
      <c r="AF148" s="272"/>
      <c r="AG148" s="272"/>
      <c r="AH148" s="272"/>
      <c r="AI148" s="272"/>
      <c r="AJ148" s="272"/>
      <c r="AK148" s="272"/>
      <c r="AL148" s="272"/>
      <c r="AM148" s="272"/>
      <c r="AN148" s="272"/>
      <c r="AO148" s="272"/>
      <c r="AP148" s="272"/>
      <c r="AQ148" s="272"/>
      <c r="AR148" s="272"/>
      <c r="AS148" s="272"/>
      <c r="AT148" s="272"/>
    </row>
    <row r="149" spans="1:46" ht="12.75" x14ac:dyDescent="0.2">
      <c r="A149" s="272" t="s">
        <v>372</v>
      </c>
      <c r="B149" s="272"/>
      <c r="C149" s="272"/>
      <c r="D149" s="272"/>
      <c r="E149" s="272"/>
      <c r="F149" s="294">
        <f t="shared" si="26"/>
        <v>5.946289994859115E-2</v>
      </c>
      <c r="G149" s="294">
        <f t="shared" si="27"/>
        <v>6.3173990020923859E-2</v>
      </c>
      <c r="H149" s="294">
        <f t="shared" si="28"/>
        <v>4.8026232816244165E-2</v>
      </c>
      <c r="I149" s="294">
        <f t="shared" si="29"/>
        <v>4.9123843154989265E-2</v>
      </c>
      <c r="J149" s="294">
        <f t="shared" si="30"/>
        <v>4.7279717614304891E-2</v>
      </c>
      <c r="K149" s="294">
        <f t="shared" si="31"/>
        <v>4.0076095843028743E-2</v>
      </c>
      <c r="L149" s="272"/>
      <c r="M149" s="272"/>
      <c r="N149" s="272"/>
      <c r="O149" s="272"/>
      <c r="P149" s="272"/>
      <c r="Q149" s="272"/>
      <c r="R149" s="272"/>
      <c r="S149" s="272"/>
      <c r="T149" s="272"/>
      <c r="U149" s="272"/>
      <c r="V149" s="272"/>
      <c r="W149" s="272"/>
      <c r="X149" s="272"/>
      <c r="Y149" s="272"/>
      <c r="Z149" s="272"/>
      <c r="AA149" s="272"/>
      <c r="AB149" s="272"/>
      <c r="AC149" s="272"/>
      <c r="AD149" s="272"/>
      <c r="AE149" s="272"/>
      <c r="AF149" s="272"/>
      <c r="AG149" s="272"/>
      <c r="AH149" s="272"/>
      <c r="AI149" s="272"/>
      <c r="AJ149" s="272"/>
      <c r="AK149" s="272"/>
      <c r="AL149" s="272"/>
      <c r="AM149" s="272"/>
      <c r="AN149" s="272"/>
      <c r="AO149" s="272"/>
      <c r="AP149" s="272"/>
      <c r="AQ149" s="272"/>
      <c r="AR149" s="272"/>
      <c r="AS149" s="272"/>
      <c r="AT149" s="272"/>
    </row>
    <row r="150" spans="1:46" ht="12.75" x14ac:dyDescent="0.2">
      <c r="A150" s="272"/>
      <c r="B150" s="272"/>
      <c r="C150" s="272"/>
      <c r="D150" s="272"/>
      <c r="E150" s="272"/>
      <c r="F150" s="294"/>
      <c r="G150" s="294"/>
      <c r="H150" s="294"/>
      <c r="I150" s="294"/>
      <c r="J150" s="294"/>
      <c r="K150" s="294"/>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row>
    <row r="151" spans="1:46" ht="12.75" x14ac:dyDescent="0.2">
      <c r="A151" s="292" t="s">
        <v>388</v>
      </c>
      <c r="B151" s="292"/>
      <c r="C151" s="292"/>
      <c r="D151" s="292"/>
      <c r="E151" s="292"/>
      <c r="F151" s="313">
        <f t="shared" ref="F151:F160" si="32">F105/$F$116</f>
        <v>0.26108350265612379</v>
      </c>
      <c r="G151" s="313">
        <f t="shared" ref="G151:G160" si="33">G105/$G$116</f>
        <v>0.2697837866838349</v>
      </c>
      <c r="H151" s="313">
        <f t="shared" ref="H151:H160" si="34">H105/$H$116</f>
        <v>0.28215411779543448</v>
      </c>
      <c r="I151" s="313">
        <f t="shared" ref="I151:I160" si="35">I105/$I$116</f>
        <v>0.2807367689346838</v>
      </c>
      <c r="J151" s="313">
        <f t="shared" ref="J151:J160" si="36">J105/$J$116</f>
        <v>0.29693585005717316</v>
      </c>
      <c r="K151" s="313">
        <f t="shared" ref="K151:K160" si="37">K105/$K$116</f>
        <v>0.29083076536066915</v>
      </c>
      <c r="L151" s="272"/>
      <c r="M151" s="272"/>
      <c r="N151" s="272"/>
      <c r="O151" s="272"/>
      <c r="P151" s="272"/>
      <c r="Q151" s="272"/>
      <c r="R151" s="272"/>
      <c r="S151" s="272"/>
      <c r="T151" s="272"/>
      <c r="U151" s="272"/>
      <c r="V151" s="272"/>
      <c r="W151" s="272"/>
      <c r="X151" s="272"/>
      <c r="Y151" s="272"/>
      <c r="Z151" s="272"/>
      <c r="AA151" s="272"/>
      <c r="AB151" s="272"/>
      <c r="AC151" s="272"/>
      <c r="AD151" s="272"/>
      <c r="AE151" s="272"/>
      <c r="AF151" s="272"/>
      <c r="AG151" s="272"/>
      <c r="AH151" s="272"/>
      <c r="AI151" s="272"/>
      <c r="AJ151" s="272"/>
      <c r="AK151" s="272"/>
      <c r="AL151" s="272"/>
      <c r="AM151" s="272"/>
      <c r="AN151" s="272"/>
      <c r="AO151" s="272"/>
      <c r="AP151" s="272"/>
      <c r="AQ151" s="272"/>
      <c r="AR151" s="272"/>
      <c r="AS151" s="272"/>
      <c r="AT151" s="272"/>
    </row>
    <row r="152" spans="1:46" ht="12.75" x14ac:dyDescent="0.2">
      <c r="A152" s="272" t="s">
        <v>389</v>
      </c>
      <c r="B152" s="272"/>
      <c r="C152" s="272"/>
      <c r="D152" s="272"/>
      <c r="E152" s="272"/>
      <c r="F152" s="294">
        <f t="shared" si="32"/>
        <v>0.1093050013464222</v>
      </c>
      <c r="G152" s="294">
        <f t="shared" si="33"/>
        <v>0.12253876280916358</v>
      </c>
      <c r="H152" s="294">
        <f t="shared" si="34"/>
        <v>0.12109976037331316</v>
      </c>
      <c r="I152" s="294">
        <f t="shared" si="35"/>
        <v>0.12186515546031942</v>
      </c>
      <c r="J152" s="294">
        <f t="shared" si="36"/>
        <v>0.17069088378105166</v>
      </c>
      <c r="K152" s="294">
        <f t="shared" si="37"/>
        <v>0.16420350921325702</v>
      </c>
      <c r="L152" s="272"/>
      <c r="M152" s="272"/>
      <c r="N152" s="272"/>
      <c r="O152" s="272"/>
      <c r="P152" s="272"/>
      <c r="Q152" s="272"/>
      <c r="R152" s="272"/>
      <c r="S152" s="272"/>
      <c r="T152" s="272"/>
      <c r="U152" s="272"/>
      <c r="V152" s="272"/>
      <c r="W152" s="272"/>
      <c r="X152" s="272"/>
      <c r="Y152" s="272"/>
      <c r="Z152" s="272"/>
      <c r="AA152" s="272"/>
      <c r="AB152" s="272"/>
      <c r="AC152" s="272"/>
      <c r="AD152" s="272"/>
      <c r="AE152" s="272"/>
      <c r="AF152" s="272"/>
      <c r="AG152" s="272"/>
      <c r="AH152" s="272"/>
      <c r="AI152" s="272"/>
      <c r="AJ152" s="272"/>
      <c r="AK152" s="272"/>
      <c r="AL152" s="272"/>
      <c r="AM152" s="272"/>
      <c r="AN152" s="272"/>
      <c r="AO152" s="272"/>
      <c r="AP152" s="272"/>
      <c r="AQ152" s="272"/>
      <c r="AR152" s="272"/>
      <c r="AS152" s="272"/>
      <c r="AT152" s="272"/>
    </row>
    <row r="153" spans="1:46" ht="12.75" x14ac:dyDescent="0.2">
      <c r="A153" s="272" t="s">
        <v>390</v>
      </c>
      <c r="B153" s="272"/>
      <c r="C153" s="272"/>
      <c r="D153" s="272"/>
      <c r="E153" s="272"/>
      <c r="F153" s="294">
        <f t="shared" si="32"/>
        <v>4.3844402555754121E-2</v>
      </c>
      <c r="G153" s="294">
        <f t="shared" si="33"/>
        <v>5.0458715596330278E-2</v>
      </c>
      <c r="H153" s="294">
        <f t="shared" si="34"/>
        <v>5.5896077689494263E-2</v>
      </c>
      <c r="I153" s="294">
        <f t="shared" si="35"/>
        <v>4.9376868202499459E-2</v>
      </c>
      <c r="J153" s="294">
        <f t="shared" si="36"/>
        <v>3.9308619061034417E-2</v>
      </c>
      <c r="K153" s="294">
        <f t="shared" si="37"/>
        <v>4.4211055908433432E-2</v>
      </c>
      <c r="L153" s="272"/>
      <c r="M153" s="272"/>
      <c r="N153" s="272"/>
      <c r="O153" s="272"/>
      <c r="P153" s="272"/>
      <c r="Q153" s="272"/>
      <c r="R153" s="272"/>
      <c r="S153" s="272"/>
      <c r="T153" s="272"/>
      <c r="U153" s="272"/>
      <c r="V153" s="272"/>
      <c r="W153" s="272"/>
      <c r="X153" s="272"/>
      <c r="Y153" s="272"/>
      <c r="Z153" s="272"/>
      <c r="AA153" s="272"/>
      <c r="AB153" s="272"/>
      <c r="AC153" s="272"/>
      <c r="AD153" s="272"/>
      <c r="AE153" s="272"/>
      <c r="AF153" s="272"/>
      <c r="AG153" s="272"/>
      <c r="AH153" s="272"/>
      <c r="AI153" s="272"/>
      <c r="AJ153" s="272"/>
      <c r="AK153" s="272"/>
      <c r="AL153" s="272"/>
      <c r="AM153" s="272"/>
      <c r="AN153" s="272"/>
      <c r="AO153" s="272"/>
      <c r="AP153" s="272"/>
      <c r="AQ153" s="272"/>
      <c r="AR153" s="272"/>
      <c r="AS153" s="272"/>
      <c r="AT153" s="272"/>
    </row>
    <row r="154" spans="1:46" ht="12.75" x14ac:dyDescent="0.2">
      <c r="A154" s="272" t="s">
        <v>391</v>
      </c>
      <c r="B154" s="272"/>
      <c r="C154" s="272"/>
      <c r="D154" s="272"/>
      <c r="E154" s="272"/>
      <c r="F154" s="294">
        <f t="shared" si="32"/>
        <v>3.3978799970623516E-2</v>
      </c>
      <c r="G154" s="294">
        <f t="shared" si="33"/>
        <v>3.1493105853318312E-2</v>
      </c>
      <c r="H154" s="294">
        <f t="shared" si="34"/>
        <v>3.9197881195611045E-2</v>
      </c>
      <c r="I154" s="294">
        <f t="shared" si="35"/>
        <v>3.2955022254482921E-2</v>
      </c>
      <c r="J154" s="294">
        <f t="shared" si="36"/>
        <v>2.6316225577117477E-2</v>
      </c>
      <c r="K154" s="294">
        <f t="shared" si="37"/>
        <v>2.7938494434312306E-2</v>
      </c>
      <c r="L154" s="272"/>
      <c r="M154" s="272"/>
      <c r="N154" s="272"/>
      <c r="O154" s="272"/>
      <c r="P154" s="272"/>
      <c r="Q154" s="272"/>
      <c r="R154" s="272"/>
      <c r="S154" s="272"/>
      <c r="T154" s="272"/>
      <c r="U154" s="272"/>
      <c r="V154" s="272"/>
      <c r="W154" s="272"/>
      <c r="X154" s="272"/>
      <c r="Y154" s="272"/>
      <c r="Z154" s="272"/>
      <c r="AA154" s="272"/>
      <c r="AB154" s="272"/>
      <c r="AC154" s="272"/>
      <c r="AD154" s="272"/>
      <c r="AE154" s="272"/>
      <c r="AF154" s="272"/>
      <c r="AG154" s="272"/>
      <c r="AH154" s="272"/>
      <c r="AI154" s="272"/>
      <c r="AJ154" s="272"/>
      <c r="AK154" s="272"/>
      <c r="AL154" s="272"/>
      <c r="AM154" s="272"/>
      <c r="AN154" s="272"/>
      <c r="AO154" s="272"/>
      <c r="AP154" s="272"/>
      <c r="AQ154" s="272"/>
      <c r="AR154" s="272"/>
      <c r="AS154" s="272"/>
      <c r="AT154" s="272"/>
    </row>
    <row r="155" spans="1:46" ht="12.75" x14ac:dyDescent="0.2">
      <c r="A155" s="272" t="s">
        <v>392</v>
      </c>
      <c r="B155" s="272"/>
      <c r="C155" s="272"/>
      <c r="D155" s="272"/>
      <c r="E155" s="272"/>
      <c r="F155" s="294">
        <f t="shared" si="32"/>
        <v>1.8849910646527454E-2</v>
      </c>
      <c r="G155" s="294">
        <f t="shared" si="33"/>
        <v>1.7007350179730672E-2</v>
      </c>
      <c r="H155" s="294">
        <f t="shared" si="34"/>
        <v>2.0204313280363224E-2</v>
      </c>
      <c r="I155" s="294">
        <f t="shared" si="35"/>
        <v>1.8779225695197656E-2</v>
      </c>
      <c r="J155" s="294">
        <f t="shared" si="36"/>
        <v>1.6522214672787233E-2</v>
      </c>
      <c r="K155" s="294">
        <f t="shared" si="37"/>
        <v>1.5565058801333249E-2</v>
      </c>
      <c r="L155" s="272"/>
      <c r="M155" s="272"/>
      <c r="N155" s="272"/>
      <c r="O155" s="272"/>
      <c r="P155" s="272"/>
      <c r="Q155" s="272"/>
      <c r="R155" s="272"/>
      <c r="S155" s="272"/>
      <c r="T155" s="272"/>
      <c r="U155" s="272"/>
      <c r="V155" s="272"/>
      <c r="W155" s="272"/>
      <c r="X155" s="272"/>
      <c r="Y155" s="272"/>
      <c r="Z155" s="272"/>
      <c r="AA155" s="272"/>
      <c r="AB155" s="272"/>
      <c r="AC155" s="272"/>
      <c r="AD155" s="272"/>
      <c r="AE155" s="272"/>
      <c r="AF155" s="272"/>
      <c r="AG155" s="272"/>
      <c r="AH155" s="272"/>
      <c r="AI155" s="272"/>
      <c r="AJ155" s="272"/>
      <c r="AK155" s="272"/>
      <c r="AL155" s="272"/>
      <c r="AM155" s="272"/>
      <c r="AN155" s="272"/>
      <c r="AO155" s="272"/>
      <c r="AP155" s="272"/>
      <c r="AQ155" s="272"/>
      <c r="AR155" s="272"/>
      <c r="AS155" s="272"/>
      <c r="AT155" s="272"/>
    </row>
    <row r="156" spans="1:46" ht="12.75" x14ac:dyDescent="0.2">
      <c r="A156" s="272" t="s">
        <v>393</v>
      </c>
      <c r="B156" s="272"/>
      <c r="C156" s="272"/>
      <c r="D156" s="272"/>
      <c r="E156" s="272"/>
      <c r="F156" s="294">
        <f t="shared" si="32"/>
        <v>0</v>
      </c>
      <c r="G156" s="294">
        <f t="shared" si="33"/>
        <v>0</v>
      </c>
      <c r="H156" s="294">
        <f t="shared" si="34"/>
        <v>0</v>
      </c>
      <c r="I156" s="294">
        <f t="shared" si="35"/>
        <v>0</v>
      </c>
      <c r="J156" s="294">
        <f t="shared" si="36"/>
        <v>1.453358301708566E-2</v>
      </c>
      <c r="K156" s="294">
        <f t="shared" si="37"/>
        <v>1.1634488396956166E-2</v>
      </c>
      <c r="L156" s="272"/>
      <c r="M156" s="272"/>
      <c r="N156" s="272"/>
      <c r="O156" s="272"/>
      <c r="P156" s="272"/>
      <c r="Q156" s="272"/>
      <c r="R156" s="272"/>
      <c r="S156" s="272"/>
      <c r="T156" s="272"/>
      <c r="U156" s="272"/>
      <c r="V156" s="272"/>
      <c r="W156" s="272"/>
      <c r="X156" s="272"/>
      <c r="Y156" s="272"/>
      <c r="Z156" s="272"/>
      <c r="AA156" s="272"/>
      <c r="AB156" s="272"/>
      <c r="AC156" s="272"/>
      <c r="AD156" s="272"/>
      <c r="AE156" s="272"/>
      <c r="AF156" s="272"/>
      <c r="AG156" s="272"/>
      <c r="AH156" s="272"/>
      <c r="AI156" s="272"/>
      <c r="AJ156" s="272"/>
      <c r="AK156" s="272"/>
      <c r="AL156" s="272"/>
      <c r="AM156" s="272"/>
      <c r="AN156" s="272"/>
      <c r="AO156" s="272"/>
      <c r="AP156" s="272"/>
      <c r="AQ156" s="272"/>
      <c r="AR156" s="272"/>
      <c r="AS156" s="272"/>
      <c r="AT156" s="272"/>
    </row>
    <row r="157" spans="1:46" ht="12.75" x14ac:dyDescent="0.2">
      <c r="A157" s="272" t="s">
        <v>394</v>
      </c>
      <c r="B157" s="272"/>
      <c r="C157" s="272"/>
      <c r="D157" s="272"/>
      <c r="E157" s="272"/>
      <c r="F157" s="294">
        <f t="shared" si="32"/>
        <v>0</v>
      </c>
      <c r="G157" s="294">
        <f t="shared" si="33"/>
        <v>0</v>
      </c>
      <c r="H157" s="294">
        <f t="shared" si="34"/>
        <v>0</v>
      </c>
      <c r="I157" s="294">
        <f t="shared" si="35"/>
        <v>0</v>
      </c>
      <c r="J157" s="294">
        <f t="shared" si="36"/>
        <v>1.0672323218931773E-2</v>
      </c>
      <c r="K157" s="294">
        <f t="shared" si="37"/>
        <v>1.0989874850638324E-2</v>
      </c>
      <c r="L157" s="272"/>
      <c r="M157" s="272"/>
      <c r="N157" s="272"/>
      <c r="O157" s="272"/>
      <c r="P157" s="272"/>
      <c r="Q157" s="272"/>
      <c r="R157" s="272"/>
      <c r="S157" s="272"/>
      <c r="T157" s="272"/>
      <c r="U157" s="272"/>
      <c r="V157" s="272"/>
      <c r="W157" s="272"/>
      <c r="X157" s="272"/>
      <c r="Y157" s="272"/>
      <c r="Z157" s="272"/>
      <c r="AA157" s="272"/>
      <c r="AB157" s="272"/>
      <c r="AC157" s="272"/>
      <c r="AD157" s="272"/>
      <c r="AE157" s="272"/>
      <c r="AF157" s="272"/>
      <c r="AG157" s="272"/>
      <c r="AH157" s="272"/>
      <c r="AI157" s="272"/>
      <c r="AJ157" s="272"/>
      <c r="AK157" s="272"/>
      <c r="AL157" s="272"/>
      <c r="AM157" s="272"/>
      <c r="AN157" s="272"/>
      <c r="AO157" s="272"/>
      <c r="AP157" s="272"/>
      <c r="AQ157" s="272"/>
      <c r="AR157" s="272"/>
      <c r="AS157" s="272"/>
      <c r="AT157" s="272"/>
    </row>
    <row r="158" spans="1:46" ht="12.75" x14ac:dyDescent="0.2">
      <c r="A158" s="272" t="s">
        <v>395</v>
      </c>
      <c r="B158" s="272"/>
      <c r="C158" s="272"/>
      <c r="D158" s="272"/>
      <c r="E158" s="272"/>
      <c r="F158" s="294">
        <f t="shared" si="32"/>
        <v>0</v>
      </c>
      <c r="G158" s="294">
        <f t="shared" si="33"/>
        <v>0</v>
      </c>
      <c r="H158" s="294">
        <f t="shared" si="34"/>
        <v>0</v>
      </c>
      <c r="I158" s="294">
        <f t="shared" si="35"/>
        <v>0</v>
      </c>
      <c r="J158" s="294">
        <f t="shared" si="36"/>
        <v>4.2092703379016626E-3</v>
      </c>
      <c r="K158" s="294">
        <f t="shared" si="37"/>
        <v>5.2355197786302749E-3</v>
      </c>
      <c r="L158" s="272"/>
      <c r="M158" s="272"/>
      <c r="N158" s="272"/>
      <c r="O158" s="272"/>
      <c r="P158" s="272"/>
      <c r="Q158" s="272"/>
      <c r="R158" s="272"/>
      <c r="S158" s="272"/>
      <c r="T158" s="272"/>
      <c r="U158" s="272"/>
      <c r="V158" s="272"/>
      <c r="W158" s="272"/>
      <c r="X158" s="272"/>
      <c r="Y158" s="272"/>
      <c r="Z158" s="272"/>
      <c r="AA158" s="272"/>
      <c r="AB158" s="272"/>
      <c r="AC158" s="272"/>
      <c r="AD158" s="272"/>
      <c r="AE158" s="272"/>
      <c r="AF158" s="272"/>
      <c r="AG158" s="272"/>
      <c r="AH158" s="272"/>
      <c r="AI158" s="272"/>
      <c r="AJ158" s="272"/>
      <c r="AK158" s="272"/>
      <c r="AL158" s="272"/>
      <c r="AM158" s="272"/>
      <c r="AN158" s="272"/>
      <c r="AO158" s="272"/>
      <c r="AP158" s="272"/>
      <c r="AQ158" s="272"/>
      <c r="AR158" s="272"/>
      <c r="AS158" s="272"/>
      <c r="AT158" s="272"/>
    </row>
    <row r="159" spans="1:46" ht="12.75" x14ac:dyDescent="0.2">
      <c r="A159" s="272" t="s">
        <v>396</v>
      </c>
      <c r="B159" s="272"/>
      <c r="C159" s="272"/>
      <c r="D159" s="272"/>
      <c r="E159" s="272"/>
      <c r="F159" s="294">
        <f t="shared" si="32"/>
        <v>0</v>
      </c>
      <c r="G159" s="294">
        <f t="shared" si="33"/>
        <v>0</v>
      </c>
      <c r="H159" s="294">
        <f t="shared" si="34"/>
        <v>0</v>
      </c>
      <c r="I159" s="294">
        <f t="shared" si="35"/>
        <v>0</v>
      </c>
      <c r="J159" s="294">
        <f t="shared" si="36"/>
        <v>2.6846527351971233E-3</v>
      </c>
      <c r="K159" s="294">
        <f t="shared" si="37"/>
        <v>2.1696748632161499E-3</v>
      </c>
      <c r="L159" s="272"/>
      <c r="M159" s="272"/>
      <c r="N159" s="272"/>
      <c r="O159" s="272"/>
      <c r="P159" s="272"/>
      <c r="Q159" s="272"/>
      <c r="R159" s="272"/>
      <c r="S159" s="272"/>
      <c r="T159" s="272"/>
      <c r="U159" s="272"/>
      <c r="V159" s="272"/>
      <c r="W159" s="272"/>
      <c r="X159" s="272"/>
      <c r="Y159" s="272"/>
      <c r="Z159" s="272"/>
      <c r="AA159" s="272"/>
      <c r="AB159" s="272"/>
      <c r="AC159" s="272"/>
      <c r="AD159" s="272"/>
      <c r="AE159" s="272"/>
      <c r="AF159" s="272"/>
      <c r="AG159" s="272"/>
      <c r="AH159" s="272"/>
      <c r="AI159" s="272"/>
      <c r="AJ159" s="272"/>
      <c r="AK159" s="272"/>
      <c r="AL159" s="272"/>
      <c r="AM159" s="272"/>
      <c r="AN159" s="272"/>
      <c r="AO159" s="272"/>
      <c r="AP159" s="272"/>
      <c r="AQ159" s="272"/>
      <c r="AR159" s="272"/>
      <c r="AS159" s="272"/>
      <c r="AT159" s="272"/>
    </row>
    <row r="160" spans="1:46" ht="12.75" x14ac:dyDescent="0.2">
      <c r="A160" s="272" t="s">
        <v>372</v>
      </c>
      <c r="B160" s="272"/>
      <c r="C160" s="272"/>
      <c r="D160" s="272"/>
      <c r="E160" s="272"/>
      <c r="F160" s="294">
        <f t="shared" si="32"/>
        <v>5.5105388136796496E-2</v>
      </c>
      <c r="G160" s="294">
        <f t="shared" si="33"/>
        <v>4.8285852245292131E-2</v>
      </c>
      <c r="H160" s="294">
        <f t="shared" si="34"/>
        <v>4.5756085256652791E-2</v>
      </c>
      <c r="I160" s="294">
        <f t="shared" si="35"/>
        <v>5.7760497322184308E-2</v>
      </c>
      <c r="J160" s="294">
        <f t="shared" si="36"/>
        <v>1.1998077656066156E-2</v>
      </c>
      <c r="K160" s="294">
        <f t="shared" si="37"/>
        <v>8.8830891138922084E-3</v>
      </c>
      <c r="L160" s="272"/>
      <c r="M160" s="272"/>
      <c r="N160" s="272"/>
      <c r="O160" s="272"/>
      <c r="P160" s="272"/>
      <c r="Q160" s="272"/>
      <c r="R160" s="272"/>
      <c r="S160" s="272"/>
      <c r="T160" s="272"/>
      <c r="U160" s="272"/>
      <c r="V160" s="272"/>
      <c r="W160" s="272"/>
      <c r="X160" s="272"/>
      <c r="Y160" s="272"/>
      <c r="Z160" s="272"/>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row>
    <row r="161" spans="1:46" ht="12.75" x14ac:dyDescent="0.2">
      <c r="A161" s="272"/>
      <c r="B161" s="272" t="s">
        <v>306</v>
      </c>
      <c r="C161" s="272"/>
      <c r="D161" s="272"/>
      <c r="E161" s="272"/>
      <c r="F161" s="294"/>
      <c r="G161" s="294"/>
      <c r="H161" s="294"/>
      <c r="I161" s="294"/>
      <c r="J161" s="294"/>
      <c r="K161" s="294"/>
      <c r="L161" s="272"/>
      <c r="M161" s="272"/>
      <c r="N161" s="272"/>
      <c r="O161" s="272"/>
      <c r="P161" s="272"/>
      <c r="Q161" s="272"/>
      <c r="R161" s="272"/>
      <c r="S161" s="272"/>
      <c r="T161" s="272"/>
      <c r="U161" s="272"/>
      <c r="V161" s="272"/>
      <c r="W161" s="272"/>
      <c r="X161" s="272"/>
      <c r="Y161" s="272"/>
      <c r="Z161" s="272"/>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row>
    <row r="162" spans="1:46" ht="12.75" x14ac:dyDescent="0.2">
      <c r="A162" s="292" t="s">
        <v>397</v>
      </c>
      <c r="B162" s="292"/>
      <c r="C162" s="292"/>
      <c r="D162" s="292"/>
      <c r="E162" s="292"/>
      <c r="F162" s="313">
        <f>F119+F124+F132+F144+F151</f>
        <v>1</v>
      </c>
      <c r="G162" s="313">
        <f>G119+G124+G132+G144+G151</f>
        <v>1</v>
      </c>
      <c r="H162" s="313">
        <f>H119+H124+H132+H144+H151</f>
        <v>1</v>
      </c>
      <c r="I162" s="313">
        <f>I119+I124+I132+I144+I151</f>
        <v>1</v>
      </c>
      <c r="J162" s="313">
        <f>SUM(J119,J124,J132,J144,J151)</f>
        <v>1</v>
      </c>
      <c r="K162" s="313">
        <f>SUM(K119,K124,K132,K144,K151)</f>
        <v>1</v>
      </c>
      <c r="L162" s="272"/>
      <c r="M162" s="272"/>
      <c r="N162" s="272"/>
      <c r="O162" s="272"/>
      <c r="P162" s="272"/>
      <c r="Q162" s="272"/>
      <c r="R162" s="272"/>
      <c r="S162" s="272"/>
      <c r="T162" s="272"/>
      <c r="U162" s="272"/>
      <c r="V162" s="272"/>
      <c r="W162" s="272"/>
      <c r="X162" s="272"/>
      <c r="Y162" s="272"/>
      <c r="Z162" s="272"/>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row>
    <row r="163" spans="1:46" ht="12.75" x14ac:dyDescent="0.2">
      <c r="A163" s="272"/>
      <c r="B163" s="272"/>
      <c r="C163" s="272"/>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row>
    <row r="164" spans="1:46" ht="12.75" x14ac:dyDescent="0.2">
      <c r="A164" s="272"/>
      <c r="B164" s="272"/>
      <c r="C164" s="272"/>
      <c r="D164" s="272"/>
      <c r="E164" s="272"/>
      <c r="F164" s="272"/>
      <c r="G164" s="272"/>
      <c r="H164" s="272"/>
      <c r="I164" s="272"/>
      <c r="J164" s="272"/>
      <c r="K164" s="272"/>
      <c r="L164" s="272"/>
      <c r="M164" s="272"/>
      <c r="N164" s="272"/>
      <c r="O164" s="272"/>
      <c r="P164" s="272"/>
      <c r="Q164" s="272"/>
      <c r="R164" s="272"/>
      <c r="S164" s="272"/>
      <c r="T164" s="272"/>
      <c r="U164" s="272"/>
      <c r="V164" s="272"/>
      <c r="W164" s="272"/>
      <c r="X164" s="272"/>
      <c r="Y164" s="272"/>
      <c r="Z164" s="272"/>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row>
    <row r="165" spans="1:46" ht="12.75" x14ac:dyDescent="0.2">
      <c r="A165" s="304" t="s">
        <v>382</v>
      </c>
      <c r="B165" s="305">
        <f t="shared" ref="B165:I165" si="38">B3</f>
        <v>2015</v>
      </c>
      <c r="C165" s="305">
        <f t="shared" si="38"/>
        <v>2016</v>
      </c>
      <c r="D165" s="305">
        <f t="shared" si="38"/>
        <v>2017</v>
      </c>
      <c r="E165" s="305">
        <f t="shared" si="38"/>
        <v>2018</v>
      </c>
      <c r="F165" s="305">
        <f t="shared" si="38"/>
        <v>2019</v>
      </c>
      <c r="G165" s="305">
        <f t="shared" si="38"/>
        <v>2020</v>
      </c>
      <c r="H165" s="305">
        <f t="shared" si="38"/>
        <v>2021</v>
      </c>
      <c r="I165" s="305">
        <f t="shared" si="38"/>
        <v>2022</v>
      </c>
      <c r="J165" s="305">
        <v>2023</v>
      </c>
      <c r="K165" s="305">
        <v>2024</v>
      </c>
      <c r="L165" s="276"/>
      <c r="M165" s="164" t="s">
        <v>267</v>
      </c>
      <c r="N165" s="164"/>
      <c r="O165" s="164" t="s">
        <v>269</v>
      </c>
      <c r="P165" s="165" t="s">
        <v>270</v>
      </c>
      <c r="Q165" s="164" t="s">
        <v>131</v>
      </c>
      <c r="R165" s="164" t="s">
        <v>132</v>
      </c>
      <c r="S165" s="164" t="s">
        <v>133</v>
      </c>
      <c r="T165" s="165" t="s">
        <v>134</v>
      </c>
      <c r="U165" s="164" t="s">
        <v>135</v>
      </c>
      <c r="V165" s="164" t="s">
        <v>136</v>
      </c>
      <c r="W165" s="164" t="s">
        <v>137</v>
      </c>
      <c r="X165" s="165" t="s">
        <v>138</v>
      </c>
      <c r="Y165" s="164" t="s">
        <v>139</v>
      </c>
      <c r="Z165" s="164" t="s">
        <v>140</v>
      </c>
      <c r="AA165" s="164" t="s">
        <v>141</v>
      </c>
      <c r="AB165" s="165" t="s">
        <v>142</v>
      </c>
      <c r="AC165" s="164" t="s">
        <v>143</v>
      </c>
      <c r="AD165" s="164" t="s">
        <v>144</v>
      </c>
      <c r="AE165" s="164" t="s">
        <v>145</v>
      </c>
      <c r="AF165" s="165" t="s">
        <v>146</v>
      </c>
      <c r="AG165" s="164" t="s">
        <v>147</v>
      </c>
      <c r="AH165" s="164" t="s">
        <v>147</v>
      </c>
      <c r="AI165" s="164" t="s">
        <v>149</v>
      </c>
      <c r="AJ165" s="165" t="s">
        <v>150</v>
      </c>
      <c r="AK165" s="272"/>
      <c r="AL165" s="272"/>
      <c r="AM165" s="272"/>
      <c r="AN165" s="272"/>
      <c r="AO165" s="272"/>
      <c r="AP165" s="272"/>
      <c r="AQ165" s="272"/>
      <c r="AR165" s="272"/>
      <c r="AS165" s="272"/>
      <c r="AT165" s="272"/>
    </row>
    <row r="166" spans="1:46" ht="12.75" x14ac:dyDescent="0.2">
      <c r="A166" s="272" t="s">
        <v>400</v>
      </c>
      <c r="B166" s="272"/>
      <c r="C166" s="272"/>
      <c r="D166" s="272"/>
      <c r="E166" s="272"/>
      <c r="F166" s="272"/>
      <c r="G166" s="272"/>
      <c r="H166" s="311">
        <f>SUM(AC166:AF166)</f>
        <v>3311</v>
      </c>
      <c r="I166" s="272">
        <f>SUM(AG166:AJ166)</f>
        <v>-610</v>
      </c>
      <c r="J166" s="311"/>
      <c r="K166" s="311"/>
      <c r="L166" s="272"/>
      <c r="M166" s="272"/>
      <c r="N166" s="272"/>
      <c r="O166" s="272"/>
      <c r="P166" s="272"/>
      <c r="Q166" s="272"/>
      <c r="R166" s="272"/>
      <c r="S166" s="272"/>
      <c r="T166" s="272"/>
      <c r="U166" s="272"/>
      <c r="V166" s="272"/>
      <c r="W166" s="272"/>
      <c r="X166" s="272"/>
      <c r="Y166" s="272"/>
      <c r="Z166" s="272"/>
      <c r="AA166" s="272"/>
      <c r="AB166" s="315"/>
      <c r="AC166" s="272">
        <f>10690-9828</f>
        <v>862</v>
      </c>
      <c r="AD166" s="272">
        <f>12245-11493</f>
        <v>752</v>
      </c>
      <c r="AE166" s="272">
        <f>12245-11493</f>
        <v>752</v>
      </c>
      <c r="AF166" s="315">
        <f>11643-10698</f>
        <v>945</v>
      </c>
      <c r="AG166" s="272">
        <f>13818-12961</f>
        <v>857</v>
      </c>
      <c r="AH166" s="272">
        <f>-13842+13377</f>
        <v>-465</v>
      </c>
      <c r="AI166" s="272">
        <f>12322-13324</f>
        <v>-1002</v>
      </c>
      <c r="AJ166" s="315"/>
      <c r="AK166" s="272"/>
      <c r="AL166" s="272"/>
      <c r="AM166" s="272"/>
      <c r="AN166" s="272"/>
      <c r="AO166" s="272"/>
      <c r="AP166" s="272"/>
      <c r="AQ166" s="272"/>
      <c r="AR166" s="272"/>
      <c r="AS166" s="272"/>
      <c r="AT166" s="272"/>
    </row>
    <row r="167" spans="1:46" ht="12.75" x14ac:dyDescent="0.2">
      <c r="A167" s="272" t="s">
        <v>401</v>
      </c>
      <c r="B167" s="272"/>
      <c r="C167" s="272"/>
      <c r="D167" s="272"/>
      <c r="E167" s="272"/>
      <c r="F167" s="272"/>
      <c r="G167" s="272"/>
      <c r="H167" s="311"/>
      <c r="I167" s="272">
        <f>SUM(AG167:AJ167)</f>
        <v>-550</v>
      </c>
      <c r="J167" s="311"/>
      <c r="K167" s="311"/>
      <c r="L167" s="272"/>
      <c r="M167" s="272"/>
      <c r="N167" s="272"/>
      <c r="O167" s="272"/>
      <c r="P167" s="272"/>
      <c r="Q167" s="272"/>
      <c r="R167" s="272"/>
      <c r="S167" s="272"/>
      <c r="T167" s="272"/>
      <c r="U167" s="272"/>
      <c r="V167" s="272"/>
      <c r="W167" s="272"/>
      <c r="X167" s="272"/>
      <c r="Y167" s="272"/>
      <c r="Z167" s="272"/>
      <c r="AA167" s="272"/>
      <c r="AB167" s="272"/>
      <c r="AC167" s="272"/>
      <c r="AD167" s="272"/>
      <c r="AE167" s="272"/>
      <c r="AF167" s="272"/>
      <c r="AG167" s="272">
        <v>0</v>
      </c>
      <c r="AH167" s="272">
        <v>-400</v>
      </c>
      <c r="AI167" s="272">
        <v>-150</v>
      </c>
      <c r="AJ167" s="274"/>
      <c r="AK167" s="272"/>
      <c r="AL167" s="272"/>
      <c r="AM167" s="272"/>
      <c r="AN167" s="272"/>
      <c r="AO167" s="272"/>
      <c r="AP167" s="272"/>
      <c r="AQ167" s="272"/>
      <c r="AR167" s="272"/>
      <c r="AS167" s="272"/>
      <c r="AT167" s="272"/>
    </row>
    <row r="168" spans="1:46" ht="12.75" x14ac:dyDescent="0.2">
      <c r="A168" s="272" t="s">
        <v>163</v>
      </c>
      <c r="B168" s="272"/>
      <c r="C168" s="272"/>
      <c r="D168" s="272"/>
      <c r="E168" s="272"/>
      <c r="F168" s="311">
        <f>F95</f>
        <v>2957.9999999999995</v>
      </c>
      <c r="G168" s="311">
        <f>G95</f>
        <v>2559</v>
      </c>
      <c r="H168" s="272">
        <v>2421</v>
      </c>
      <c r="I168" s="272">
        <v>1249</v>
      </c>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272"/>
      <c r="AL168" s="272"/>
      <c r="AM168" s="272"/>
      <c r="AN168" s="272"/>
      <c r="AO168" s="272"/>
      <c r="AP168" s="272"/>
      <c r="AQ168" s="272"/>
      <c r="AR168" s="272"/>
      <c r="AS168" s="272"/>
      <c r="AT168" s="272"/>
    </row>
    <row r="169" spans="1:46" ht="12.75" x14ac:dyDescent="0.2">
      <c r="A169" s="272" t="s">
        <v>402</v>
      </c>
      <c r="B169" s="272"/>
      <c r="C169" s="272"/>
      <c r="D169" s="272"/>
      <c r="E169" s="272"/>
      <c r="F169" s="294">
        <f>F168/F116</f>
        <v>7.2413033366789878E-2</v>
      </c>
      <c r="G169" s="294">
        <f>G168/G116</f>
        <v>6.8646386608723645E-2</v>
      </c>
      <c r="H169" s="294">
        <f>H168/H116</f>
        <v>6.1066969353007948E-2</v>
      </c>
      <c r="I169" s="294">
        <f>I168/I116</f>
        <v>2.5133818972109308E-2</v>
      </c>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E169" s="272"/>
      <c r="AF169" s="272"/>
      <c r="AG169" s="272"/>
      <c r="AH169" s="272"/>
      <c r="AI169" s="272"/>
      <c r="AJ169" s="272"/>
      <c r="AK169" s="272"/>
      <c r="AL169" s="272"/>
      <c r="AM169" s="272"/>
      <c r="AN169" s="272"/>
      <c r="AO169" s="272"/>
      <c r="AP169" s="272"/>
      <c r="AQ169" s="272"/>
      <c r="AR169" s="272"/>
      <c r="AS169" s="272"/>
      <c r="AT169" s="272"/>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U37"/>
  <sheetViews>
    <sheetView showGridLines="0" workbookViewId="0"/>
  </sheetViews>
  <sheetFormatPr defaultColWidth="10" defaultRowHeight="13.35" customHeight="1" x14ac:dyDescent="0.2"/>
  <cols>
    <col min="1" max="1" width="37.85546875" bestFit="1" customWidth="1"/>
    <col min="2" max="11" width="8.42578125" bestFit="1" customWidth="1"/>
    <col min="12" max="12" width="8.42578125" customWidth="1"/>
    <col min="13" max="13" width="9.42578125" bestFit="1" customWidth="1"/>
    <col min="14" max="21" width="7.140625" bestFit="1" customWidth="1"/>
    <col min="22" max="24" width="6.85546875" bestFit="1" customWidth="1"/>
    <col min="25" max="33" width="7.140625" bestFit="1" customWidth="1"/>
    <col min="34" max="35" width="7.140625" customWidth="1"/>
    <col min="36" max="37" width="7.140625" bestFit="1" customWidth="1"/>
    <col min="38" max="39" width="7.140625" customWidth="1"/>
    <col min="40" max="41" width="7.140625" bestFit="1" customWidth="1"/>
    <col min="42" max="43" width="7.140625" customWidth="1"/>
    <col min="44" max="45" width="7.140625" bestFit="1" customWidth="1"/>
    <col min="46" max="47" width="7.140625" customWidth="1"/>
  </cols>
  <sheetData>
    <row r="1" spans="1:47" ht="16.5" thickBot="1" x14ac:dyDescent="0.3">
      <c r="A1" s="16" t="s">
        <v>403</v>
      </c>
      <c r="B1" s="316" t="s">
        <v>127</v>
      </c>
      <c r="C1" s="317"/>
      <c r="D1" s="317"/>
      <c r="E1" s="317"/>
      <c r="F1" s="317"/>
      <c r="G1" s="317"/>
      <c r="H1" s="317"/>
      <c r="I1" s="317"/>
      <c r="J1" s="317"/>
      <c r="K1" s="317"/>
      <c r="L1" s="318"/>
      <c r="M1" s="316" t="s">
        <v>128</v>
      </c>
      <c r="N1" s="317"/>
      <c r="O1" s="317"/>
      <c r="P1" s="319"/>
      <c r="Q1" s="317"/>
      <c r="R1" s="317"/>
      <c r="S1" s="317"/>
      <c r="T1" s="319"/>
      <c r="U1" s="316"/>
      <c r="V1" s="317"/>
      <c r="W1" s="317"/>
      <c r="X1" s="319"/>
      <c r="Y1" s="317"/>
      <c r="Z1" s="317"/>
      <c r="AA1" s="317"/>
      <c r="AB1" s="319"/>
      <c r="AC1" s="316"/>
      <c r="AD1" s="317"/>
      <c r="AE1" s="317"/>
      <c r="AF1" s="319"/>
      <c r="AG1" s="316"/>
      <c r="AH1" s="316"/>
      <c r="AI1" s="316"/>
      <c r="AJ1" s="319"/>
      <c r="AK1" s="316"/>
      <c r="AL1" s="316"/>
      <c r="AM1" s="316"/>
      <c r="AN1" s="319"/>
      <c r="AO1" s="316"/>
      <c r="AP1" s="316"/>
      <c r="AQ1" s="316"/>
      <c r="AR1" s="319"/>
      <c r="AS1" s="316"/>
      <c r="AT1" s="316"/>
      <c r="AU1" s="316"/>
    </row>
    <row r="2" spans="1:47" ht="14.25" thickTop="1" thickBot="1" x14ac:dyDescent="0.25">
      <c r="A2" s="19" t="s">
        <v>32</v>
      </c>
      <c r="B2" s="320"/>
      <c r="C2" s="320"/>
      <c r="D2" s="320"/>
      <c r="E2" s="320"/>
      <c r="F2" s="320"/>
      <c r="G2" s="320"/>
      <c r="H2" s="320"/>
      <c r="I2" s="320"/>
      <c r="J2" s="320"/>
      <c r="K2" s="320"/>
      <c r="L2" s="318"/>
      <c r="M2" s="320"/>
      <c r="N2" s="320"/>
      <c r="O2" s="320"/>
      <c r="P2" s="321"/>
      <c r="Q2" s="320"/>
      <c r="R2" s="320"/>
      <c r="S2" s="320"/>
      <c r="T2" s="321"/>
      <c r="U2" s="320"/>
      <c r="V2" s="320"/>
      <c r="W2" s="320"/>
      <c r="X2" s="321"/>
      <c r="Y2" s="320"/>
      <c r="Z2" s="320"/>
      <c r="AA2" s="320"/>
      <c r="AB2" s="321"/>
      <c r="AC2" s="320"/>
      <c r="AD2" s="320"/>
      <c r="AE2" s="320"/>
      <c r="AF2" s="321"/>
      <c r="AG2" s="320"/>
      <c r="AH2" s="320"/>
      <c r="AI2" s="320"/>
      <c r="AJ2" s="321"/>
      <c r="AK2" s="320"/>
      <c r="AL2" s="320"/>
      <c r="AM2" s="320"/>
      <c r="AN2" s="321"/>
      <c r="AO2" s="320"/>
      <c r="AP2" s="320"/>
      <c r="AQ2" s="320"/>
      <c r="AR2" s="321"/>
      <c r="AS2" s="320"/>
      <c r="AT2" s="320"/>
      <c r="AU2" s="320"/>
    </row>
    <row r="3" spans="1:47" ht="13.5" thickTop="1" x14ac:dyDescent="0.2">
      <c r="A3" s="322" t="s">
        <v>404</v>
      </c>
      <c r="B3" s="323">
        <v>2015</v>
      </c>
      <c r="C3" s="323">
        <v>2016</v>
      </c>
      <c r="D3" s="324">
        <v>2017</v>
      </c>
      <c r="E3" s="324">
        <v>2018</v>
      </c>
      <c r="F3" s="324">
        <v>2019</v>
      </c>
      <c r="G3" s="324">
        <v>2020</v>
      </c>
      <c r="H3" s="324">
        <v>2021</v>
      </c>
      <c r="I3" s="324">
        <v>2022</v>
      </c>
      <c r="J3" s="324">
        <v>2023</v>
      </c>
      <c r="K3" s="324">
        <v>2024</v>
      </c>
      <c r="L3" s="325"/>
      <c r="M3" s="326" t="s">
        <v>267</v>
      </c>
      <c r="N3" s="326" t="s">
        <v>268</v>
      </c>
      <c r="O3" s="326" t="s">
        <v>269</v>
      </c>
      <c r="P3" s="327" t="s">
        <v>270</v>
      </c>
      <c r="Q3" s="326" t="s">
        <v>131</v>
      </c>
      <c r="R3" s="326" t="s">
        <v>132</v>
      </c>
      <c r="S3" s="326" t="s">
        <v>133</v>
      </c>
      <c r="T3" s="327" t="s">
        <v>134</v>
      </c>
      <c r="U3" s="326" t="s">
        <v>135</v>
      </c>
      <c r="V3" s="326" t="s">
        <v>136</v>
      </c>
      <c r="W3" s="326" t="s">
        <v>137</v>
      </c>
      <c r="X3" s="327" t="s">
        <v>138</v>
      </c>
      <c r="Y3" s="326" t="s">
        <v>139</v>
      </c>
      <c r="Z3" s="326" t="s">
        <v>140</v>
      </c>
      <c r="AA3" s="326" t="s">
        <v>141</v>
      </c>
      <c r="AB3" s="327" t="s">
        <v>142</v>
      </c>
      <c r="AC3" s="326" t="s">
        <v>143</v>
      </c>
      <c r="AD3" s="326" t="s">
        <v>144</v>
      </c>
      <c r="AE3" s="326" t="s">
        <v>145</v>
      </c>
      <c r="AF3" s="327" t="s">
        <v>146</v>
      </c>
      <c r="AG3" s="326" t="s">
        <v>147</v>
      </c>
      <c r="AH3" s="326" t="s">
        <v>148</v>
      </c>
      <c r="AI3" s="326" t="s">
        <v>149</v>
      </c>
      <c r="AJ3" s="327" t="s">
        <v>150</v>
      </c>
      <c r="AK3" s="326" t="s">
        <v>151</v>
      </c>
      <c r="AL3" s="326" t="s">
        <v>152</v>
      </c>
      <c r="AM3" s="326" t="s">
        <v>153</v>
      </c>
      <c r="AN3" s="327" t="s">
        <v>154</v>
      </c>
      <c r="AO3" s="326" t="s">
        <v>155</v>
      </c>
      <c r="AP3" s="326" t="s">
        <v>156</v>
      </c>
      <c r="AQ3" s="326" t="s">
        <v>157</v>
      </c>
      <c r="AR3" s="327" t="s">
        <v>158</v>
      </c>
      <c r="AS3" s="326" t="s">
        <v>159</v>
      </c>
      <c r="AT3" s="326" t="s">
        <v>160</v>
      </c>
      <c r="AU3" s="326" t="s">
        <v>161</v>
      </c>
    </row>
    <row r="4" spans="1:47" ht="12.75" x14ac:dyDescent="0.2">
      <c r="A4" s="328" t="s">
        <v>405</v>
      </c>
      <c r="B4" s="329">
        <v>3062</v>
      </c>
      <c r="C4" s="330">
        <v>3185</v>
      </c>
      <c r="D4" s="329">
        <v>3121</v>
      </c>
      <c r="E4" s="329">
        <v>3620</v>
      </c>
      <c r="F4" s="329">
        <v>4226</v>
      </c>
      <c r="G4" s="329">
        <v>4111</v>
      </c>
      <c r="H4" s="329">
        <v>7233</v>
      </c>
      <c r="I4" s="329">
        <v>13073</v>
      </c>
      <c r="J4" s="329">
        <v>15843</v>
      </c>
      <c r="K4" s="329">
        <v>25075</v>
      </c>
      <c r="L4" s="318"/>
      <c r="M4" s="329">
        <v>3233</v>
      </c>
      <c r="N4" s="329">
        <v>3136</v>
      </c>
      <c r="O4" s="330">
        <v>3076</v>
      </c>
      <c r="P4" s="331">
        <v>3121</v>
      </c>
      <c r="Q4" s="332">
        <v>3539</v>
      </c>
      <c r="R4" s="332">
        <v>3637</v>
      </c>
      <c r="S4" s="332">
        <v>3532</v>
      </c>
      <c r="T4" s="331">
        <v>3620</v>
      </c>
      <c r="U4" s="332">
        <v>3865</v>
      </c>
      <c r="V4" s="332">
        <v>4224</v>
      </c>
      <c r="W4" s="332">
        <v>4242</v>
      </c>
      <c r="X4" s="331">
        <v>4226</v>
      </c>
      <c r="Y4" s="332">
        <v>4341</v>
      </c>
      <c r="Z4" s="332">
        <v>4206</v>
      </c>
      <c r="AA4" s="332">
        <v>4216</v>
      </c>
      <c r="AB4" s="331">
        <v>4111</v>
      </c>
      <c r="AC4" s="332">
        <v>4249</v>
      </c>
      <c r="AD4" s="332">
        <v>5963</v>
      </c>
      <c r="AE4" s="332">
        <v>6355</v>
      </c>
      <c r="AF4" s="331">
        <v>7233</v>
      </c>
      <c r="AG4" s="332">
        <v>7192</v>
      </c>
      <c r="AH4" s="332">
        <v>7653</v>
      </c>
      <c r="AI4" s="332">
        <v>8419</v>
      </c>
      <c r="AJ4" s="331">
        <v>13073</v>
      </c>
      <c r="AK4" s="332">
        <v>15966</v>
      </c>
      <c r="AL4" s="332">
        <v>16875</v>
      </c>
      <c r="AM4" s="332">
        <v>16472</v>
      </c>
      <c r="AN4" s="331">
        <v>15843</v>
      </c>
      <c r="AO4" s="332">
        <v>16184</v>
      </c>
      <c r="AP4" s="332">
        <v>22897</v>
      </c>
      <c r="AQ4" s="332">
        <v>24131</v>
      </c>
      <c r="AR4" s="331">
        <v>25075</v>
      </c>
      <c r="AS4" s="332">
        <v>22962</v>
      </c>
      <c r="AT4" s="332">
        <v>22349</v>
      </c>
      <c r="AU4" s="332">
        <v>22274</v>
      </c>
    </row>
    <row r="5" spans="1:47" ht="12.75" x14ac:dyDescent="0.2">
      <c r="A5" s="333" t="s">
        <v>406</v>
      </c>
      <c r="B5" s="334"/>
      <c r="C5" s="335"/>
      <c r="D5" s="334">
        <v>1638</v>
      </c>
      <c r="E5" s="334">
        <v>1876</v>
      </c>
      <c r="F5" s="334">
        <v>2185</v>
      </c>
      <c r="G5" s="334">
        <v>2049</v>
      </c>
      <c r="H5" s="334">
        <v>4089</v>
      </c>
      <c r="I5" s="334">
        <v>8275</v>
      </c>
      <c r="J5" s="334">
        <v>10223</v>
      </c>
      <c r="K5" s="334">
        <v>16699</v>
      </c>
      <c r="L5" s="336"/>
      <c r="M5" s="334"/>
      <c r="N5" s="334"/>
      <c r="O5" s="335"/>
      <c r="P5" s="337">
        <v>1638</v>
      </c>
      <c r="Q5" s="338">
        <v>1840</v>
      </c>
      <c r="R5" s="338">
        <v>1881</v>
      </c>
      <c r="S5" s="338">
        <v>1816</v>
      </c>
      <c r="T5" s="337">
        <v>1876</v>
      </c>
      <c r="U5" s="338">
        <v>2005</v>
      </c>
      <c r="V5" s="338">
        <v>2174</v>
      </c>
      <c r="W5" s="338">
        <v>2244</v>
      </c>
      <c r="X5" s="337">
        <v>2185</v>
      </c>
      <c r="Y5" s="338">
        <v>2243</v>
      </c>
      <c r="Z5" s="338">
        <v>2129</v>
      </c>
      <c r="AA5" s="338">
        <v>2141</v>
      </c>
      <c r="AB5" s="337">
        <v>2049</v>
      </c>
      <c r="AC5" s="338">
        <v>2131</v>
      </c>
      <c r="AD5" s="338">
        <v>3204</v>
      </c>
      <c r="AE5" s="338">
        <v>3531</v>
      </c>
      <c r="AF5" s="337">
        <v>4089</v>
      </c>
      <c r="AG5" s="338">
        <v>4290</v>
      </c>
      <c r="AH5" s="338">
        <v>4642</v>
      </c>
      <c r="AI5" s="338">
        <v>5215</v>
      </c>
      <c r="AJ5" s="337">
        <v>8275</v>
      </c>
      <c r="AK5" s="338">
        <v>10079</v>
      </c>
      <c r="AL5" s="338">
        <v>10803</v>
      </c>
      <c r="AM5" s="338">
        <v>10649</v>
      </c>
      <c r="AN5" s="337">
        <v>10223</v>
      </c>
      <c r="AO5" s="338">
        <v>10497</v>
      </c>
      <c r="AP5" s="338">
        <v>14682</v>
      </c>
      <c r="AQ5" s="338">
        <v>15932</v>
      </c>
      <c r="AR5" s="337">
        <v>16700</v>
      </c>
      <c r="AS5" s="338">
        <v>15175</v>
      </c>
      <c r="AT5" s="338">
        <v>14767</v>
      </c>
      <c r="AU5" s="338">
        <v>14735</v>
      </c>
    </row>
    <row r="6" spans="1:47" ht="12.75" x14ac:dyDescent="0.2">
      <c r="A6" s="328" t="s">
        <v>407</v>
      </c>
      <c r="B6" s="329">
        <v>1404</v>
      </c>
      <c r="C6" s="330">
        <v>1370</v>
      </c>
      <c r="D6" s="329">
        <v>1215</v>
      </c>
      <c r="E6" s="329">
        <v>1233</v>
      </c>
      <c r="F6" s="329">
        <v>1213</v>
      </c>
      <c r="G6" s="329">
        <v>999</v>
      </c>
      <c r="H6" s="329">
        <v>1279</v>
      </c>
      <c r="I6" s="329">
        <v>1458</v>
      </c>
      <c r="J6" s="329">
        <v>1582</v>
      </c>
      <c r="K6" s="329">
        <v>1543</v>
      </c>
      <c r="L6" s="318"/>
      <c r="M6" s="329">
        <v>1279</v>
      </c>
      <c r="N6" s="329">
        <v>1271</v>
      </c>
      <c r="O6" s="330">
        <v>1220</v>
      </c>
      <c r="P6" s="339">
        <v>1215</v>
      </c>
      <c r="Q6" s="329">
        <v>1205</v>
      </c>
      <c r="R6" s="329">
        <v>1300</v>
      </c>
      <c r="S6" s="332">
        <v>1277</v>
      </c>
      <c r="T6" s="331">
        <v>1233</v>
      </c>
      <c r="U6" s="332">
        <v>1318</v>
      </c>
      <c r="V6" s="332">
        <v>1363</v>
      </c>
      <c r="W6" s="332">
        <v>1309</v>
      </c>
      <c r="X6" s="331">
        <v>1213</v>
      </c>
      <c r="Y6" s="332">
        <v>1187</v>
      </c>
      <c r="Z6" s="332">
        <v>1165</v>
      </c>
      <c r="AA6" s="332">
        <v>1108</v>
      </c>
      <c r="AB6" s="331">
        <v>999</v>
      </c>
      <c r="AC6" s="332">
        <v>1015</v>
      </c>
      <c r="AD6" s="332">
        <v>1103</v>
      </c>
      <c r="AE6" s="332">
        <v>1118</v>
      </c>
      <c r="AF6" s="331">
        <v>1279</v>
      </c>
      <c r="AG6" s="332">
        <v>1265</v>
      </c>
      <c r="AH6" s="332">
        <v>1430</v>
      </c>
      <c r="AI6" s="332">
        <v>1527</v>
      </c>
      <c r="AJ6" s="331">
        <v>1458</v>
      </c>
      <c r="AK6" s="332">
        <v>1420</v>
      </c>
      <c r="AL6" s="332">
        <v>1597</v>
      </c>
      <c r="AM6" s="332">
        <v>1597</v>
      </c>
      <c r="AN6" s="331">
        <v>1582</v>
      </c>
      <c r="AO6" s="332">
        <v>1580</v>
      </c>
      <c r="AP6" s="332">
        <v>1773</v>
      </c>
      <c r="AQ6" s="332">
        <v>1602</v>
      </c>
      <c r="AR6" s="331">
        <v>1543</v>
      </c>
      <c r="AS6" s="332">
        <v>1396</v>
      </c>
      <c r="AT6" s="332">
        <v>1449</v>
      </c>
      <c r="AU6" s="332">
        <v>1396</v>
      </c>
    </row>
    <row r="7" spans="1:47" ht="12.75" x14ac:dyDescent="0.2">
      <c r="A7" s="328" t="s">
        <v>408</v>
      </c>
      <c r="B7" s="329">
        <v>2398</v>
      </c>
      <c r="C7" s="330">
        <v>2285</v>
      </c>
      <c r="D7" s="329">
        <v>2271</v>
      </c>
      <c r="E7" s="329">
        <v>2473</v>
      </c>
      <c r="F7" s="329">
        <v>4613</v>
      </c>
      <c r="G7" s="329">
        <v>4150</v>
      </c>
      <c r="H7" s="329">
        <v>4587</v>
      </c>
      <c r="I7" s="329">
        <v>5429</v>
      </c>
      <c r="J7" s="329">
        <v>6032</v>
      </c>
      <c r="K7" s="329">
        <v>7932</v>
      </c>
      <c r="L7" s="318"/>
      <c r="M7" s="329">
        <v>2290</v>
      </c>
      <c r="N7" s="329">
        <v>2273</v>
      </c>
      <c r="O7" s="330">
        <v>2213</v>
      </c>
      <c r="P7" s="339">
        <v>2271</v>
      </c>
      <c r="Q7" s="329">
        <v>2345</v>
      </c>
      <c r="R7" s="329">
        <v>2455</v>
      </c>
      <c r="S7" s="332">
        <v>2421</v>
      </c>
      <c r="T7" s="331">
        <v>2473</v>
      </c>
      <c r="U7" s="332">
        <v>4657</v>
      </c>
      <c r="V7" s="332">
        <v>4746</v>
      </c>
      <c r="W7" s="332">
        <v>4775</v>
      </c>
      <c r="X7" s="331">
        <v>4613</v>
      </c>
      <c r="Y7" s="332">
        <v>4534</v>
      </c>
      <c r="Z7" s="332">
        <v>4364</v>
      </c>
      <c r="AA7" s="332">
        <v>4284</v>
      </c>
      <c r="AB7" s="331">
        <v>4150</v>
      </c>
      <c r="AC7" s="332">
        <v>4342</v>
      </c>
      <c r="AD7" s="332">
        <v>4452</v>
      </c>
      <c r="AE7" s="332">
        <v>4665</v>
      </c>
      <c r="AF7" s="331">
        <v>4587</v>
      </c>
      <c r="AG7" s="332">
        <v>4743</v>
      </c>
      <c r="AH7" s="332">
        <v>4909</v>
      </c>
      <c r="AI7" s="332">
        <v>5140</v>
      </c>
      <c r="AJ7" s="331">
        <v>5429</v>
      </c>
      <c r="AK7" s="332">
        <v>5754</v>
      </c>
      <c r="AL7" s="332">
        <v>5963</v>
      </c>
      <c r="AM7" s="332">
        <v>5924</v>
      </c>
      <c r="AN7" s="331">
        <v>6032</v>
      </c>
      <c r="AO7" s="332">
        <v>6334</v>
      </c>
      <c r="AP7" s="332">
        <v>7723</v>
      </c>
      <c r="AQ7" s="332">
        <v>7546</v>
      </c>
      <c r="AR7" s="331">
        <v>7932</v>
      </c>
      <c r="AS7" s="332">
        <v>7485</v>
      </c>
      <c r="AT7" s="332">
        <v>7456</v>
      </c>
      <c r="AU7" s="332">
        <v>7434</v>
      </c>
    </row>
    <row r="8" spans="1:47" ht="12.75" x14ac:dyDescent="0.2">
      <c r="A8" s="328" t="s">
        <v>409</v>
      </c>
      <c r="B8" s="329">
        <v>16</v>
      </c>
      <c r="C8" s="330">
        <v>15</v>
      </c>
      <c r="D8" s="329">
        <v>94</v>
      </c>
      <c r="E8" s="329">
        <v>208</v>
      </c>
      <c r="F8" s="329">
        <v>201</v>
      </c>
      <c r="G8" s="329">
        <v>188</v>
      </c>
      <c r="H8" s="329">
        <v>106</v>
      </c>
      <c r="I8" s="329">
        <v>67</v>
      </c>
      <c r="J8" s="329">
        <v>49</v>
      </c>
      <c r="K8" s="329">
        <v>34</v>
      </c>
      <c r="L8" s="318"/>
      <c r="M8" s="329">
        <v>32</v>
      </c>
      <c r="N8" s="329">
        <v>31</v>
      </c>
      <c r="O8" s="330">
        <v>95</v>
      </c>
      <c r="P8" s="339">
        <v>94</v>
      </c>
      <c r="Q8" s="329">
        <v>94</v>
      </c>
      <c r="R8" s="329">
        <v>93</v>
      </c>
      <c r="S8" s="332">
        <v>91</v>
      </c>
      <c r="T8" s="331">
        <v>208</v>
      </c>
      <c r="U8" s="332">
        <v>211</v>
      </c>
      <c r="V8" s="332">
        <v>204</v>
      </c>
      <c r="W8" s="332">
        <v>209</v>
      </c>
      <c r="X8" s="331">
        <v>201</v>
      </c>
      <c r="Y8" s="332">
        <v>208</v>
      </c>
      <c r="Z8" s="332">
        <v>202</v>
      </c>
      <c r="AA8" s="332">
        <v>195</v>
      </c>
      <c r="AB8" s="331">
        <v>188</v>
      </c>
      <c r="AC8" s="332">
        <v>191</v>
      </c>
      <c r="AD8" s="332">
        <v>181</v>
      </c>
      <c r="AE8" s="332">
        <v>181</v>
      </c>
      <c r="AF8" s="331">
        <v>106</v>
      </c>
      <c r="AG8" s="332">
        <v>101</v>
      </c>
      <c r="AH8" s="332">
        <v>81</v>
      </c>
      <c r="AI8" s="332">
        <v>74</v>
      </c>
      <c r="AJ8" s="331">
        <v>67</v>
      </c>
      <c r="AK8" s="332">
        <v>64</v>
      </c>
      <c r="AL8" s="332">
        <v>65</v>
      </c>
      <c r="AM8" s="332">
        <v>59</v>
      </c>
      <c r="AN8" s="331">
        <v>49</v>
      </c>
      <c r="AO8" s="332">
        <v>38</v>
      </c>
      <c r="AP8" s="332">
        <v>28</v>
      </c>
      <c r="AQ8" s="332">
        <v>27</v>
      </c>
      <c r="AR8" s="331">
        <v>34</v>
      </c>
      <c r="AS8" s="332">
        <v>31</v>
      </c>
      <c r="AT8" s="332">
        <v>29</v>
      </c>
      <c r="AU8" s="332">
        <v>29</v>
      </c>
    </row>
    <row r="9" spans="1:47" ht="12.75" x14ac:dyDescent="0.2">
      <c r="A9" s="328" t="s">
        <v>410</v>
      </c>
      <c r="B9" s="329">
        <v>1297</v>
      </c>
      <c r="C9" s="330">
        <v>1499</v>
      </c>
      <c r="D9" s="329">
        <v>1101</v>
      </c>
      <c r="E9" s="329">
        <v>1119</v>
      </c>
      <c r="F9" s="329">
        <v>1007</v>
      </c>
      <c r="G9" s="329">
        <v>751</v>
      </c>
      <c r="H9" s="329">
        <v>1007</v>
      </c>
      <c r="I9" s="329">
        <v>1752</v>
      </c>
      <c r="J9" s="329">
        <v>1649</v>
      </c>
      <c r="K9" s="329">
        <v>2225</v>
      </c>
      <c r="L9" s="318"/>
      <c r="M9" s="329">
        <v>1515</v>
      </c>
      <c r="N9" s="329">
        <v>1455</v>
      </c>
      <c r="O9" s="330">
        <v>1426</v>
      </c>
      <c r="P9" s="339">
        <v>1101</v>
      </c>
      <c r="Q9" s="329">
        <v>1313</v>
      </c>
      <c r="R9" s="329">
        <v>1399</v>
      </c>
      <c r="S9" s="332">
        <v>1199</v>
      </c>
      <c r="T9" s="331">
        <v>1119</v>
      </c>
      <c r="U9" s="332">
        <v>1183</v>
      </c>
      <c r="V9" s="332">
        <v>1124</v>
      </c>
      <c r="W9" s="332">
        <v>1135</v>
      </c>
      <c r="X9" s="331">
        <v>1007</v>
      </c>
      <c r="Y9" s="332">
        <v>949</v>
      </c>
      <c r="Z9" s="332">
        <v>865</v>
      </c>
      <c r="AA9" s="332">
        <v>817</v>
      </c>
      <c r="AB9" s="331">
        <v>751</v>
      </c>
      <c r="AC9" s="332">
        <v>802</v>
      </c>
      <c r="AD9" s="332">
        <v>809</v>
      </c>
      <c r="AE9" s="332">
        <v>854</v>
      </c>
      <c r="AF9" s="331">
        <v>1007</v>
      </c>
      <c r="AG9" s="332">
        <v>1261</v>
      </c>
      <c r="AH9" s="332">
        <v>1722</v>
      </c>
      <c r="AI9" s="332">
        <v>1898</v>
      </c>
      <c r="AJ9" s="331">
        <v>1752</v>
      </c>
      <c r="AK9" s="332">
        <v>1634</v>
      </c>
      <c r="AL9" s="332">
        <v>1971</v>
      </c>
      <c r="AM9" s="332">
        <v>2118</v>
      </c>
      <c r="AN9" s="331">
        <v>1649</v>
      </c>
      <c r="AO9" s="332">
        <v>1804</v>
      </c>
      <c r="AP9" s="332">
        <v>1764</v>
      </c>
      <c r="AQ9" s="332">
        <v>2226</v>
      </c>
      <c r="AR9" s="331">
        <v>2225</v>
      </c>
      <c r="AS9" s="332">
        <v>1918</v>
      </c>
      <c r="AT9" s="332">
        <v>2286</v>
      </c>
      <c r="AU9" s="332">
        <v>2472</v>
      </c>
    </row>
    <row r="10" spans="1:47" ht="12.75" x14ac:dyDescent="0.2">
      <c r="A10" s="328" t="s">
        <v>411</v>
      </c>
      <c r="B10" s="329">
        <v>435</v>
      </c>
      <c r="C10" s="330">
        <v>347</v>
      </c>
      <c r="D10" s="329">
        <v>425</v>
      </c>
      <c r="E10" s="329">
        <v>543</v>
      </c>
      <c r="F10" s="329">
        <v>630</v>
      </c>
      <c r="G10" s="329">
        <v>1374</v>
      </c>
      <c r="H10" s="329">
        <v>1469</v>
      </c>
      <c r="I10" s="329">
        <v>1526</v>
      </c>
      <c r="J10" s="329">
        <v>1509</v>
      </c>
      <c r="K10" s="329">
        <v>1576</v>
      </c>
      <c r="L10" s="318"/>
      <c r="M10" s="329">
        <v>349</v>
      </c>
      <c r="N10" s="329">
        <v>377</v>
      </c>
      <c r="O10" s="330">
        <v>359</v>
      </c>
      <c r="P10" s="339">
        <v>425</v>
      </c>
      <c r="Q10" s="329">
        <v>407</v>
      </c>
      <c r="R10" s="329">
        <v>501</v>
      </c>
      <c r="S10" s="332">
        <v>526</v>
      </c>
      <c r="T10" s="331">
        <v>543</v>
      </c>
      <c r="U10" s="332">
        <v>619</v>
      </c>
      <c r="V10" s="332">
        <v>668</v>
      </c>
      <c r="W10" s="332">
        <v>717</v>
      </c>
      <c r="X10" s="331">
        <v>630</v>
      </c>
      <c r="Y10" s="332">
        <v>1383</v>
      </c>
      <c r="Z10" s="332">
        <v>1367</v>
      </c>
      <c r="AA10" s="332">
        <v>1400</v>
      </c>
      <c r="AB10" s="331">
        <v>1374</v>
      </c>
      <c r="AC10" s="332">
        <v>1359</v>
      </c>
      <c r="AD10" s="332">
        <v>1443</v>
      </c>
      <c r="AE10" s="332">
        <v>1469</v>
      </c>
      <c r="AF10" s="331">
        <v>1469</v>
      </c>
      <c r="AG10" s="332">
        <v>1666</v>
      </c>
      <c r="AH10" s="332">
        <v>1641</v>
      </c>
      <c r="AI10" s="332">
        <v>1820</v>
      </c>
      <c r="AJ10" s="331">
        <v>1526</v>
      </c>
      <c r="AK10" s="332">
        <v>1729</v>
      </c>
      <c r="AL10" s="332">
        <v>1579</v>
      </c>
      <c r="AM10" s="332">
        <v>1535</v>
      </c>
      <c r="AN10" s="331">
        <v>1509</v>
      </c>
      <c r="AO10" s="332">
        <v>1597</v>
      </c>
      <c r="AP10" s="332">
        <v>1600</v>
      </c>
      <c r="AQ10" s="332">
        <v>1553</v>
      </c>
      <c r="AR10" s="331">
        <v>1576</v>
      </c>
      <c r="AS10" s="332">
        <v>1363</v>
      </c>
      <c r="AT10" s="332">
        <v>1437</v>
      </c>
      <c r="AU10" s="332">
        <v>1430</v>
      </c>
    </row>
    <row r="11" spans="1:47" ht="12.75" x14ac:dyDescent="0.2">
      <c r="A11" s="340" t="s">
        <v>412</v>
      </c>
      <c r="B11" s="341">
        <v>8612</v>
      </c>
      <c r="C11" s="342">
        <v>8701</v>
      </c>
      <c r="D11" s="341">
        <v>8227</v>
      </c>
      <c r="E11" s="341">
        <v>9196</v>
      </c>
      <c r="F11" s="341">
        <v>11890</v>
      </c>
      <c r="G11" s="341">
        <v>11573</v>
      </c>
      <c r="H11" s="341">
        <v>15681</v>
      </c>
      <c r="I11" s="341">
        <v>23305</v>
      </c>
      <c r="J11" s="341">
        <v>26664</v>
      </c>
      <c r="K11" s="341">
        <v>38385</v>
      </c>
      <c r="L11" s="318"/>
      <c r="M11" s="341">
        <v>8698</v>
      </c>
      <c r="N11" s="341">
        <v>8543</v>
      </c>
      <c r="O11" s="342">
        <v>8389</v>
      </c>
      <c r="P11" s="343">
        <v>8227</v>
      </c>
      <c r="Q11" s="341">
        <v>8903</v>
      </c>
      <c r="R11" s="341">
        <v>9385</v>
      </c>
      <c r="S11" s="341">
        <v>9046</v>
      </c>
      <c r="T11" s="343">
        <v>9196</v>
      </c>
      <c r="U11" s="341">
        <v>11853</v>
      </c>
      <c r="V11" s="341">
        <v>12329</v>
      </c>
      <c r="W11" s="341">
        <v>12387</v>
      </c>
      <c r="X11" s="343">
        <v>11890</v>
      </c>
      <c r="Y11" s="341">
        <v>12602</v>
      </c>
      <c r="Z11" s="341">
        <v>12169</v>
      </c>
      <c r="AA11" s="341">
        <v>12020</v>
      </c>
      <c r="AB11" s="343">
        <v>11573</v>
      </c>
      <c r="AC11" s="341">
        <v>11958</v>
      </c>
      <c r="AD11" s="341">
        <v>13951</v>
      </c>
      <c r="AE11" s="341">
        <v>14642</v>
      </c>
      <c r="AF11" s="343">
        <v>15681</v>
      </c>
      <c r="AG11" s="341">
        <v>16228</v>
      </c>
      <c r="AH11" s="341">
        <v>17436</v>
      </c>
      <c r="AI11" s="341">
        <v>18878</v>
      </c>
      <c r="AJ11" s="343">
        <v>23305</v>
      </c>
      <c r="AK11" s="341">
        <v>26567</v>
      </c>
      <c r="AL11" s="341">
        <v>28050</v>
      </c>
      <c r="AM11" s="341">
        <v>27705</v>
      </c>
      <c r="AN11" s="343">
        <v>26664</v>
      </c>
      <c r="AO11" s="341">
        <v>27537</v>
      </c>
      <c r="AP11" s="341">
        <v>35785</v>
      </c>
      <c r="AQ11" s="341">
        <v>37085</v>
      </c>
      <c r="AR11" s="343">
        <v>38385</v>
      </c>
      <c r="AS11" s="341">
        <v>35155</v>
      </c>
      <c r="AT11" s="341">
        <v>35006</v>
      </c>
      <c r="AU11" s="341">
        <v>35035</v>
      </c>
    </row>
    <row r="12" spans="1:47" ht="12.75" x14ac:dyDescent="0.2">
      <c r="A12" s="328" t="s">
        <v>413</v>
      </c>
      <c r="B12" s="329">
        <v>7153</v>
      </c>
      <c r="C12" s="330">
        <v>7061</v>
      </c>
      <c r="D12" s="329">
        <v>8440</v>
      </c>
      <c r="E12" s="329">
        <v>10516</v>
      </c>
      <c r="F12" s="329">
        <v>10508</v>
      </c>
      <c r="G12" s="329">
        <v>8930</v>
      </c>
      <c r="H12" s="329">
        <v>11861</v>
      </c>
      <c r="I12" s="329">
        <v>16945</v>
      </c>
      <c r="J12" s="329">
        <v>18747</v>
      </c>
      <c r="K12" s="329">
        <v>19191</v>
      </c>
      <c r="L12" s="318"/>
      <c r="M12" s="329">
        <v>7655</v>
      </c>
      <c r="N12" s="329">
        <v>7945</v>
      </c>
      <c r="O12" s="330">
        <v>7934</v>
      </c>
      <c r="P12" s="339">
        <v>8440</v>
      </c>
      <c r="Q12" s="329">
        <v>9746</v>
      </c>
      <c r="R12" s="329">
        <v>10664</v>
      </c>
      <c r="S12" s="329">
        <v>10789</v>
      </c>
      <c r="T12" s="339">
        <v>10516</v>
      </c>
      <c r="U12" s="329">
        <v>11207</v>
      </c>
      <c r="V12" s="329">
        <v>11285</v>
      </c>
      <c r="W12" s="329">
        <v>11392</v>
      </c>
      <c r="X12" s="339">
        <v>10508</v>
      </c>
      <c r="Y12" s="329">
        <v>10933</v>
      </c>
      <c r="Z12" s="329">
        <v>10531</v>
      </c>
      <c r="AA12" s="329">
        <v>9821</v>
      </c>
      <c r="AB12" s="339">
        <v>8930</v>
      </c>
      <c r="AC12" s="329">
        <v>9808</v>
      </c>
      <c r="AD12" s="329">
        <v>10271</v>
      </c>
      <c r="AE12" s="329">
        <v>11199</v>
      </c>
      <c r="AF12" s="339">
        <v>11861</v>
      </c>
      <c r="AG12" s="329">
        <v>13245</v>
      </c>
      <c r="AH12" s="329">
        <v>15119</v>
      </c>
      <c r="AI12" s="329">
        <v>16634</v>
      </c>
      <c r="AJ12" s="339">
        <v>16945</v>
      </c>
      <c r="AK12" s="329">
        <v>18930</v>
      </c>
      <c r="AL12" s="329">
        <v>20157</v>
      </c>
      <c r="AM12" s="329">
        <v>20031</v>
      </c>
      <c r="AN12" s="339">
        <v>18747</v>
      </c>
      <c r="AO12" s="329">
        <v>20592</v>
      </c>
      <c r="AP12" s="329">
        <v>21373</v>
      </c>
      <c r="AQ12" s="329">
        <v>20202</v>
      </c>
      <c r="AR12" s="339">
        <v>19191</v>
      </c>
      <c r="AS12" s="329">
        <v>18273</v>
      </c>
      <c r="AT12" s="329">
        <v>18018</v>
      </c>
      <c r="AU12" s="329">
        <v>18262</v>
      </c>
    </row>
    <row r="13" spans="1:47" ht="12.75" x14ac:dyDescent="0.2">
      <c r="A13" s="328" t="s">
        <v>414</v>
      </c>
      <c r="B13" s="329">
        <v>5203</v>
      </c>
      <c r="C13" s="330">
        <v>5701</v>
      </c>
      <c r="D13" s="329">
        <v>6271</v>
      </c>
      <c r="E13" s="329">
        <v>8005</v>
      </c>
      <c r="F13" s="329">
        <v>7287</v>
      </c>
      <c r="G13" s="329">
        <v>6045</v>
      </c>
      <c r="H13" s="329">
        <v>7174</v>
      </c>
      <c r="I13" s="329">
        <v>9581</v>
      </c>
      <c r="J13" s="329">
        <v>10455</v>
      </c>
      <c r="K13" s="329">
        <v>12424</v>
      </c>
      <c r="L13" s="318"/>
      <c r="M13" s="329">
        <v>5944</v>
      </c>
      <c r="N13" s="329">
        <v>5857</v>
      </c>
      <c r="O13" s="330">
        <v>5707</v>
      </c>
      <c r="P13" s="339">
        <v>6271</v>
      </c>
      <c r="Q13" s="329">
        <v>6909</v>
      </c>
      <c r="R13" s="329">
        <v>7898</v>
      </c>
      <c r="S13" s="329">
        <v>7821</v>
      </c>
      <c r="T13" s="339">
        <v>8005</v>
      </c>
      <c r="U13" s="329">
        <v>8501</v>
      </c>
      <c r="V13" s="329">
        <v>8757</v>
      </c>
      <c r="W13" s="329">
        <v>8068</v>
      </c>
      <c r="X13" s="339">
        <v>7287</v>
      </c>
      <c r="Y13" s="329">
        <v>7300</v>
      </c>
      <c r="Z13" s="329">
        <v>6139</v>
      </c>
      <c r="AA13" s="329">
        <v>6197</v>
      </c>
      <c r="AB13" s="339">
        <v>6045</v>
      </c>
      <c r="AC13" s="329">
        <v>6391</v>
      </c>
      <c r="AD13" s="329">
        <v>6669</v>
      </c>
      <c r="AE13" s="329">
        <v>6765</v>
      </c>
      <c r="AF13" s="339">
        <v>7174</v>
      </c>
      <c r="AG13" s="329">
        <v>8225</v>
      </c>
      <c r="AH13" s="329">
        <v>8381</v>
      </c>
      <c r="AI13" s="329">
        <v>9174</v>
      </c>
      <c r="AJ13" s="339">
        <v>9581</v>
      </c>
      <c r="AK13" s="329">
        <v>10088</v>
      </c>
      <c r="AL13" s="329">
        <v>11082</v>
      </c>
      <c r="AM13" s="329">
        <v>10832</v>
      </c>
      <c r="AN13" s="339">
        <v>10455</v>
      </c>
      <c r="AO13" s="329">
        <v>10607</v>
      </c>
      <c r="AP13" s="329">
        <v>11271</v>
      </c>
      <c r="AQ13" s="329">
        <v>10883</v>
      </c>
      <c r="AR13" s="339">
        <v>12424</v>
      </c>
      <c r="AS13" s="329">
        <v>11382</v>
      </c>
      <c r="AT13" s="329">
        <v>11790</v>
      </c>
      <c r="AU13" s="329">
        <v>11343</v>
      </c>
    </row>
    <row r="14" spans="1:47" ht="12.75" x14ac:dyDescent="0.2">
      <c r="A14" s="328" t="s">
        <v>415</v>
      </c>
      <c r="B14" s="329">
        <v>919</v>
      </c>
      <c r="C14" s="330">
        <v>877</v>
      </c>
      <c r="D14" s="329">
        <v>1362</v>
      </c>
      <c r="E14" s="329">
        <v>1289</v>
      </c>
      <c r="F14" s="329">
        <v>1597</v>
      </c>
      <c r="G14" s="329">
        <v>1414</v>
      </c>
      <c r="H14" s="329">
        <v>2057</v>
      </c>
      <c r="I14" s="329">
        <v>3195</v>
      </c>
      <c r="J14" s="329">
        <v>3093</v>
      </c>
      <c r="K14" s="329">
        <v>3868</v>
      </c>
      <c r="L14" s="318"/>
      <c r="M14" s="329">
        <v>985</v>
      </c>
      <c r="N14" s="329">
        <v>1066</v>
      </c>
      <c r="O14" s="330">
        <v>984</v>
      </c>
      <c r="P14" s="339">
        <v>1362</v>
      </c>
      <c r="Q14" s="329">
        <v>1199</v>
      </c>
      <c r="R14" s="329">
        <v>1259</v>
      </c>
      <c r="S14" s="329">
        <v>1277</v>
      </c>
      <c r="T14" s="339">
        <v>1289</v>
      </c>
      <c r="U14" s="329">
        <v>1232</v>
      </c>
      <c r="V14" s="329">
        <v>1386</v>
      </c>
      <c r="W14" s="329">
        <v>1340</v>
      </c>
      <c r="X14" s="339">
        <v>1597</v>
      </c>
      <c r="Y14" s="329">
        <v>1553</v>
      </c>
      <c r="Z14" s="329">
        <v>1498</v>
      </c>
      <c r="AA14" s="329">
        <v>1387</v>
      </c>
      <c r="AB14" s="339">
        <v>1414</v>
      </c>
      <c r="AC14" s="329">
        <v>1397</v>
      </c>
      <c r="AD14" s="329">
        <v>1681</v>
      </c>
      <c r="AE14" s="329">
        <v>1925</v>
      </c>
      <c r="AF14" s="339">
        <v>2057</v>
      </c>
      <c r="AG14" s="329">
        <v>2437</v>
      </c>
      <c r="AH14" s="329">
        <v>2760</v>
      </c>
      <c r="AI14" s="329">
        <v>3189</v>
      </c>
      <c r="AJ14" s="339">
        <v>3195</v>
      </c>
      <c r="AK14" s="329">
        <v>3331</v>
      </c>
      <c r="AL14" s="329">
        <v>3753</v>
      </c>
      <c r="AM14" s="329">
        <v>3390</v>
      </c>
      <c r="AN14" s="339">
        <v>3093</v>
      </c>
      <c r="AO14" s="329">
        <v>3131</v>
      </c>
      <c r="AP14" s="329">
        <v>3429</v>
      </c>
      <c r="AQ14" s="329">
        <v>3764</v>
      </c>
      <c r="AR14" s="339">
        <v>3868</v>
      </c>
      <c r="AS14" s="329">
        <v>3833</v>
      </c>
      <c r="AT14" s="329">
        <v>4353</v>
      </c>
      <c r="AU14" s="329">
        <v>4163</v>
      </c>
    </row>
    <row r="15" spans="1:47" ht="12.75" x14ac:dyDescent="0.2">
      <c r="A15" s="328" t="s">
        <v>416</v>
      </c>
      <c r="B15" s="329">
        <v>152</v>
      </c>
      <c r="C15" s="330">
        <v>63</v>
      </c>
      <c r="D15" s="329">
        <v>287</v>
      </c>
      <c r="E15" s="329">
        <v>333</v>
      </c>
      <c r="F15" s="329">
        <v>353</v>
      </c>
      <c r="G15" s="329">
        <v>189</v>
      </c>
      <c r="H15" s="329">
        <v>190</v>
      </c>
      <c r="I15" s="329">
        <v>315</v>
      </c>
      <c r="J15" s="329">
        <v>721</v>
      </c>
      <c r="K15" s="329">
        <v>1059</v>
      </c>
      <c r="L15" s="318"/>
      <c r="M15" s="329">
        <v>90</v>
      </c>
      <c r="N15" s="329">
        <v>140</v>
      </c>
      <c r="O15" s="330">
        <v>111</v>
      </c>
      <c r="P15" s="339">
        <v>287</v>
      </c>
      <c r="Q15" s="329">
        <v>330</v>
      </c>
      <c r="R15" s="329">
        <v>385</v>
      </c>
      <c r="S15" s="329">
        <v>576</v>
      </c>
      <c r="T15" s="339">
        <v>333</v>
      </c>
      <c r="U15" s="329">
        <v>412</v>
      </c>
      <c r="V15" s="329">
        <v>431</v>
      </c>
      <c r="W15" s="329">
        <v>472</v>
      </c>
      <c r="X15" s="339">
        <v>353</v>
      </c>
      <c r="Y15" s="329">
        <v>144</v>
      </c>
      <c r="Z15" s="329">
        <v>190</v>
      </c>
      <c r="AA15" s="329">
        <v>176</v>
      </c>
      <c r="AB15" s="339">
        <v>189</v>
      </c>
      <c r="AC15" s="329">
        <v>213</v>
      </c>
      <c r="AD15" s="329">
        <v>242</v>
      </c>
      <c r="AE15" s="329">
        <v>213</v>
      </c>
      <c r="AF15" s="339">
        <v>190</v>
      </c>
      <c r="AG15" s="329">
        <v>159</v>
      </c>
      <c r="AH15" s="329">
        <v>343</v>
      </c>
      <c r="AI15" s="329">
        <v>304</v>
      </c>
      <c r="AJ15" s="339">
        <v>315</v>
      </c>
      <c r="AK15" s="329">
        <v>292</v>
      </c>
      <c r="AL15" s="329">
        <v>592</v>
      </c>
      <c r="AM15" s="329">
        <v>698</v>
      </c>
      <c r="AN15" s="339">
        <v>721</v>
      </c>
      <c r="AO15" s="329">
        <v>708</v>
      </c>
      <c r="AP15" s="329">
        <v>1077</v>
      </c>
      <c r="AQ15" s="329">
        <v>1187</v>
      </c>
      <c r="AR15" s="339">
        <v>1059</v>
      </c>
      <c r="AS15" s="329">
        <v>1430</v>
      </c>
      <c r="AT15" s="329">
        <v>1181</v>
      </c>
      <c r="AU15" s="329">
        <v>1239</v>
      </c>
    </row>
    <row r="16" spans="1:47" ht="12.75" x14ac:dyDescent="0.2">
      <c r="A16" s="328" t="s">
        <v>417</v>
      </c>
      <c r="B16" s="329">
        <v>5918</v>
      </c>
      <c r="C16" s="330">
        <v>7100</v>
      </c>
      <c r="D16" s="329">
        <v>1152</v>
      </c>
      <c r="E16" s="329">
        <v>944</v>
      </c>
      <c r="F16" s="329">
        <v>862</v>
      </c>
      <c r="G16" s="329">
        <v>682</v>
      </c>
      <c r="H16" s="329">
        <v>828</v>
      </c>
      <c r="I16" s="329">
        <v>1010</v>
      </c>
      <c r="J16" s="329">
        <v>1703</v>
      </c>
      <c r="K16" s="329">
        <v>1483</v>
      </c>
      <c r="L16" s="318"/>
      <c r="M16" s="329">
        <v>5698</v>
      </c>
      <c r="N16" s="329">
        <v>6804</v>
      </c>
      <c r="O16" s="330">
        <v>3769</v>
      </c>
      <c r="P16" s="339">
        <v>1152</v>
      </c>
      <c r="Q16" s="329">
        <v>1123</v>
      </c>
      <c r="R16" s="329">
        <v>1228</v>
      </c>
      <c r="S16" s="329">
        <v>1029</v>
      </c>
      <c r="T16" s="339">
        <v>944</v>
      </c>
      <c r="U16" s="329">
        <v>1086</v>
      </c>
      <c r="V16" s="329">
        <v>1077</v>
      </c>
      <c r="W16" s="329">
        <v>1052</v>
      </c>
      <c r="X16" s="339">
        <v>862</v>
      </c>
      <c r="Y16" s="329">
        <v>932</v>
      </c>
      <c r="Z16" s="329">
        <v>792</v>
      </c>
      <c r="AA16" s="329">
        <v>783</v>
      </c>
      <c r="AB16" s="339">
        <v>682</v>
      </c>
      <c r="AC16" s="329">
        <v>893</v>
      </c>
      <c r="AD16" s="329">
        <v>772</v>
      </c>
      <c r="AE16" s="329">
        <v>770</v>
      </c>
      <c r="AF16" s="339">
        <v>828</v>
      </c>
      <c r="AG16" s="329">
        <v>908</v>
      </c>
      <c r="AH16" s="329">
        <v>1026</v>
      </c>
      <c r="AI16" s="329">
        <v>1527</v>
      </c>
      <c r="AJ16" s="339">
        <v>1010</v>
      </c>
      <c r="AK16" s="329">
        <v>1406</v>
      </c>
      <c r="AL16" s="329">
        <v>1613</v>
      </c>
      <c r="AM16" s="329">
        <v>1559</v>
      </c>
      <c r="AN16" s="339">
        <v>1703</v>
      </c>
      <c r="AO16" s="329">
        <v>1480</v>
      </c>
      <c r="AP16" s="329">
        <v>1483</v>
      </c>
      <c r="AQ16" s="329">
        <v>1315</v>
      </c>
      <c r="AR16" s="339">
        <v>1483</v>
      </c>
      <c r="AS16" s="329">
        <v>1670</v>
      </c>
      <c r="AT16" s="329">
        <v>1345</v>
      </c>
      <c r="AU16" s="329">
        <v>1283</v>
      </c>
    </row>
    <row r="17" spans="1:47" ht="12.75" x14ac:dyDescent="0.2">
      <c r="A17" s="328" t="s">
        <v>418</v>
      </c>
      <c r="B17" s="329">
        <v>461</v>
      </c>
      <c r="C17" s="330">
        <v>481</v>
      </c>
      <c r="D17" s="329">
        <v>1808</v>
      </c>
      <c r="E17" s="329">
        <v>5872</v>
      </c>
      <c r="F17" s="329">
        <v>8540</v>
      </c>
      <c r="G17" s="329">
        <v>15053</v>
      </c>
      <c r="H17" s="329">
        <v>10792</v>
      </c>
      <c r="I17" s="329">
        <v>7326</v>
      </c>
      <c r="J17" s="329">
        <v>6401</v>
      </c>
      <c r="K17" s="329">
        <v>7179</v>
      </c>
      <c r="L17" s="318"/>
      <c r="M17" s="329">
        <v>615</v>
      </c>
      <c r="N17" s="329">
        <v>610</v>
      </c>
      <c r="O17" s="330">
        <v>728</v>
      </c>
      <c r="P17" s="339">
        <v>1808</v>
      </c>
      <c r="Q17" s="329">
        <v>2255</v>
      </c>
      <c r="R17" s="329">
        <v>4205</v>
      </c>
      <c r="S17" s="329">
        <v>3949</v>
      </c>
      <c r="T17" s="339">
        <v>5872</v>
      </c>
      <c r="U17" s="329">
        <v>5371</v>
      </c>
      <c r="V17" s="329">
        <v>4883</v>
      </c>
      <c r="W17" s="329">
        <v>6814</v>
      </c>
      <c r="X17" s="339">
        <v>8540</v>
      </c>
      <c r="Y17" s="329">
        <v>10225</v>
      </c>
      <c r="Z17" s="329">
        <v>13005</v>
      </c>
      <c r="AA17" s="329">
        <v>14250</v>
      </c>
      <c r="AB17" s="339">
        <v>15053</v>
      </c>
      <c r="AC17" s="329">
        <v>16191</v>
      </c>
      <c r="AD17" s="329">
        <v>10931</v>
      </c>
      <c r="AE17" s="329">
        <v>11745</v>
      </c>
      <c r="AF17" s="339">
        <v>10792</v>
      </c>
      <c r="AG17" s="329">
        <v>11207</v>
      </c>
      <c r="AH17" s="329">
        <v>10380</v>
      </c>
      <c r="AI17" s="329">
        <v>11879</v>
      </c>
      <c r="AJ17" s="339">
        <v>7326</v>
      </c>
      <c r="AK17" s="329">
        <v>4587</v>
      </c>
      <c r="AL17" s="329">
        <v>4949</v>
      </c>
      <c r="AM17" s="329">
        <v>6330</v>
      </c>
      <c r="AN17" s="339">
        <v>6401</v>
      </c>
      <c r="AO17" s="329">
        <v>13879</v>
      </c>
      <c r="AP17" s="329">
        <v>6598</v>
      </c>
      <c r="AQ17" s="329">
        <v>7129</v>
      </c>
      <c r="AR17" s="339">
        <v>7179</v>
      </c>
      <c r="AS17" s="329">
        <v>9107</v>
      </c>
      <c r="AT17" s="329">
        <v>7659</v>
      </c>
      <c r="AU17" s="329">
        <v>10050</v>
      </c>
    </row>
    <row r="18" spans="1:47" ht="12.75" x14ac:dyDescent="0.2">
      <c r="A18" s="328" t="s">
        <v>419</v>
      </c>
      <c r="B18" s="344" t="s">
        <v>195</v>
      </c>
      <c r="C18" s="344" t="s">
        <v>195</v>
      </c>
      <c r="D18" s="344" t="s">
        <v>195</v>
      </c>
      <c r="E18" s="344" t="s">
        <v>195</v>
      </c>
      <c r="F18" s="344" t="s">
        <v>195</v>
      </c>
      <c r="G18" s="344" t="s">
        <v>195</v>
      </c>
      <c r="H18" s="344" t="s">
        <v>195</v>
      </c>
      <c r="I18" s="344">
        <v>103</v>
      </c>
      <c r="J18" s="344">
        <v>0</v>
      </c>
      <c r="K18" s="344" t="s">
        <v>195</v>
      </c>
      <c r="L18" s="318"/>
      <c r="M18" s="344" t="s">
        <v>195</v>
      </c>
      <c r="N18" s="344" t="s">
        <v>195</v>
      </c>
      <c r="O18" s="344" t="s">
        <v>195</v>
      </c>
      <c r="P18" s="345" t="s">
        <v>195</v>
      </c>
      <c r="Q18" s="344" t="s">
        <v>195</v>
      </c>
      <c r="R18" s="344" t="s">
        <v>195</v>
      </c>
      <c r="S18" s="344" t="s">
        <v>195</v>
      </c>
      <c r="T18" s="345" t="s">
        <v>195</v>
      </c>
      <c r="U18" s="344" t="s">
        <v>195</v>
      </c>
      <c r="V18" s="344" t="s">
        <v>195</v>
      </c>
      <c r="W18" s="344" t="s">
        <v>195</v>
      </c>
      <c r="X18" s="345" t="s">
        <v>195</v>
      </c>
      <c r="Y18" s="344" t="s">
        <v>195</v>
      </c>
      <c r="Z18" s="344" t="s">
        <v>195</v>
      </c>
      <c r="AA18" s="344" t="s">
        <v>195</v>
      </c>
      <c r="AB18" s="345" t="s">
        <v>195</v>
      </c>
      <c r="AC18" s="344" t="s">
        <v>195</v>
      </c>
      <c r="AD18" s="344" t="s">
        <v>195</v>
      </c>
      <c r="AE18" s="344" t="s">
        <v>195</v>
      </c>
      <c r="AF18" s="345" t="s">
        <v>195</v>
      </c>
      <c r="AG18" s="344" t="s">
        <v>195</v>
      </c>
      <c r="AH18" s="329">
        <v>98</v>
      </c>
      <c r="AI18" s="329">
        <v>100</v>
      </c>
      <c r="AJ18" s="345">
        <v>103</v>
      </c>
      <c r="AK18" s="344">
        <v>101</v>
      </c>
      <c r="AL18" s="329">
        <v>98</v>
      </c>
      <c r="AM18" s="329">
        <v>95</v>
      </c>
      <c r="AN18" s="345" t="s">
        <v>195</v>
      </c>
      <c r="AO18" s="344" t="s">
        <v>195</v>
      </c>
      <c r="AP18" s="344" t="s">
        <v>195</v>
      </c>
      <c r="AQ18" s="344" t="s">
        <v>195</v>
      </c>
      <c r="AR18" s="345" t="s">
        <v>195</v>
      </c>
      <c r="AS18" s="344" t="s">
        <v>195</v>
      </c>
      <c r="AT18" s="344" t="s">
        <v>195</v>
      </c>
      <c r="AU18" s="344">
        <v>0</v>
      </c>
    </row>
    <row r="19" spans="1:47" ht="12.75" x14ac:dyDescent="0.2">
      <c r="A19" s="340" t="s">
        <v>420</v>
      </c>
      <c r="B19" s="341">
        <v>19806</v>
      </c>
      <c r="C19" s="342">
        <v>21283</v>
      </c>
      <c r="D19" s="341">
        <v>19320</v>
      </c>
      <c r="E19" s="341">
        <v>26959</v>
      </c>
      <c r="F19" s="341">
        <v>29147</v>
      </c>
      <c r="G19" s="341">
        <v>32313</v>
      </c>
      <c r="H19" s="341">
        <v>32902</v>
      </c>
      <c r="I19" s="341">
        <v>38475</v>
      </c>
      <c r="J19" s="341">
        <v>41120</v>
      </c>
      <c r="K19" s="341">
        <v>45204</v>
      </c>
      <c r="L19" s="318"/>
      <c r="M19" s="341">
        <v>20987</v>
      </c>
      <c r="N19" s="341">
        <v>22422</v>
      </c>
      <c r="O19" s="342">
        <v>19233</v>
      </c>
      <c r="P19" s="343">
        <v>19320</v>
      </c>
      <c r="Q19" s="341">
        <v>21562</v>
      </c>
      <c r="R19" s="341">
        <v>25639</v>
      </c>
      <c r="S19" s="341">
        <v>25441</v>
      </c>
      <c r="T19" s="343">
        <v>26959</v>
      </c>
      <c r="U19" s="341">
        <v>27809</v>
      </c>
      <c r="V19" s="341">
        <v>27819</v>
      </c>
      <c r="W19" s="341">
        <v>29138</v>
      </c>
      <c r="X19" s="343">
        <v>29147</v>
      </c>
      <c r="Y19" s="341">
        <v>31087</v>
      </c>
      <c r="Z19" s="341">
        <v>32155</v>
      </c>
      <c r="AA19" s="341">
        <v>32614</v>
      </c>
      <c r="AB19" s="343">
        <v>32313</v>
      </c>
      <c r="AC19" s="341">
        <v>34893</v>
      </c>
      <c r="AD19" s="341">
        <v>30566</v>
      </c>
      <c r="AE19" s="341">
        <v>32617</v>
      </c>
      <c r="AF19" s="343">
        <v>32902</v>
      </c>
      <c r="AG19" s="341">
        <v>36181</v>
      </c>
      <c r="AH19" s="341">
        <v>38107</v>
      </c>
      <c r="AI19" s="341">
        <v>42807</v>
      </c>
      <c r="AJ19" s="343">
        <v>38475</v>
      </c>
      <c r="AK19" s="341">
        <v>38735</v>
      </c>
      <c r="AL19" s="341">
        <v>42244</v>
      </c>
      <c r="AM19" s="341">
        <v>42935</v>
      </c>
      <c r="AN19" s="343">
        <v>41120</v>
      </c>
      <c r="AO19" s="341">
        <v>50397</v>
      </c>
      <c r="AP19" s="341">
        <v>45231</v>
      </c>
      <c r="AQ19" s="341">
        <v>44480</v>
      </c>
      <c r="AR19" s="343">
        <v>45204</v>
      </c>
      <c r="AS19" s="341">
        <v>45695</v>
      </c>
      <c r="AT19" s="341">
        <v>44346</v>
      </c>
      <c r="AU19" s="341">
        <v>46340</v>
      </c>
    </row>
    <row r="20" spans="1:47" ht="12.75" x14ac:dyDescent="0.2">
      <c r="A20" s="340" t="s">
        <v>421</v>
      </c>
      <c r="B20" s="341">
        <v>28418</v>
      </c>
      <c r="C20" s="342">
        <v>29984</v>
      </c>
      <c r="D20" s="341">
        <v>27547</v>
      </c>
      <c r="E20" s="341">
        <v>36155</v>
      </c>
      <c r="F20" s="341">
        <v>41037</v>
      </c>
      <c r="G20" s="341">
        <v>43886</v>
      </c>
      <c r="H20" s="341">
        <v>48583</v>
      </c>
      <c r="I20" s="341">
        <v>61780</v>
      </c>
      <c r="J20" s="341">
        <v>67784</v>
      </c>
      <c r="K20" s="341">
        <v>83589</v>
      </c>
      <c r="L20" s="318"/>
      <c r="M20" s="341">
        <v>29685</v>
      </c>
      <c r="N20" s="341">
        <v>30965</v>
      </c>
      <c r="O20" s="342">
        <v>27622</v>
      </c>
      <c r="P20" s="343">
        <v>27547</v>
      </c>
      <c r="Q20" s="341">
        <v>30465</v>
      </c>
      <c r="R20" s="341">
        <v>35024</v>
      </c>
      <c r="S20" s="341">
        <v>34487</v>
      </c>
      <c r="T20" s="343">
        <v>36155</v>
      </c>
      <c r="U20" s="341">
        <v>39662</v>
      </c>
      <c r="V20" s="341">
        <v>40148</v>
      </c>
      <c r="W20" s="341">
        <v>41525</v>
      </c>
      <c r="X20" s="343">
        <v>41037</v>
      </c>
      <c r="Y20" s="341">
        <v>43689</v>
      </c>
      <c r="Z20" s="341">
        <v>44324</v>
      </c>
      <c r="AA20" s="341">
        <v>44634</v>
      </c>
      <c r="AB20" s="343">
        <v>43886</v>
      </c>
      <c r="AC20" s="341">
        <v>46851</v>
      </c>
      <c r="AD20" s="341">
        <v>44517</v>
      </c>
      <c r="AE20" s="341">
        <v>47259</v>
      </c>
      <c r="AF20" s="343">
        <v>48583</v>
      </c>
      <c r="AG20" s="341">
        <v>52409</v>
      </c>
      <c r="AH20" s="341">
        <v>55543</v>
      </c>
      <c r="AI20" s="341">
        <v>61685</v>
      </c>
      <c r="AJ20" s="343">
        <v>61780</v>
      </c>
      <c r="AK20" s="341">
        <v>65302</v>
      </c>
      <c r="AL20" s="341">
        <v>70294</v>
      </c>
      <c r="AM20" s="341">
        <v>70640</v>
      </c>
      <c r="AN20" s="343">
        <v>67784</v>
      </c>
      <c r="AO20" s="341">
        <v>77934</v>
      </c>
      <c r="AP20" s="341">
        <v>81016</v>
      </c>
      <c r="AQ20" s="341">
        <v>81565</v>
      </c>
      <c r="AR20" s="343">
        <v>83589</v>
      </c>
      <c r="AS20" s="341">
        <v>80850</v>
      </c>
      <c r="AT20" s="341">
        <v>79352</v>
      </c>
      <c r="AU20" s="341">
        <v>81375</v>
      </c>
    </row>
    <row r="21" spans="1:47" ht="12.75" x14ac:dyDescent="0.2">
      <c r="A21" s="328"/>
      <c r="B21" s="329"/>
      <c r="C21" s="330"/>
      <c r="D21" s="329"/>
      <c r="E21" s="329"/>
      <c r="F21" s="329"/>
      <c r="G21" s="329"/>
      <c r="H21" s="329"/>
      <c r="I21" s="329"/>
      <c r="J21" s="329"/>
      <c r="K21" s="329"/>
      <c r="L21" s="318"/>
      <c r="M21" s="329"/>
      <c r="N21" s="329"/>
      <c r="O21" s="330"/>
      <c r="P21" s="339"/>
      <c r="Q21" s="329"/>
      <c r="R21" s="329"/>
      <c r="S21" s="329"/>
      <c r="T21" s="339"/>
      <c r="U21" s="329"/>
      <c r="V21" s="329"/>
      <c r="W21" s="329"/>
      <c r="X21" s="339"/>
      <c r="Y21" s="329"/>
      <c r="Z21" s="329"/>
      <c r="AA21" s="329"/>
      <c r="AB21" s="339"/>
      <c r="AC21" s="329" t="s">
        <v>306</v>
      </c>
      <c r="AD21" s="329"/>
      <c r="AE21" s="329"/>
      <c r="AF21" s="339"/>
      <c r="AG21" s="329"/>
      <c r="AH21" s="329"/>
      <c r="AI21" s="329"/>
      <c r="AJ21" s="339"/>
      <c r="AK21" s="329"/>
      <c r="AL21" s="329"/>
      <c r="AM21" s="329"/>
      <c r="AN21" s="339"/>
      <c r="AO21" s="329"/>
      <c r="AP21" s="329"/>
      <c r="AQ21" s="329"/>
      <c r="AR21" s="339"/>
      <c r="AS21" s="329"/>
      <c r="AT21" s="329"/>
      <c r="AU21" s="329"/>
    </row>
    <row r="22" spans="1:47" ht="12.75" x14ac:dyDescent="0.2">
      <c r="A22" s="328" t="s">
        <v>422</v>
      </c>
      <c r="B22" s="329">
        <v>20</v>
      </c>
      <c r="C22" s="330">
        <v>20</v>
      </c>
      <c r="D22" s="329">
        <v>21</v>
      </c>
      <c r="E22" s="329">
        <v>500</v>
      </c>
      <c r="F22" s="329">
        <v>500</v>
      </c>
      <c r="G22" s="329">
        <v>500</v>
      </c>
      <c r="H22" s="329">
        <v>500</v>
      </c>
      <c r="I22" s="329">
        <v>500</v>
      </c>
      <c r="J22" s="329">
        <v>500</v>
      </c>
      <c r="K22" s="329">
        <v>500</v>
      </c>
      <c r="L22" s="318"/>
      <c r="M22" s="329">
        <v>20</v>
      </c>
      <c r="N22" s="329">
        <v>20</v>
      </c>
      <c r="O22" s="330">
        <v>20</v>
      </c>
      <c r="P22" s="339">
        <v>21</v>
      </c>
      <c r="Q22" s="329">
        <v>21</v>
      </c>
      <c r="R22" s="329">
        <v>500</v>
      </c>
      <c r="S22" s="329">
        <v>500</v>
      </c>
      <c r="T22" s="339">
        <v>500</v>
      </c>
      <c r="U22" s="329">
        <v>500</v>
      </c>
      <c r="V22" s="329">
        <v>500</v>
      </c>
      <c r="W22" s="329">
        <v>500</v>
      </c>
      <c r="X22" s="339">
        <v>500</v>
      </c>
      <c r="Y22" s="329">
        <v>500</v>
      </c>
      <c r="Z22" s="329">
        <v>500</v>
      </c>
      <c r="AA22" s="329">
        <v>500</v>
      </c>
      <c r="AB22" s="339">
        <v>500</v>
      </c>
      <c r="AC22" s="329">
        <v>500</v>
      </c>
      <c r="AD22" s="329">
        <v>500</v>
      </c>
      <c r="AE22" s="329">
        <v>500</v>
      </c>
      <c r="AF22" s="339">
        <v>500</v>
      </c>
      <c r="AG22" s="329">
        <v>500</v>
      </c>
      <c r="AH22" s="329">
        <v>500</v>
      </c>
      <c r="AI22" s="329">
        <v>500</v>
      </c>
      <c r="AJ22" s="339">
        <v>500</v>
      </c>
      <c r="AK22" s="329">
        <v>500</v>
      </c>
      <c r="AL22" s="329">
        <v>500</v>
      </c>
      <c r="AM22" s="329">
        <v>500</v>
      </c>
      <c r="AN22" s="339">
        <v>500</v>
      </c>
      <c r="AO22" s="329">
        <v>500</v>
      </c>
      <c r="AP22" s="329">
        <v>500</v>
      </c>
      <c r="AQ22" s="329">
        <v>500</v>
      </c>
      <c r="AR22" s="339">
        <v>500</v>
      </c>
      <c r="AS22" s="329">
        <v>500</v>
      </c>
      <c r="AT22" s="329">
        <v>500</v>
      </c>
      <c r="AU22" s="329">
        <v>500</v>
      </c>
    </row>
    <row r="23" spans="1:47" ht="12.75" x14ac:dyDescent="0.2">
      <c r="A23" s="328" t="s">
        <v>423</v>
      </c>
      <c r="B23" s="329">
        <v>14815</v>
      </c>
      <c r="C23" s="330">
        <v>15793</v>
      </c>
      <c r="D23" s="329">
        <v>12020</v>
      </c>
      <c r="E23" s="329">
        <v>18297</v>
      </c>
      <c r="F23" s="329">
        <v>22261</v>
      </c>
      <c r="G23" s="329">
        <v>23193</v>
      </c>
      <c r="H23" s="329">
        <v>25229</v>
      </c>
      <c r="I23" s="329">
        <v>32520</v>
      </c>
      <c r="J23" s="329">
        <v>36322</v>
      </c>
      <c r="K23" s="329">
        <v>42257</v>
      </c>
      <c r="L23" s="318"/>
      <c r="M23" s="329">
        <v>17321</v>
      </c>
      <c r="N23" s="329">
        <v>16130</v>
      </c>
      <c r="O23" s="330">
        <v>12495</v>
      </c>
      <c r="P23" s="339">
        <v>12020</v>
      </c>
      <c r="Q23" s="329">
        <v>16024</v>
      </c>
      <c r="R23" s="329">
        <v>16989</v>
      </c>
      <c r="S23" s="329">
        <v>16859</v>
      </c>
      <c r="T23" s="339">
        <v>18297</v>
      </c>
      <c r="U23" s="329">
        <v>20131</v>
      </c>
      <c r="V23" s="329">
        <v>19340</v>
      </c>
      <c r="W23" s="329">
        <v>21282</v>
      </c>
      <c r="X23" s="339">
        <v>22261</v>
      </c>
      <c r="Y23" s="329">
        <v>24157</v>
      </c>
      <c r="Z23" s="329">
        <v>22831</v>
      </c>
      <c r="AA23" s="329">
        <v>24009</v>
      </c>
      <c r="AB23" s="339">
        <v>23193</v>
      </c>
      <c r="AC23" s="329">
        <v>25654</v>
      </c>
      <c r="AD23" s="329">
        <v>20477</v>
      </c>
      <c r="AE23" s="329">
        <v>22745</v>
      </c>
      <c r="AF23" s="339">
        <v>25229</v>
      </c>
      <c r="AG23" s="329">
        <v>28254</v>
      </c>
      <c r="AH23" s="329">
        <v>28093</v>
      </c>
      <c r="AI23" s="329">
        <v>31260</v>
      </c>
      <c r="AJ23" s="339">
        <v>32520</v>
      </c>
      <c r="AK23" s="329">
        <v>34485</v>
      </c>
      <c r="AL23" s="329">
        <v>34200</v>
      </c>
      <c r="AM23" s="329">
        <v>36141</v>
      </c>
      <c r="AN23" s="339">
        <v>36322</v>
      </c>
      <c r="AO23" s="329">
        <v>39867</v>
      </c>
      <c r="AP23" s="329">
        <v>37198</v>
      </c>
      <c r="AQ23" s="329">
        <v>38725</v>
      </c>
      <c r="AR23" s="339">
        <v>42257</v>
      </c>
      <c r="AS23" s="329">
        <v>41602</v>
      </c>
      <c r="AT23" s="329">
        <v>38079</v>
      </c>
      <c r="AU23" s="329">
        <v>39878</v>
      </c>
    </row>
    <row r="24" spans="1:47" ht="12.75" x14ac:dyDescent="0.2">
      <c r="A24" s="346" t="s">
        <v>424</v>
      </c>
      <c r="B24" s="342">
        <v>14835</v>
      </c>
      <c r="C24" s="342">
        <v>15813</v>
      </c>
      <c r="D24" s="341">
        <v>12041</v>
      </c>
      <c r="E24" s="341">
        <v>18797</v>
      </c>
      <c r="F24" s="341">
        <v>22761</v>
      </c>
      <c r="G24" s="341">
        <v>23693</v>
      </c>
      <c r="H24" s="341">
        <v>25729</v>
      </c>
      <c r="I24" s="341">
        <v>33020</v>
      </c>
      <c r="J24" s="341">
        <v>36822</v>
      </c>
      <c r="K24" s="341">
        <v>42757</v>
      </c>
      <c r="L24" s="318"/>
      <c r="M24" s="341">
        <v>17341</v>
      </c>
      <c r="N24" s="341">
        <v>16150</v>
      </c>
      <c r="O24" s="342">
        <v>12515</v>
      </c>
      <c r="P24" s="343">
        <v>12041</v>
      </c>
      <c r="Q24" s="341">
        <v>16045</v>
      </c>
      <c r="R24" s="341">
        <v>17489</v>
      </c>
      <c r="S24" s="341">
        <v>17359</v>
      </c>
      <c r="T24" s="343">
        <v>18797</v>
      </c>
      <c r="U24" s="341">
        <v>20631</v>
      </c>
      <c r="V24" s="341">
        <v>19840</v>
      </c>
      <c r="W24" s="341">
        <v>21782</v>
      </c>
      <c r="X24" s="343">
        <v>22761</v>
      </c>
      <c r="Y24" s="341">
        <v>24657</v>
      </c>
      <c r="Z24" s="341">
        <v>23331</v>
      </c>
      <c r="AA24" s="341">
        <v>24509</v>
      </c>
      <c r="AB24" s="343">
        <v>23693</v>
      </c>
      <c r="AC24" s="341">
        <v>26154</v>
      </c>
      <c r="AD24" s="341">
        <v>20977</v>
      </c>
      <c r="AE24" s="341">
        <v>23245</v>
      </c>
      <c r="AF24" s="343">
        <v>25729</v>
      </c>
      <c r="AG24" s="341">
        <v>28754</v>
      </c>
      <c r="AH24" s="341">
        <v>28593</v>
      </c>
      <c r="AI24" s="341">
        <v>31760</v>
      </c>
      <c r="AJ24" s="343">
        <v>33020</v>
      </c>
      <c r="AK24" s="341">
        <v>34985</v>
      </c>
      <c r="AL24" s="341">
        <v>34700</v>
      </c>
      <c r="AM24" s="341">
        <v>36641</v>
      </c>
      <c r="AN24" s="343">
        <v>36822</v>
      </c>
      <c r="AO24" s="341">
        <v>40367</v>
      </c>
      <c r="AP24" s="341">
        <v>37698</v>
      </c>
      <c r="AQ24" s="341">
        <v>39225</v>
      </c>
      <c r="AR24" s="343">
        <v>42757</v>
      </c>
      <c r="AS24" s="341">
        <v>42102</v>
      </c>
      <c r="AT24" s="341">
        <v>38579</v>
      </c>
      <c r="AU24" s="341">
        <v>40378</v>
      </c>
    </row>
    <row r="25" spans="1:47" ht="12.75" x14ac:dyDescent="0.2">
      <c r="A25" s="328" t="s">
        <v>425</v>
      </c>
      <c r="B25" s="329">
        <v>94</v>
      </c>
      <c r="C25" s="330">
        <v>0</v>
      </c>
      <c r="D25" s="329">
        <v>6</v>
      </c>
      <c r="E25" s="329">
        <v>50</v>
      </c>
      <c r="F25" s="329">
        <v>52</v>
      </c>
      <c r="G25" s="329">
        <v>46</v>
      </c>
      <c r="H25" s="329">
        <v>56</v>
      </c>
      <c r="I25" s="329">
        <v>488</v>
      </c>
      <c r="J25" s="329">
        <v>388</v>
      </c>
      <c r="K25" s="329">
        <v>423</v>
      </c>
      <c r="L25" s="318"/>
      <c r="M25" s="329">
        <v>6</v>
      </c>
      <c r="N25" s="329">
        <v>6</v>
      </c>
      <c r="O25" s="330">
        <v>6</v>
      </c>
      <c r="P25" s="339">
        <v>6</v>
      </c>
      <c r="Q25" s="329">
        <v>45</v>
      </c>
      <c r="R25" s="329">
        <v>48</v>
      </c>
      <c r="S25" s="329">
        <v>47</v>
      </c>
      <c r="T25" s="339">
        <v>50</v>
      </c>
      <c r="U25" s="329">
        <v>54</v>
      </c>
      <c r="V25" s="329">
        <v>49</v>
      </c>
      <c r="W25" s="329">
        <v>52</v>
      </c>
      <c r="X25" s="339">
        <v>52</v>
      </c>
      <c r="Y25" s="329">
        <v>55</v>
      </c>
      <c r="Z25" s="329">
        <v>52</v>
      </c>
      <c r="AA25" s="329">
        <v>47</v>
      </c>
      <c r="AB25" s="339">
        <v>46</v>
      </c>
      <c r="AC25" s="329">
        <v>52</v>
      </c>
      <c r="AD25" s="329">
        <v>51</v>
      </c>
      <c r="AE25" s="329">
        <v>56</v>
      </c>
      <c r="AF25" s="339">
        <v>56</v>
      </c>
      <c r="AG25" s="329">
        <v>63</v>
      </c>
      <c r="AH25" s="329">
        <v>70</v>
      </c>
      <c r="AI25" s="329">
        <v>6</v>
      </c>
      <c r="AJ25" s="339">
        <v>488</v>
      </c>
      <c r="AK25" s="329">
        <v>479</v>
      </c>
      <c r="AL25" s="329">
        <v>505</v>
      </c>
      <c r="AM25" s="329">
        <v>502</v>
      </c>
      <c r="AN25" s="339">
        <v>388</v>
      </c>
      <c r="AO25" s="329">
        <v>397</v>
      </c>
      <c r="AP25" s="329">
        <v>406</v>
      </c>
      <c r="AQ25" s="329">
        <v>405</v>
      </c>
      <c r="AR25" s="339">
        <v>423</v>
      </c>
      <c r="AS25" s="329">
        <v>368</v>
      </c>
      <c r="AT25" s="329">
        <v>17</v>
      </c>
      <c r="AU25" s="329">
        <v>16</v>
      </c>
    </row>
    <row r="26" spans="1:47" ht="12.75" x14ac:dyDescent="0.2">
      <c r="A26" s="340" t="s">
        <v>426</v>
      </c>
      <c r="B26" s="341">
        <v>14929</v>
      </c>
      <c r="C26" s="342">
        <v>15813</v>
      </c>
      <c r="D26" s="341">
        <v>12047</v>
      </c>
      <c r="E26" s="341">
        <v>18847</v>
      </c>
      <c r="F26" s="341">
        <v>22813</v>
      </c>
      <c r="G26" s="341">
        <v>23739</v>
      </c>
      <c r="H26" s="341">
        <v>25785</v>
      </c>
      <c r="I26" s="341">
        <v>33508</v>
      </c>
      <c r="J26" s="341">
        <v>37210</v>
      </c>
      <c r="K26" s="341">
        <v>43180</v>
      </c>
      <c r="L26" s="318"/>
      <c r="M26" s="341">
        <v>17347</v>
      </c>
      <c r="N26" s="341">
        <v>16156</v>
      </c>
      <c r="O26" s="342">
        <v>12521</v>
      </c>
      <c r="P26" s="343">
        <v>12047</v>
      </c>
      <c r="Q26" s="341">
        <v>16090</v>
      </c>
      <c r="R26" s="341">
        <v>17537</v>
      </c>
      <c r="S26" s="341">
        <v>17406</v>
      </c>
      <c r="T26" s="343">
        <v>18847</v>
      </c>
      <c r="U26" s="341">
        <v>20685</v>
      </c>
      <c r="V26" s="341">
        <v>19889</v>
      </c>
      <c r="W26" s="341">
        <v>21834</v>
      </c>
      <c r="X26" s="343">
        <v>22813</v>
      </c>
      <c r="Y26" s="341">
        <v>24712</v>
      </c>
      <c r="Z26" s="341">
        <v>23383</v>
      </c>
      <c r="AA26" s="341">
        <v>24556</v>
      </c>
      <c r="AB26" s="343">
        <v>23739</v>
      </c>
      <c r="AC26" s="341">
        <v>26206</v>
      </c>
      <c r="AD26" s="341">
        <v>21028</v>
      </c>
      <c r="AE26" s="341">
        <v>23301</v>
      </c>
      <c r="AF26" s="343">
        <v>25785</v>
      </c>
      <c r="AG26" s="341">
        <v>28817</v>
      </c>
      <c r="AH26" s="341">
        <v>28663</v>
      </c>
      <c r="AI26" s="341">
        <v>31766</v>
      </c>
      <c r="AJ26" s="343">
        <v>33508</v>
      </c>
      <c r="AK26" s="341">
        <v>35464</v>
      </c>
      <c r="AL26" s="341">
        <v>35205</v>
      </c>
      <c r="AM26" s="341">
        <v>37143</v>
      </c>
      <c r="AN26" s="343">
        <v>37210</v>
      </c>
      <c r="AO26" s="341">
        <v>40764</v>
      </c>
      <c r="AP26" s="341">
        <v>38104</v>
      </c>
      <c r="AQ26" s="341">
        <v>39630</v>
      </c>
      <c r="AR26" s="343">
        <v>43180</v>
      </c>
      <c r="AS26" s="341">
        <v>42470</v>
      </c>
      <c r="AT26" s="341">
        <v>38596</v>
      </c>
      <c r="AU26" s="341">
        <v>40394</v>
      </c>
    </row>
    <row r="27" spans="1:47" ht="12.75" x14ac:dyDescent="0.2">
      <c r="A27" s="328" t="s">
        <v>427</v>
      </c>
      <c r="B27" s="329">
        <v>4169</v>
      </c>
      <c r="C27" s="330">
        <v>4193</v>
      </c>
      <c r="D27" s="329">
        <v>2250</v>
      </c>
      <c r="E27" s="329">
        <v>5095</v>
      </c>
      <c r="F27" s="329">
        <v>7724</v>
      </c>
      <c r="G27" s="329">
        <v>9491</v>
      </c>
      <c r="H27" s="329">
        <v>8562</v>
      </c>
      <c r="I27" s="329">
        <v>8877</v>
      </c>
      <c r="J27" s="329">
        <v>11822</v>
      </c>
      <c r="K27" s="329">
        <v>19612</v>
      </c>
      <c r="L27" s="318"/>
      <c r="M27" s="329">
        <v>4268</v>
      </c>
      <c r="N27" s="329">
        <v>5768</v>
      </c>
      <c r="O27" s="330">
        <v>6194</v>
      </c>
      <c r="P27" s="339">
        <v>2250</v>
      </c>
      <c r="Q27" s="329">
        <v>3868</v>
      </c>
      <c r="R27" s="329">
        <v>1179</v>
      </c>
      <c r="S27" s="329">
        <v>1097</v>
      </c>
      <c r="T27" s="339">
        <v>5095</v>
      </c>
      <c r="U27" s="329">
        <v>7828</v>
      </c>
      <c r="V27" s="329">
        <v>7848</v>
      </c>
      <c r="W27" s="329">
        <v>7877</v>
      </c>
      <c r="X27" s="339">
        <v>7724</v>
      </c>
      <c r="Y27" s="329">
        <v>7730</v>
      </c>
      <c r="Z27" s="329">
        <v>7686</v>
      </c>
      <c r="AA27" s="329">
        <v>7668</v>
      </c>
      <c r="AB27" s="339">
        <v>9491</v>
      </c>
      <c r="AC27" s="329">
        <v>9585</v>
      </c>
      <c r="AD27" s="329">
        <v>8527</v>
      </c>
      <c r="AE27" s="329">
        <v>8592</v>
      </c>
      <c r="AF27" s="339">
        <v>8562</v>
      </c>
      <c r="AG27" s="329">
        <v>8641</v>
      </c>
      <c r="AH27" s="329">
        <v>8788</v>
      </c>
      <c r="AI27" s="329">
        <v>9880</v>
      </c>
      <c r="AJ27" s="339">
        <v>8877</v>
      </c>
      <c r="AK27" s="329">
        <v>8813</v>
      </c>
      <c r="AL27" s="329">
        <v>10344</v>
      </c>
      <c r="AM27" s="329">
        <v>10798</v>
      </c>
      <c r="AN27" s="339">
        <v>11822</v>
      </c>
      <c r="AO27" s="329">
        <v>17694</v>
      </c>
      <c r="AP27" s="329">
        <v>17977</v>
      </c>
      <c r="AQ27" s="329">
        <v>18051</v>
      </c>
      <c r="AR27" s="339">
        <v>19612</v>
      </c>
      <c r="AS27" s="329">
        <v>18992</v>
      </c>
      <c r="AT27" s="329">
        <v>17067</v>
      </c>
      <c r="AU27" s="329">
        <v>17023</v>
      </c>
    </row>
    <row r="28" spans="1:47" ht="12.75" x14ac:dyDescent="0.2">
      <c r="A28" s="328" t="s">
        <v>428</v>
      </c>
      <c r="B28" s="329">
        <v>259</v>
      </c>
      <c r="C28" s="330">
        <v>253</v>
      </c>
      <c r="D28" s="329">
        <v>181</v>
      </c>
      <c r="E28" s="329">
        <v>283</v>
      </c>
      <c r="F28" s="329">
        <v>596</v>
      </c>
      <c r="G28" s="329">
        <v>806</v>
      </c>
      <c r="H28" s="329">
        <v>356</v>
      </c>
      <c r="I28" s="329">
        <v>149</v>
      </c>
      <c r="J28" s="329">
        <v>251</v>
      </c>
      <c r="K28" s="329">
        <v>201</v>
      </c>
      <c r="L28" s="318"/>
      <c r="M28" s="329">
        <v>187</v>
      </c>
      <c r="N28" s="329">
        <v>183</v>
      </c>
      <c r="O28" s="330">
        <v>177</v>
      </c>
      <c r="P28" s="339">
        <v>181</v>
      </c>
      <c r="Q28" s="329">
        <v>145</v>
      </c>
      <c r="R28" s="329">
        <v>176</v>
      </c>
      <c r="S28" s="329">
        <v>212</v>
      </c>
      <c r="T28" s="339">
        <v>283</v>
      </c>
      <c r="U28" s="329">
        <v>380</v>
      </c>
      <c r="V28" s="329">
        <v>460</v>
      </c>
      <c r="W28" s="329">
        <v>640</v>
      </c>
      <c r="X28" s="339">
        <v>596</v>
      </c>
      <c r="Y28" s="329">
        <v>540</v>
      </c>
      <c r="Z28" s="329">
        <v>656</v>
      </c>
      <c r="AA28" s="329">
        <v>545</v>
      </c>
      <c r="AB28" s="339">
        <v>806</v>
      </c>
      <c r="AC28" s="329">
        <v>553</v>
      </c>
      <c r="AD28" s="329">
        <v>612</v>
      </c>
      <c r="AE28" s="329">
        <v>405</v>
      </c>
      <c r="AF28" s="339">
        <v>356</v>
      </c>
      <c r="AG28" s="329">
        <v>116</v>
      </c>
      <c r="AH28" s="329">
        <v>118</v>
      </c>
      <c r="AI28" s="329">
        <v>127</v>
      </c>
      <c r="AJ28" s="339">
        <v>149</v>
      </c>
      <c r="AK28" s="329">
        <v>139</v>
      </c>
      <c r="AL28" s="329">
        <v>148</v>
      </c>
      <c r="AM28" s="329">
        <v>144</v>
      </c>
      <c r="AN28" s="339">
        <v>251</v>
      </c>
      <c r="AO28" s="329">
        <v>153</v>
      </c>
      <c r="AP28" s="329">
        <v>133</v>
      </c>
      <c r="AQ28" s="329">
        <v>134</v>
      </c>
      <c r="AR28" s="339">
        <v>201</v>
      </c>
      <c r="AS28" s="329">
        <v>169</v>
      </c>
      <c r="AT28" s="329">
        <v>171</v>
      </c>
      <c r="AU28" s="329">
        <v>169</v>
      </c>
    </row>
    <row r="29" spans="1:47" ht="12.75" x14ac:dyDescent="0.2">
      <c r="A29" s="328" t="s">
        <v>429</v>
      </c>
      <c r="B29" s="329">
        <v>140</v>
      </c>
      <c r="C29" s="330">
        <v>203</v>
      </c>
      <c r="D29" s="329">
        <v>289</v>
      </c>
      <c r="E29" s="329">
        <v>412</v>
      </c>
      <c r="F29" s="329">
        <v>423</v>
      </c>
      <c r="G29" s="329">
        <v>377</v>
      </c>
      <c r="H29" s="329">
        <v>657</v>
      </c>
      <c r="I29" s="329">
        <v>652</v>
      </c>
      <c r="J29" s="329">
        <v>576</v>
      </c>
      <c r="K29" s="329">
        <v>607</v>
      </c>
      <c r="L29" s="318"/>
      <c r="M29" s="329">
        <v>235</v>
      </c>
      <c r="N29" s="329">
        <v>269</v>
      </c>
      <c r="O29" s="330">
        <v>251</v>
      </c>
      <c r="P29" s="339">
        <v>289</v>
      </c>
      <c r="Q29" s="329">
        <v>283</v>
      </c>
      <c r="R29" s="329">
        <v>325</v>
      </c>
      <c r="S29" s="329">
        <v>418</v>
      </c>
      <c r="T29" s="339">
        <v>412</v>
      </c>
      <c r="U29" s="329">
        <v>442</v>
      </c>
      <c r="V29" s="329">
        <v>452</v>
      </c>
      <c r="W29" s="329">
        <v>399</v>
      </c>
      <c r="X29" s="339">
        <v>423</v>
      </c>
      <c r="Y29" s="329">
        <v>327</v>
      </c>
      <c r="Z29" s="329">
        <v>396</v>
      </c>
      <c r="AA29" s="329">
        <v>338</v>
      </c>
      <c r="AB29" s="339">
        <v>377</v>
      </c>
      <c r="AC29" s="329">
        <v>511</v>
      </c>
      <c r="AD29" s="329">
        <v>680</v>
      </c>
      <c r="AE29" s="329">
        <v>621</v>
      </c>
      <c r="AF29" s="339">
        <v>657</v>
      </c>
      <c r="AG29" s="329">
        <v>544</v>
      </c>
      <c r="AH29" s="329">
        <v>454</v>
      </c>
      <c r="AI29" s="329">
        <v>469</v>
      </c>
      <c r="AJ29" s="339">
        <v>652</v>
      </c>
      <c r="AK29" s="329">
        <v>697</v>
      </c>
      <c r="AL29" s="329">
        <v>690</v>
      </c>
      <c r="AM29" s="329">
        <v>598</v>
      </c>
      <c r="AN29" s="339">
        <v>576</v>
      </c>
      <c r="AO29" s="329">
        <v>607</v>
      </c>
      <c r="AP29" s="329">
        <v>563</v>
      </c>
      <c r="AQ29" s="329">
        <v>635</v>
      </c>
      <c r="AR29" s="339">
        <v>607</v>
      </c>
      <c r="AS29" s="329">
        <v>547</v>
      </c>
      <c r="AT29" s="329">
        <v>498</v>
      </c>
      <c r="AU29" s="329">
        <v>492</v>
      </c>
    </row>
    <row r="30" spans="1:47" ht="12.75" x14ac:dyDescent="0.2">
      <c r="A30" s="328" t="s">
        <v>430</v>
      </c>
      <c r="B30" s="344" t="s">
        <v>195</v>
      </c>
      <c r="C30" s="344" t="s">
        <v>195</v>
      </c>
      <c r="D30" s="344" t="s">
        <v>195</v>
      </c>
      <c r="E30" s="344" t="s">
        <v>195</v>
      </c>
      <c r="F30" s="344" t="s">
        <v>195</v>
      </c>
      <c r="G30" s="344">
        <v>606</v>
      </c>
      <c r="H30" s="344">
        <v>785</v>
      </c>
      <c r="I30" s="344">
        <v>1215</v>
      </c>
      <c r="J30" s="344">
        <v>922</v>
      </c>
      <c r="K30" s="344">
        <v>1737</v>
      </c>
      <c r="L30" s="318"/>
      <c r="M30" s="344" t="s">
        <v>195</v>
      </c>
      <c r="N30" s="344" t="s">
        <v>195</v>
      </c>
      <c r="O30" s="344" t="s">
        <v>195</v>
      </c>
      <c r="P30" s="345" t="s">
        <v>195</v>
      </c>
      <c r="Q30" s="344" t="s">
        <v>195</v>
      </c>
      <c r="R30" s="344" t="s">
        <v>195</v>
      </c>
      <c r="S30" s="344" t="s">
        <v>195</v>
      </c>
      <c r="T30" s="345" t="s">
        <v>195</v>
      </c>
      <c r="U30" s="344" t="s">
        <v>195</v>
      </c>
      <c r="V30" s="344" t="s">
        <v>195</v>
      </c>
      <c r="W30" s="344" t="s">
        <v>195</v>
      </c>
      <c r="X30" s="345" t="s">
        <v>195</v>
      </c>
      <c r="Y30" s="329">
        <v>730</v>
      </c>
      <c r="Z30" s="329">
        <v>662</v>
      </c>
      <c r="AA30" s="329">
        <v>697</v>
      </c>
      <c r="AB30" s="339">
        <v>606</v>
      </c>
      <c r="AC30" s="329">
        <v>560</v>
      </c>
      <c r="AD30" s="329">
        <v>729</v>
      </c>
      <c r="AE30" s="329">
        <v>730</v>
      </c>
      <c r="AF30" s="339">
        <v>785</v>
      </c>
      <c r="AG30" s="329">
        <v>825</v>
      </c>
      <c r="AH30" s="329">
        <v>872</v>
      </c>
      <c r="AI30" s="329">
        <v>973</v>
      </c>
      <c r="AJ30" s="339">
        <v>1215</v>
      </c>
      <c r="AK30" s="329">
        <v>1207</v>
      </c>
      <c r="AL30" s="329">
        <v>1048</v>
      </c>
      <c r="AM30" s="329">
        <v>953</v>
      </c>
      <c r="AN30" s="339">
        <v>922</v>
      </c>
      <c r="AO30" s="329">
        <v>955</v>
      </c>
      <c r="AP30" s="329">
        <v>1477</v>
      </c>
      <c r="AQ30" s="329">
        <v>1500</v>
      </c>
      <c r="AR30" s="339">
        <v>1737</v>
      </c>
      <c r="AS30" s="329">
        <v>1496</v>
      </c>
      <c r="AT30" s="329">
        <v>1322</v>
      </c>
      <c r="AU30" s="329">
        <v>1488</v>
      </c>
    </row>
    <row r="31" spans="1:47" ht="12.75" x14ac:dyDescent="0.2">
      <c r="A31" s="340" t="s">
        <v>431</v>
      </c>
      <c r="B31" s="341">
        <v>4568</v>
      </c>
      <c r="C31" s="342">
        <v>4649</v>
      </c>
      <c r="D31" s="341">
        <v>2720</v>
      </c>
      <c r="E31" s="341">
        <v>5790</v>
      </c>
      <c r="F31" s="341">
        <v>8743</v>
      </c>
      <c r="G31" s="341">
        <v>11280</v>
      </c>
      <c r="H31" s="341">
        <v>10360</v>
      </c>
      <c r="I31" s="341">
        <v>10893</v>
      </c>
      <c r="J31" s="341">
        <v>13571</v>
      </c>
      <c r="K31" s="341">
        <v>22157</v>
      </c>
      <c r="L31" s="318"/>
      <c r="M31" s="341">
        <v>4690</v>
      </c>
      <c r="N31" s="341">
        <v>6220</v>
      </c>
      <c r="O31" s="342">
        <v>6622</v>
      </c>
      <c r="P31" s="343">
        <v>2720</v>
      </c>
      <c r="Q31" s="341">
        <v>4296</v>
      </c>
      <c r="R31" s="341">
        <v>1680</v>
      </c>
      <c r="S31" s="341">
        <v>1727</v>
      </c>
      <c r="T31" s="343">
        <v>5790</v>
      </c>
      <c r="U31" s="341">
        <v>8650</v>
      </c>
      <c r="V31" s="341">
        <v>8760</v>
      </c>
      <c r="W31" s="341">
        <v>8916</v>
      </c>
      <c r="X31" s="343">
        <v>8743</v>
      </c>
      <c r="Y31" s="341">
        <v>9327</v>
      </c>
      <c r="Z31" s="341">
        <v>9400</v>
      </c>
      <c r="AA31" s="341">
        <v>9248</v>
      </c>
      <c r="AB31" s="343">
        <v>11280</v>
      </c>
      <c r="AC31" s="341">
        <v>11209</v>
      </c>
      <c r="AD31" s="341">
        <v>10548</v>
      </c>
      <c r="AE31" s="341">
        <v>10348</v>
      </c>
      <c r="AF31" s="343">
        <v>10360</v>
      </c>
      <c r="AG31" s="341">
        <v>10126</v>
      </c>
      <c r="AH31" s="341">
        <v>10232</v>
      </c>
      <c r="AI31" s="341">
        <v>11449</v>
      </c>
      <c r="AJ31" s="343">
        <v>10893</v>
      </c>
      <c r="AK31" s="341">
        <v>10856</v>
      </c>
      <c r="AL31" s="341">
        <v>12230</v>
      </c>
      <c r="AM31" s="341">
        <v>12493</v>
      </c>
      <c r="AN31" s="343">
        <v>13571</v>
      </c>
      <c r="AO31" s="341">
        <v>19409</v>
      </c>
      <c r="AP31" s="341">
        <v>20150</v>
      </c>
      <c r="AQ31" s="341">
        <v>20320</v>
      </c>
      <c r="AR31" s="343">
        <v>22157</v>
      </c>
      <c r="AS31" s="341">
        <v>21204</v>
      </c>
      <c r="AT31" s="341">
        <v>19058</v>
      </c>
      <c r="AU31" s="341">
        <v>19172</v>
      </c>
    </row>
    <row r="32" spans="1:47" ht="12.75" x14ac:dyDescent="0.2">
      <c r="A32" s="328" t="s">
        <v>427</v>
      </c>
      <c r="B32" s="329">
        <v>3043</v>
      </c>
      <c r="C32" s="330">
        <v>3674</v>
      </c>
      <c r="D32" s="329">
        <v>4808</v>
      </c>
      <c r="E32" s="329">
        <v>1702</v>
      </c>
      <c r="F32" s="329">
        <v>705</v>
      </c>
      <c r="G32" s="329">
        <v>664</v>
      </c>
      <c r="H32" s="329">
        <v>628</v>
      </c>
      <c r="I32" s="329">
        <v>1999</v>
      </c>
      <c r="J32" s="329">
        <v>2153</v>
      </c>
      <c r="K32" s="329">
        <v>2405</v>
      </c>
      <c r="L32" s="318"/>
      <c r="M32" s="329">
        <v>762</v>
      </c>
      <c r="N32" s="329">
        <v>854</v>
      </c>
      <c r="O32" s="330">
        <v>733</v>
      </c>
      <c r="P32" s="339">
        <v>4808</v>
      </c>
      <c r="Q32" s="329">
        <v>792</v>
      </c>
      <c r="R32" s="329">
        <v>5931</v>
      </c>
      <c r="S32" s="329">
        <v>5786</v>
      </c>
      <c r="T32" s="339">
        <v>1702</v>
      </c>
      <c r="U32" s="329">
        <v>827</v>
      </c>
      <c r="V32" s="329">
        <v>803</v>
      </c>
      <c r="W32" s="329">
        <v>750</v>
      </c>
      <c r="X32" s="339">
        <v>705</v>
      </c>
      <c r="Y32" s="329">
        <v>819</v>
      </c>
      <c r="Z32" s="329">
        <v>2856</v>
      </c>
      <c r="AA32" s="329">
        <v>2475</v>
      </c>
      <c r="AB32" s="339">
        <v>664</v>
      </c>
      <c r="AC32" s="329">
        <v>470</v>
      </c>
      <c r="AD32" s="329">
        <v>1530</v>
      </c>
      <c r="AE32" s="329">
        <v>1583</v>
      </c>
      <c r="AF32" s="339">
        <v>628</v>
      </c>
      <c r="AG32" s="329">
        <v>677</v>
      </c>
      <c r="AH32" s="329">
        <v>725</v>
      </c>
      <c r="AI32" s="329">
        <v>785</v>
      </c>
      <c r="AJ32" s="339">
        <v>1999</v>
      </c>
      <c r="AK32" s="329">
        <v>2985</v>
      </c>
      <c r="AL32" s="329">
        <v>3827</v>
      </c>
      <c r="AM32" s="329">
        <v>3096</v>
      </c>
      <c r="AN32" s="339">
        <v>2153</v>
      </c>
      <c r="AO32" s="329">
        <v>2285</v>
      </c>
      <c r="AP32" s="329">
        <v>4537</v>
      </c>
      <c r="AQ32" s="329">
        <v>4470</v>
      </c>
      <c r="AR32" s="339">
        <v>2405</v>
      </c>
      <c r="AS32" s="329">
        <v>2378</v>
      </c>
      <c r="AT32" s="329">
        <v>4279</v>
      </c>
      <c r="AU32" s="329">
        <v>4538</v>
      </c>
    </row>
    <row r="33" spans="1:47" ht="12.75" x14ac:dyDescent="0.2">
      <c r="A33" s="328" t="s">
        <v>432</v>
      </c>
      <c r="B33" s="329">
        <v>2214</v>
      </c>
      <c r="C33" s="330">
        <v>2446</v>
      </c>
      <c r="D33" s="329">
        <v>3966</v>
      </c>
      <c r="E33" s="329">
        <v>4711</v>
      </c>
      <c r="F33" s="329">
        <v>4050</v>
      </c>
      <c r="G33" s="329">
        <v>3605</v>
      </c>
      <c r="H33" s="329">
        <v>5512</v>
      </c>
      <c r="I33" s="329">
        <v>6375</v>
      </c>
      <c r="J33" s="329">
        <v>5902</v>
      </c>
      <c r="K33" s="329">
        <v>5756</v>
      </c>
      <c r="L33" s="318"/>
      <c r="M33" s="329">
        <v>3038</v>
      </c>
      <c r="N33" s="329">
        <v>3467</v>
      </c>
      <c r="O33" s="330">
        <v>3387</v>
      </c>
      <c r="P33" s="339">
        <v>3966</v>
      </c>
      <c r="Q33" s="329">
        <v>4871</v>
      </c>
      <c r="R33" s="329">
        <v>4749</v>
      </c>
      <c r="S33" s="329">
        <v>4421</v>
      </c>
      <c r="T33" s="339">
        <v>4711</v>
      </c>
      <c r="U33" s="329">
        <v>4575</v>
      </c>
      <c r="V33" s="329">
        <v>4536</v>
      </c>
      <c r="W33" s="329">
        <v>3701</v>
      </c>
      <c r="X33" s="339">
        <v>4050</v>
      </c>
      <c r="Y33" s="329">
        <v>4108</v>
      </c>
      <c r="Z33" s="329">
        <v>3764</v>
      </c>
      <c r="AA33" s="329">
        <v>3431</v>
      </c>
      <c r="AB33" s="339">
        <v>3605</v>
      </c>
      <c r="AC33" s="329">
        <v>4172</v>
      </c>
      <c r="AD33" s="329">
        <v>4796</v>
      </c>
      <c r="AE33" s="329">
        <v>4905</v>
      </c>
      <c r="AF33" s="339">
        <v>5512</v>
      </c>
      <c r="AG33" s="329">
        <v>6181</v>
      </c>
      <c r="AH33" s="329">
        <v>6239</v>
      </c>
      <c r="AI33" s="329">
        <v>6249</v>
      </c>
      <c r="AJ33" s="339">
        <v>6375</v>
      </c>
      <c r="AK33" s="329">
        <v>7017</v>
      </c>
      <c r="AL33" s="329">
        <v>7196</v>
      </c>
      <c r="AM33" s="329">
        <v>6210</v>
      </c>
      <c r="AN33" s="339">
        <v>5902</v>
      </c>
      <c r="AO33" s="329">
        <v>6213</v>
      </c>
      <c r="AP33" s="329">
        <v>6151</v>
      </c>
      <c r="AQ33" s="329">
        <v>5314</v>
      </c>
      <c r="AR33" s="339">
        <v>5756</v>
      </c>
      <c r="AS33" s="329">
        <v>5564</v>
      </c>
      <c r="AT33" s="329">
        <v>5900</v>
      </c>
      <c r="AU33" s="329">
        <v>5616</v>
      </c>
    </row>
    <row r="34" spans="1:47" ht="12.75" x14ac:dyDescent="0.2">
      <c r="A34" s="347" t="s">
        <v>433</v>
      </c>
      <c r="B34" s="329">
        <v>748</v>
      </c>
      <c r="C34" s="330">
        <v>535</v>
      </c>
      <c r="D34" s="329">
        <v>436</v>
      </c>
      <c r="E34" s="329">
        <v>605</v>
      </c>
      <c r="F34" s="329">
        <v>507</v>
      </c>
      <c r="G34" s="329">
        <v>391</v>
      </c>
      <c r="H34" s="329">
        <v>562</v>
      </c>
      <c r="I34" s="329">
        <v>670</v>
      </c>
      <c r="J34" s="329">
        <v>483</v>
      </c>
      <c r="K34" s="329">
        <v>444</v>
      </c>
      <c r="L34" s="318"/>
      <c r="M34" s="329">
        <v>799</v>
      </c>
      <c r="N34" s="329">
        <v>1044</v>
      </c>
      <c r="O34" s="330">
        <v>1140</v>
      </c>
      <c r="P34" s="339">
        <v>436</v>
      </c>
      <c r="Q34" s="329">
        <v>585</v>
      </c>
      <c r="R34" s="329">
        <v>761</v>
      </c>
      <c r="S34" s="329">
        <v>683</v>
      </c>
      <c r="T34" s="339">
        <v>605</v>
      </c>
      <c r="U34" s="329">
        <v>550</v>
      </c>
      <c r="V34" s="329">
        <v>493</v>
      </c>
      <c r="W34" s="329">
        <v>510</v>
      </c>
      <c r="X34" s="339">
        <v>507</v>
      </c>
      <c r="Y34" s="329">
        <v>465</v>
      </c>
      <c r="Z34" s="329">
        <v>521</v>
      </c>
      <c r="AA34" s="329">
        <v>420</v>
      </c>
      <c r="AB34" s="339">
        <v>391</v>
      </c>
      <c r="AC34" s="329">
        <v>447</v>
      </c>
      <c r="AD34" s="329">
        <v>434</v>
      </c>
      <c r="AE34" s="329">
        <v>525</v>
      </c>
      <c r="AF34" s="339">
        <v>562</v>
      </c>
      <c r="AG34" s="329">
        <v>645</v>
      </c>
      <c r="AH34" s="329">
        <v>678</v>
      </c>
      <c r="AI34" s="329">
        <v>963</v>
      </c>
      <c r="AJ34" s="339">
        <v>670</v>
      </c>
      <c r="AK34" s="329">
        <v>530</v>
      </c>
      <c r="AL34" s="329">
        <v>502</v>
      </c>
      <c r="AM34" s="329">
        <v>543</v>
      </c>
      <c r="AN34" s="339">
        <v>483</v>
      </c>
      <c r="AO34" s="329">
        <v>428</v>
      </c>
      <c r="AP34" s="329">
        <v>379</v>
      </c>
      <c r="AQ34" s="329">
        <v>378</v>
      </c>
      <c r="AR34" s="339">
        <v>444</v>
      </c>
      <c r="AS34" s="329">
        <v>829</v>
      </c>
      <c r="AT34" s="329">
        <v>384</v>
      </c>
      <c r="AU34" s="329">
        <v>394</v>
      </c>
    </row>
    <row r="35" spans="1:47" ht="12.75" x14ac:dyDescent="0.2">
      <c r="A35" s="347" t="s">
        <v>429</v>
      </c>
      <c r="B35" s="329">
        <v>2916</v>
      </c>
      <c r="C35" s="330">
        <v>2867</v>
      </c>
      <c r="D35" s="329">
        <v>3570</v>
      </c>
      <c r="E35" s="329">
        <v>4500</v>
      </c>
      <c r="F35" s="329">
        <v>4219</v>
      </c>
      <c r="G35" s="329">
        <v>4207</v>
      </c>
      <c r="H35" s="329">
        <v>5736</v>
      </c>
      <c r="I35" s="329">
        <v>8335</v>
      </c>
      <c r="J35" s="329">
        <v>8465</v>
      </c>
      <c r="K35" s="329">
        <v>9647</v>
      </c>
      <c r="L35" s="318"/>
      <c r="M35" s="329">
        <v>3049</v>
      </c>
      <c r="N35" s="329">
        <v>3224</v>
      </c>
      <c r="O35" s="330">
        <v>3219</v>
      </c>
      <c r="P35" s="339">
        <v>3570</v>
      </c>
      <c r="Q35" s="329">
        <v>3831</v>
      </c>
      <c r="R35" s="329">
        <v>4366</v>
      </c>
      <c r="S35" s="329">
        <v>4464</v>
      </c>
      <c r="T35" s="339">
        <v>4500</v>
      </c>
      <c r="U35" s="329">
        <v>4375</v>
      </c>
      <c r="V35" s="329">
        <v>5667</v>
      </c>
      <c r="W35" s="329">
        <v>5814</v>
      </c>
      <c r="X35" s="339">
        <v>4219</v>
      </c>
      <c r="Y35" s="329">
        <v>4258</v>
      </c>
      <c r="Z35" s="329">
        <v>4400</v>
      </c>
      <c r="AA35" s="329">
        <v>4504</v>
      </c>
      <c r="AB35" s="339">
        <v>4207</v>
      </c>
      <c r="AC35" s="329">
        <v>4347</v>
      </c>
      <c r="AD35" s="329">
        <v>6181</v>
      </c>
      <c r="AE35" s="329">
        <v>6597</v>
      </c>
      <c r="AF35" s="339">
        <v>5736</v>
      </c>
      <c r="AG35" s="329">
        <v>5963</v>
      </c>
      <c r="AH35" s="329">
        <v>9006</v>
      </c>
      <c r="AI35" s="329">
        <v>10473</v>
      </c>
      <c r="AJ35" s="339">
        <v>8335</v>
      </c>
      <c r="AK35" s="329">
        <v>8450</v>
      </c>
      <c r="AL35" s="329">
        <v>11334</v>
      </c>
      <c r="AM35" s="329">
        <v>11155</v>
      </c>
      <c r="AN35" s="339">
        <v>8465</v>
      </c>
      <c r="AO35" s="329">
        <v>8835</v>
      </c>
      <c r="AP35" s="329">
        <v>11695</v>
      </c>
      <c r="AQ35" s="329">
        <v>11453</v>
      </c>
      <c r="AR35" s="339">
        <v>9647</v>
      </c>
      <c r="AS35" s="329">
        <v>8405</v>
      </c>
      <c r="AT35" s="329">
        <v>11135</v>
      </c>
      <c r="AU35" s="329">
        <v>11261</v>
      </c>
    </row>
    <row r="36" spans="1:47" ht="12.75" x14ac:dyDescent="0.2">
      <c r="A36" s="340" t="s">
        <v>434</v>
      </c>
      <c r="B36" s="341">
        <v>8921</v>
      </c>
      <c r="C36" s="342">
        <v>9522</v>
      </c>
      <c r="D36" s="341">
        <v>12780</v>
      </c>
      <c r="E36" s="341">
        <v>11518</v>
      </c>
      <c r="F36" s="341">
        <v>9481</v>
      </c>
      <c r="G36" s="341">
        <v>8867</v>
      </c>
      <c r="H36" s="341">
        <v>12438</v>
      </c>
      <c r="I36" s="341">
        <v>17379</v>
      </c>
      <c r="J36" s="341">
        <v>17003</v>
      </c>
      <c r="K36" s="341">
        <v>18252</v>
      </c>
      <c r="L36" s="318"/>
      <c r="M36" s="341">
        <v>7648</v>
      </c>
      <c r="N36" s="341">
        <v>8589</v>
      </c>
      <c r="O36" s="341">
        <v>8479</v>
      </c>
      <c r="P36" s="343">
        <v>12780</v>
      </c>
      <c r="Q36" s="341">
        <v>10079</v>
      </c>
      <c r="R36" s="341">
        <v>15807</v>
      </c>
      <c r="S36" s="341">
        <v>15354</v>
      </c>
      <c r="T36" s="343">
        <v>11518</v>
      </c>
      <c r="U36" s="341">
        <v>10327</v>
      </c>
      <c r="V36" s="341">
        <v>11499</v>
      </c>
      <c r="W36" s="341">
        <v>10775</v>
      </c>
      <c r="X36" s="343">
        <v>9481</v>
      </c>
      <c r="Y36" s="341">
        <v>9650</v>
      </c>
      <c r="Z36" s="341">
        <v>11541</v>
      </c>
      <c r="AA36" s="341">
        <v>10830</v>
      </c>
      <c r="AB36" s="343">
        <v>8867</v>
      </c>
      <c r="AC36" s="341">
        <v>9436</v>
      </c>
      <c r="AD36" s="341">
        <v>12941</v>
      </c>
      <c r="AE36" s="341">
        <v>13610</v>
      </c>
      <c r="AF36" s="343">
        <v>12438</v>
      </c>
      <c r="AG36" s="341">
        <v>13466</v>
      </c>
      <c r="AH36" s="341">
        <v>16648</v>
      </c>
      <c r="AI36" s="341">
        <v>18470</v>
      </c>
      <c r="AJ36" s="343">
        <v>17379</v>
      </c>
      <c r="AK36" s="341">
        <v>18982</v>
      </c>
      <c r="AL36" s="341">
        <v>22859</v>
      </c>
      <c r="AM36" s="341">
        <v>21004</v>
      </c>
      <c r="AN36" s="343">
        <v>17003</v>
      </c>
      <c r="AO36" s="341">
        <v>17761</v>
      </c>
      <c r="AP36" s="341">
        <v>22762</v>
      </c>
      <c r="AQ36" s="341">
        <v>21615</v>
      </c>
      <c r="AR36" s="343">
        <v>18252</v>
      </c>
      <c r="AS36" s="341">
        <v>17176</v>
      </c>
      <c r="AT36" s="341">
        <v>21698</v>
      </c>
      <c r="AU36" s="341">
        <v>21809</v>
      </c>
    </row>
    <row r="37" spans="1:47" ht="12.75" x14ac:dyDescent="0.2">
      <c r="A37" s="340" t="s">
        <v>435</v>
      </c>
      <c r="B37" s="341">
        <v>28418</v>
      </c>
      <c r="C37" s="342">
        <v>29984</v>
      </c>
      <c r="D37" s="341">
        <v>27547</v>
      </c>
      <c r="E37" s="341">
        <v>36155</v>
      </c>
      <c r="F37" s="341">
        <v>41037</v>
      </c>
      <c r="G37" s="341">
        <v>43886</v>
      </c>
      <c r="H37" s="341">
        <v>48583</v>
      </c>
      <c r="I37" s="341">
        <v>61780</v>
      </c>
      <c r="J37" s="341">
        <v>67784</v>
      </c>
      <c r="K37" s="341">
        <v>83589</v>
      </c>
      <c r="L37" s="318"/>
      <c r="M37" s="341">
        <v>29685</v>
      </c>
      <c r="N37" s="341">
        <v>30965</v>
      </c>
      <c r="O37" s="342">
        <v>27622</v>
      </c>
      <c r="P37" s="343">
        <v>27547</v>
      </c>
      <c r="Q37" s="341">
        <v>30465</v>
      </c>
      <c r="R37" s="341">
        <v>35024</v>
      </c>
      <c r="S37" s="341">
        <v>34487</v>
      </c>
      <c r="T37" s="343">
        <v>36155</v>
      </c>
      <c r="U37" s="341">
        <v>39662</v>
      </c>
      <c r="V37" s="341">
        <v>40148</v>
      </c>
      <c r="W37" s="341">
        <v>41525</v>
      </c>
      <c r="X37" s="343">
        <v>41037</v>
      </c>
      <c r="Y37" s="341">
        <v>43689</v>
      </c>
      <c r="Z37" s="341">
        <v>44324</v>
      </c>
      <c r="AA37" s="341">
        <v>44634</v>
      </c>
      <c r="AB37" s="343">
        <v>43886</v>
      </c>
      <c r="AC37" s="341">
        <v>46851</v>
      </c>
      <c r="AD37" s="341">
        <v>44517</v>
      </c>
      <c r="AE37" s="341">
        <v>47259</v>
      </c>
      <c r="AF37" s="343">
        <v>48583</v>
      </c>
      <c r="AG37" s="341">
        <v>52409</v>
      </c>
      <c r="AH37" s="341">
        <v>55543</v>
      </c>
      <c r="AI37" s="341">
        <v>61685</v>
      </c>
      <c r="AJ37" s="343">
        <v>61780</v>
      </c>
      <c r="AK37" s="341">
        <v>65302</v>
      </c>
      <c r="AL37" s="341">
        <v>70294</v>
      </c>
      <c r="AM37" s="341">
        <v>70640</v>
      </c>
      <c r="AN37" s="343">
        <v>67784</v>
      </c>
      <c r="AO37" s="341">
        <v>77934</v>
      </c>
      <c r="AP37" s="341">
        <v>81016</v>
      </c>
      <c r="AQ37" s="341">
        <v>81565</v>
      </c>
      <c r="AR37" s="343">
        <v>83589</v>
      </c>
      <c r="AS37" s="341">
        <v>80850</v>
      </c>
      <c r="AT37" s="341">
        <v>79352</v>
      </c>
      <c r="AU37" s="341">
        <v>81375</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U56"/>
  <sheetViews>
    <sheetView showGridLines="0" workbookViewId="0"/>
  </sheetViews>
  <sheetFormatPr defaultColWidth="10" defaultRowHeight="13.35" customHeight="1" x14ac:dyDescent="0.2"/>
  <cols>
    <col min="1" max="1" width="41.85546875" customWidth="1"/>
    <col min="2" max="11" width="8.42578125" bestFit="1" customWidth="1"/>
    <col min="12" max="12" width="6.85546875" customWidth="1"/>
    <col min="13" max="13" width="9.42578125" customWidth="1"/>
    <col min="14" max="15" width="6.85546875" customWidth="1"/>
    <col min="16" max="20" width="6.140625" customWidth="1"/>
    <col min="21" max="21" width="5.85546875" customWidth="1"/>
    <col min="22" max="22" width="6.85546875" customWidth="1"/>
    <col min="23" max="23" width="5.85546875" customWidth="1"/>
    <col min="24" max="28" width="6.85546875" customWidth="1"/>
    <col min="29" max="29" width="6.140625" customWidth="1"/>
    <col min="30" max="32" width="6.85546875" customWidth="1"/>
    <col min="33" max="33" width="6.140625" customWidth="1"/>
    <col min="34" max="36" width="6.85546875" customWidth="1"/>
    <col min="37" max="37" width="6.140625" customWidth="1"/>
    <col min="38" max="40" width="6.85546875" bestFit="1" customWidth="1"/>
    <col min="41" max="41" width="6.140625" customWidth="1"/>
    <col min="42" max="44" width="6.85546875" bestFit="1" customWidth="1"/>
    <col min="45" max="45" width="6.140625" customWidth="1"/>
    <col min="46" max="46" width="6.85546875" bestFit="1" customWidth="1"/>
    <col min="47" max="47" width="6.85546875" customWidth="1"/>
  </cols>
  <sheetData>
    <row r="1" spans="1:47" ht="16.5" thickBot="1" x14ac:dyDescent="0.3">
      <c r="A1" s="16" t="s">
        <v>436</v>
      </c>
      <c r="B1" s="316" t="s">
        <v>127</v>
      </c>
      <c r="C1" s="317"/>
      <c r="D1" s="317"/>
      <c r="E1" s="317"/>
      <c r="F1" s="317"/>
      <c r="G1" s="317"/>
      <c r="H1" s="317"/>
      <c r="I1" s="317"/>
      <c r="J1" s="317"/>
      <c r="K1" s="317"/>
      <c r="L1" s="348"/>
      <c r="M1" s="316" t="s">
        <v>128</v>
      </c>
      <c r="N1" s="317"/>
      <c r="O1" s="317"/>
      <c r="P1" s="319"/>
      <c r="Q1" s="317"/>
      <c r="R1" s="317"/>
      <c r="S1" s="317"/>
      <c r="T1" s="319"/>
      <c r="U1" s="316"/>
      <c r="V1" s="317"/>
      <c r="W1" s="317"/>
      <c r="X1" s="319"/>
      <c r="Y1" s="317"/>
      <c r="Z1" s="317"/>
      <c r="AA1" s="317"/>
      <c r="AB1" s="319"/>
      <c r="AC1" s="317"/>
      <c r="AD1" s="317"/>
      <c r="AE1" s="317"/>
      <c r="AF1" s="319"/>
      <c r="AG1" s="317"/>
      <c r="AH1" s="317"/>
      <c r="AI1" s="317"/>
      <c r="AJ1" s="319"/>
      <c r="AK1" s="317"/>
      <c r="AL1" s="317"/>
      <c r="AM1" s="317"/>
      <c r="AN1" s="319"/>
      <c r="AO1" s="317"/>
      <c r="AP1" s="317"/>
      <c r="AQ1" s="317"/>
      <c r="AR1" s="319"/>
      <c r="AS1" s="317"/>
      <c r="AT1" s="317"/>
      <c r="AU1" s="317"/>
    </row>
    <row r="2" spans="1:47" ht="14.25" thickTop="1" thickBot="1" x14ac:dyDescent="0.25">
      <c r="A2" s="19" t="s">
        <v>32</v>
      </c>
      <c r="B2" s="320"/>
      <c r="C2" s="320"/>
      <c r="D2" s="320"/>
      <c r="E2" s="320"/>
      <c r="F2" s="320"/>
      <c r="G2" s="320"/>
      <c r="H2" s="320"/>
      <c r="I2" s="320"/>
      <c r="J2" s="320"/>
      <c r="K2" s="320"/>
      <c r="L2" s="348"/>
      <c r="M2" s="320"/>
      <c r="N2" s="320"/>
      <c r="O2" s="320"/>
      <c r="P2" s="321"/>
      <c r="Q2" s="320"/>
      <c r="R2" s="320"/>
      <c r="S2" s="320"/>
      <c r="T2" s="321"/>
      <c r="U2" s="320"/>
      <c r="V2" s="320"/>
      <c r="W2" s="320"/>
      <c r="X2" s="321"/>
      <c r="Y2" s="320"/>
      <c r="Z2" s="320"/>
      <c r="AA2" s="320"/>
      <c r="AB2" s="321"/>
      <c r="AC2" s="320"/>
      <c r="AD2" s="320"/>
      <c r="AE2" s="320"/>
      <c r="AF2" s="321"/>
      <c r="AG2" s="320"/>
      <c r="AH2" s="320"/>
      <c r="AI2" s="320"/>
      <c r="AJ2" s="321"/>
      <c r="AK2" s="320"/>
      <c r="AL2" s="320"/>
      <c r="AM2" s="320"/>
      <c r="AN2" s="321"/>
      <c r="AO2" s="320"/>
      <c r="AP2" s="320"/>
      <c r="AQ2" s="320"/>
      <c r="AR2" s="321"/>
      <c r="AS2" s="320"/>
      <c r="AT2" s="320"/>
      <c r="AU2" s="320"/>
    </row>
    <row r="3" spans="1:47" ht="13.5" thickTop="1" x14ac:dyDescent="0.2">
      <c r="A3" s="322" t="s">
        <v>404</v>
      </c>
      <c r="B3" s="323">
        <v>2015</v>
      </c>
      <c r="C3" s="323">
        <v>2016</v>
      </c>
      <c r="D3" s="324">
        <v>2017</v>
      </c>
      <c r="E3" s="324">
        <v>2018</v>
      </c>
      <c r="F3" s="324">
        <v>2019</v>
      </c>
      <c r="G3" s="324">
        <v>2020</v>
      </c>
      <c r="H3" s="324">
        <v>2021</v>
      </c>
      <c r="I3" s="324">
        <v>2022</v>
      </c>
      <c r="J3" s="324">
        <v>2023</v>
      </c>
      <c r="K3" s="324">
        <v>2024</v>
      </c>
      <c r="L3" s="348"/>
      <c r="M3" s="326" t="s">
        <v>267</v>
      </c>
      <c r="N3" s="326" t="s">
        <v>268</v>
      </c>
      <c r="O3" s="326" t="s">
        <v>269</v>
      </c>
      <c r="P3" s="327" t="s">
        <v>270</v>
      </c>
      <c r="Q3" s="326" t="s">
        <v>131</v>
      </c>
      <c r="R3" s="326" t="s">
        <v>132</v>
      </c>
      <c r="S3" s="326" t="s">
        <v>133</v>
      </c>
      <c r="T3" s="327" t="s">
        <v>134</v>
      </c>
      <c r="U3" s="326" t="s">
        <v>135</v>
      </c>
      <c r="V3" s="326" t="s">
        <v>136</v>
      </c>
      <c r="W3" s="326" t="s">
        <v>137</v>
      </c>
      <c r="X3" s="327" t="s">
        <v>138</v>
      </c>
      <c r="Y3" s="326" t="s">
        <v>139</v>
      </c>
      <c r="Z3" s="326" t="s">
        <v>140</v>
      </c>
      <c r="AA3" s="326" t="s">
        <v>141</v>
      </c>
      <c r="AB3" s="327" t="s">
        <v>142</v>
      </c>
      <c r="AC3" s="326" t="s">
        <v>143</v>
      </c>
      <c r="AD3" s="326" t="s">
        <v>144</v>
      </c>
      <c r="AE3" s="326" t="s">
        <v>145</v>
      </c>
      <c r="AF3" s="327" t="s">
        <v>146</v>
      </c>
      <c r="AG3" s="326" t="s">
        <v>147</v>
      </c>
      <c r="AH3" s="326" t="s">
        <v>148</v>
      </c>
      <c r="AI3" s="326" t="s">
        <v>149</v>
      </c>
      <c r="AJ3" s="327" t="s">
        <v>150</v>
      </c>
      <c r="AK3" s="326" t="s">
        <v>151</v>
      </c>
      <c r="AL3" s="326" t="s">
        <v>152</v>
      </c>
      <c r="AM3" s="326" t="s">
        <v>153</v>
      </c>
      <c r="AN3" s="327" t="s">
        <v>154</v>
      </c>
      <c r="AO3" s="326" t="s">
        <v>155</v>
      </c>
      <c r="AP3" s="326" t="s">
        <v>156</v>
      </c>
      <c r="AQ3" s="326" t="s">
        <v>157</v>
      </c>
      <c r="AR3" s="327" t="s">
        <v>158</v>
      </c>
      <c r="AS3" s="326" t="s">
        <v>159</v>
      </c>
      <c r="AT3" s="326" t="s">
        <v>160</v>
      </c>
      <c r="AU3" s="326" t="s">
        <v>161</v>
      </c>
    </row>
    <row r="4" spans="1:47" ht="12.75" x14ac:dyDescent="0.2">
      <c r="A4" s="349" t="s">
        <v>437</v>
      </c>
      <c r="B4" s="350"/>
      <c r="C4" s="350"/>
      <c r="D4" s="348"/>
      <c r="E4" s="348"/>
      <c r="F4" s="348"/>
      <c r="G4" s="348"/>
      <c r="H4" s="348"/>
      <c r="I4" s="348"/>
      <c r="J4" s="348"/>
      <c r="K4" s="348"/>
      <c r="L4" s="348"/>
      <c r="M4" s="350"/>
      <c r="N4" s="351"/>
      <c r="O4" s="351"/>
      <c r="P4" s="352"/>
      <c r="Q4" s="348"/>
      <c r="R4" s="348"/>
      <c r="S4" s="348"/>
      <c r="T4" s="353"/>
      <c r="U4" s="348"/>
      <c r="V4" s="348"/>
      <c r="W4" s="348"/>
      <c r="X4" s="353"/>
      <c r="Y4" s="348"/>
      <c r="Z4" s="348"/>
      <c r="AA4" s="348"/>
      <c r="AB4" s="353"/>
      <c r="AC4" s="348"/>
      <c r="AD4" s="348"/>
      <c r="AE4" s="348"/>
      <c r="AF4" s="353"/>
      <c r="AG4" s="348"/>
      <c r="AH4" s="348"/>
      <c r="AI4" s="348"/>
      <c r="AJ4" s="353"/>
      <c r="AK4" s="348"/>
      <c r="AL4" s="348"/>
      <c r="AM4" s="348"/>
      <c r="AN4" s="353"/>
      <c r="AO4" s="348"/>
      <c r="AP4" s="348"/>
      <c r="AQ4" s="348"/>
      <c r="AR4" s="353"/>
      <c r="AS4" s="348"/>
      <c r="AT4" s="348"/>
      <c r="AU4" s="348"/>
    </row>
    <row r="5" spans="1:47" ht="12.75" x14ac:dyDescent="0.2">
      <c r="A5" s="354" t="s">
        <v>192</v>
      </c>
      <c r="B5" s="355">
        <v>5175</v>
      </c>
      <c r="C5" s="355">
        <v>4548</v>
      </c>
      <c r="D5" s="356">
        <v>5930</v>
      </c>
      <c r="E5" s="356">
        <v>7385</v>
      </c>
      <c r="F5" s="356">
        <v>8136</v>
      </c>
      <c r="G5" s="356">
        <v>7382</v>
      </c>
      <c r="H5" s="356">
        <v>8995</v>
      </c>
      <c r="I5" s="356">
        <v>11147</v>
      </c>
      <c r="J5" s="356">
        <v>13183</v>
      </c>
      <c r="K5" s="356">
        <v>12385</v>
      </c>
      <c r="L5" s="348"/>
      <c r="M5" s="355">
        <v>1414</v>
      </c>
      <c r="N5" s="344">
        <v>1468</v>
      </c>
      <c r="O5" s="344">
        <v>1520</v>
      </c>
      <c r="P5" s="357">
        <v>1528</v>
      </c>
      <c r="Q5" s="356">
        <v>1515</v>
      </c>
      <c r="R5" s="356">
        <v>1810</v>
      </c>
      <c r="S5" s="356">
        <v>1898</v>
      </c>
      <c r="T5" s="357">
        <v>2162</v>
      </c>
      <c r="U5" s="356">
        <v>1930</v>
      </c>
      <c r="V5" s="356">
        <v>2263</v>
      </c>
      <c r="W5" s="356">
        <v>1927</v>
      </c>
      <c r="X5" s="357">
        <v>2016</v>
      </c>
      <c r="Y5" s="356">
        <v>1932</v>
      </c>
      <c r="Z5" s="356">
        <v>1418</v>
      </c>
      <c r="AA5" s="356">
        <v>1820</v>
      </c>
      <c r="AB5" s="357">
        <v>2212</v>
      </c>
      <c r="AC5" s="356">
        <v>1867</v>
      </c>
      <c r="AD5" s="356">
        <v>2182</v>
      </c>
      <c r="AE5" s="356">
        <v>2352</v>
      </c>
      <c r="AF5" s="357">
        <v>2594</v>
      </c>
      <c r="AG5" s="356">
        <v>2631</v>
      </c>
      <c r="AH5" s="356">
        <v>2381</v>
      </c>
      <c r="AI5" s="356">
        <v>2900</v>
      </c>
      <c r="AJ5" s="357">
        <v>3235</v>
      </c>
      <c r="AK5" s="356">
        <v>3161</v>
      </c>
      <c r="AL5" s="356">
        <v>3413</v>
      </c>
      <c r="AM5" s="356">
        <v>3260</v>
      </c>
      <c r="AN5" s="357">
        <v>3349</v>
      </c>
      <c r="AO5" s="356">
        <v>2760</v>
      </c>
      <c r="AP5" s="356">
        <v>2921</v>
      </c>
      <c r="AQ5" s="356">
        <v>3277</v>
      </c>
      <c r="AR5" s="357">
        <v>3427</v>
      </c>
      <c r="AS5" s="356">
        <v>3088</v>
      </c>
      <c r="AT5" s="356">
        <v>2831</v>
      </c>
      <c r="AU5" s="356">
        <v>2802</v>
      </c>
    </row>
    <row r="6" spans="1:47" ht="12.75" x14ac:dyDescent="0.2">
      <c r="A6" s="354" t="s">
        <v>438</v>
      </c>
      <c r="B6" s="355">
        <v>1397</v>
      </c>
      <c r="C6" s="355">
        <v>1217</v>
      </c>
      <c r="D6" s="356">
        <v>1254</v>
      </c>
      <c r="E6" s="356">
        <v>1369</v>
      </c>
      <c r="F6" s="356">
        <v>1978</v>
      </c>
      <c r="G6" s="356">
        <v>1746</v>
      </c>
      <c r="H6" s="356">
        <v>1746</v>
      </c>
      <c r="I6" s="356">
        <v>2130</v>
      </c>
      <c r="J6" s="356">
        <v>2663</v>
      </c>
      <c r="K6" s="356">
        <v>3444</v>
      </c>
      <c r="L6" s="348"/>
      <c r="M6" s="355">
        <v>320</v>
      </c>
      <c r="N6" s="344">
        <v>308</v>
      </c>
      <c r="O6" s="344">
        <v>285</v>
      </c>
      <c r="P6" s="357">
        <v>341</v>
      </c>
      <c r="Q6" s="356">
        <v>317</v>
      </c>
      <c r="R6" s="356">
        <v>340</v>
      </c>
      <c r="S6" s="356">
        <v>362</v>
      </c>
      <c r="T6" s="357">
        <v>350</v>
      </c>
      <c r="U6" s="356">
        <v>472</v>
      </c>
      <c r="V6" s="356">
        <v>468</v>
      </c>
      <c r="W6" s="356">
        <v>556</v>
      </c>
      <c r="X6" s="357">
        <v>482</v>
      </c>
      <c r="Y6" s="356">
        <v>440</v>
      </c>
      <c r="Z6" s="356">
        <v>441</v>
      </c>
      <c r="AA6" s="356">
        <v>426</v>
      </c>
      <c r="AB6" s="357">
        <v>439</v>
      </c>
      <c r="AC6" s="356">
        <v>382</v>
      </c>
      <c r="AD6" s="356">
        <v>411</v>
      </c>
      <c r="AE6" s="356">
        <v>462</v>
      </c>
      <c r="AF6" s="357">
        <v>491</v>
      </c>
      <c r="AG6" s="356">
        <v>466</v>
      </c>
      <c r="AH6" s="356">
        <v>487</v>
      </c>
      <c r="AI6" s="356">
        <v>526</v>
      </c>
      <c r="AJ6" s="357">
        <v>651</v>
      </c>
      <c r="AK6" s="356">
        <v>635</v>
      </c>
      <c r="AL6" s="356">
        <v>644</v>
      </c>
      <c r="AM6" s="356">
        <v>701</v>
      </c>
      <c r="AN6" s="357">
        <v>683</v>
      </c>
      <c r="AO6" s="356">
        <v>673</v>
      </c>
      <c r="AP6" s="356">
        <v>788</v>
      </c>
      <c r="AQ6" s="356">
        <v>1168</v>
      </c>
      <c r="AR6" s="357">
        <v>815</v>
      </c>
      <c r="AS6" s="356">
        <v>779</v>
      </c>
      <c r="AT6" s="356">
        <v>768</v>
      </c>
      <c r="AU6" s="356">
        <v>765</v>
      </c>
    </row>
    <row r="7" spans="1:47" ht="12.75" x14ac:dyDescent="0.2">
      <c r="A7" s="354" t="s">
        <v>439</v>
      </c>
      <c r="B7" s="355">
        <v>-251</v>
      </c>
      <c r="C7" s="355">
        <v>-349</v>
      </c>
      <c r="D7" s="356">
        <v>-134</v>
      </c>
      <c r="E7" s="356">
        <v>101</v>
      </c>
      <c r="F7" s="356">
        <v>-252</v>
      </c>
      <c r="G7" s="356">
        <v>252</v>
      </c>
      <c r="H7" s="356">
        <v>-192</v>
      </c>
      <c r="I7" s="356">
        <v>-183</v>
      </c>
      <c r="J7" s="356">
        <v>-220</v>
      </c>
      <c r="K7" s="356">
        <v>-958</v>
      </c>
      <c r="L7" s="348"/>
      <c r="M7" s="355">
        <v>-173</v>
      </c>
      <c r="N7" s="344">
        <v>148</v>
      </c>
      <c r="O7" s="344">
        <v>3</v>
      </c>
      <c r="P7" s="357">
        <v>-112</v>
      </c>
      <c r="Q7" s="356">
        <v>-71</v>
      </c>
      <c r="R7" s="356">
        <v>54</v>
      </c>
      <c r="S7" s="356">
        <v>199</v>
      </c>
      <c r="T7" s="357">
        <v>-81</v>
      </c>
      <c r="U7" s="356">
        <v>-84</v>
      </c>
      <c r="V7" s="356">
        <v>-36</v>
      </c>
      <c r="W7" s="356">
        <v>-104</v>
      </c>
      <c r="X7" s="357">
        <v>-28</v>
      </c>
      <c r="Y7" s="356">
        <v>110</v>
      </c>
      <c r="Z7" s="356">
        <v>49</v>
      </c>
      <c r="AA7" s="356">
        <v>80</v>
      </c>
      <c r="AB7" s="357">
        <v>13</v>
      </c>
      <c r="AC7" s="356">
        <v>6</v>
      </c>
      <c r="AD7" s="356">
        <v>1</v>
      </c>
      <c r="AE7" s="356">
        <v>-51</v>
      </c>
      <c r="AF7" s="357">
        <v>-148</v>
      </c>
      <c r="AG7" s="356">
        <v>-196</v>
      </c>
      <c r="AH7" s="356">
        <v>-129</v>
      </c>
      <c r="AI7" s="356">
        <v>18</v>
      </c>
      <c r="AJ7" s="357">
        <v>124</v>
      </c>
      <c r="AK7" s="356">
        <v>-226</v>
      </c>
      <c r="AL7" s="356">
        <v>-254</v>
      </c>
      <c r="AM7" s="356">
        <v>279</v>
      </c>
      <c r="AN7" s="357">
        <v>-19</v>
      </c>
      <c r="AO7" s="356">
        <v>-222</v>
      </c>
      <c r="AP7" s="356">
        <v>28</v>
      </c>
      <c r="AQ7" s="356">
        <v>-480</v>
      </c>
      <c r="AR7" s="357">
        <v>-284</v>
      </c>
      <c r="AS7" s="356">
        <v>167</v>
      </c>
      <c r="AT7" s="356">
        <v>-35</v>
      </c>
      <c r="AU7" s="356">
        <v>18</v>
      </c>
    </row>
    <row r="8" spans="1:47" ht="12.75" x14ac:dyDescent="0.2">
      <c r="A8" s="354" t="s">
        <v>440</v>
      </c>
      <c r="B8" s="355">
        <v>23</v>
      </c>
      <c r="C8" s="355">
        <v>-40</v>
      </c>
      <c r="D8" s="356">
        <v>-344</v>
      </c>
      <c r="E8" s="356">
        <v>-483</v>
      </c>
      <c r="F8" s="356">
        <v>-410</v>
      </c>
      <c r="G8" s="356">
        <v>-94</v>
      </c>
      <c r="H8" s="356">
        <v>139</v>
      </c>
      <c r="I8" s="356">
        <v>-561</v>
      </c>
      <c r="J8" s="356">
        <v>-599.11275000000001</v>
      </c>
      <c r="K8" s="356">
        <v>-446.94405</v>
      </c>
      <c r="L8" s="348"/>
      <c r="M8" s="355">
        <v>-57</v>
      </c>
      <c r="N8" s="344">
        <v>-35</v>
      </c>
      <c r="O8" s="344">
        <v>27</v>
      </c>
      <c r="P8" s="357">
        <v>-279</v>
      </c>
      <c r="Q8" s="356">
        <v>141</v>
      </c>
      <c r="R8" s="356">
        <v>-512</v>
      </c>
      <c r="S8" s="356">
        <v>-88</v>
      </c>
      <c r="T8" s="357">
        <v>-24</v>
      </c>
      <c r="U8" s="356">
        <v>-157</v>
      </c>
      <c r="V8" s="356">
        <v>-115</v>
      </c>
      <c r="W8" s="356">
        <v>-113</v>
      </c>
      <c r="X8" s="357">
        <v>-25</v>
      </c>
      <c r="Y8" s="356">
        <v>263</v>
      </c>
      <c r="Z8" s="356">
        <v>-32</v>
      </c>
      <c r="AA8" s="356">
        <v>114</v>
      </c>
      <c r="AB8" s="357">
        <v>-439</v>
      </c>
      <c r="AC8" s="356">
        <v>235</v>
      </c>
      <c r="AD8" s="356">
        <v>-172</v>
      </c>
      <c r="AE8" s="356">
        <v>93</v>
      </c>
      <c r="AF8" s="357">
        <v>-17</v>
      </c>
      <c r="AG8" s="356">
        <v>-269</v>
      </c>
      <c r="AH8" s="356">
        <v>-6</v>
      </c>
      <c r="AI8" s="356">
        <v>-23</v>
      </c>
      <c r="AJ8" s="357">
        <v>-263</v>
      </c>
      <c r="AK8" s="356">
        <v>42</v>
      </c>
      <c r="AL8" s="356">
        <v>-189</v>
      </c>
      <c r="AM8" s="356">
        <v>-472</v>
      </c>
      <c r="AN8" s="357">
        <v>20</v>
      </c>
      <c r="AO8" s="356">
        <v>610</v>
      </c>
      <c r="AP8" s="356">
        <v>-510.94405</v>
      </c>
      <c r="AQ8" s="356">
        <v>-109</v>
      </c>
      <c r="AR8" s="357">
        <v>-437</v>
      </c>
      <c r="AS8" s="356">
        <v>-2</v>
      </c>
      <c r="AT8" s="356">
        <v>270</v>
      </c>
      <c r="AU8" s="356">
        <v>-121</v>
      </c>
    </row>
    <row r="9" spans="1:47" ht="12.75" x14ac:dyDescent="0.2">
      <c r="A9" s="354" t="s">
        <v>441</v>
      </c>
      <c r="B9" s="355">
        <v>-294</v>
      </c>
      <c r="C9" s="355">
        <v>-511</v>
      </c>
      <c r="D9" s="356">
        <v>-666</v>
      </c>
      <c r="E9" s="356">
        <v>-1747</v>
      </c>
      <c r="F9" s="356">
        <v>-2157</v>
      </c>
      <c r="G9" s="356">
        <v>-1800</v>
      </c>
      <c r="H9" s="356">
        <v>-1978</v>
      </c>
      <c r="I9" s="356">
        <v>-2676</v>
      </c>
      <c r="J9" s="356">
        <v>-3531</v>
      </c>
      <c r="K9" s="356">
        <v>-3039</v>
      </c>
      <c r="L9" s="348"/>
      <c r="M9" s="355">
        <v>-86</v>
      </c>
      <c r="N9" s="344">
        <v>-190</v>
      </c>
      <c r="O9" s="344">
        <v>-210</v>
      </c>
      <c r="P9" s="357">
        <v>-180</v>
      </c>
      <c r="Q9" s="356">
        <v>-321</v>
      </c>
      <c r="R9" s="356">
        <v>-359</v>
      </c>
      <c r="S9" s="356">
        <v>-741</v>
      </c>
      <c r="T9" s="357">
        <v>-326</v>
      </c>
      <c r="U9" s="356">
        <v>-651</v>
      </c>
      <c r="V9" s="356">
        <v>-690</v>
      </c>
      <c r="W9" s="356">
        <v>-559</v>
      </c>
      <c r="X9" s="357">
        <v>-257</v>
      </c>
      <c r="Y9" s="356">
        <v>-385</v>
      </c>
      <c r="Z9" s="356">
        <v>-344</v>
      </c>
      <c r="AA9" s="356">
        <v>-544</v>
      </c>
      <c r="AB9" s="357">
        <v>-527</v>
      </c>
      <c r="AC9" s="356">
        <v>-471</v>
      </c>
      <c r="AD9" s="356">
        <v>-581</v>
      </c>
      <c r="AE9" s="356">
        <v>-456</v>
      </c>
      <c r="AF9" s="357">
        <v>-470</v>
      </c>
      <c r="AG9" s="356">
        <v>-639</v>
      </c>
      <c r="AH9" s="356">
        <v>-661</v>
      </c>
      <c r="AI9" s="356">
        <v>-466</v>
      </c>
      <c r="AJ9" s="357">
        <v>-910</v>
      </c>
      <c r="AK9" s="356">
        <v>-922</v>
      </c>
      <c r="AL9" s="356">
        <v>-1078</v>
      </c>
      <c r="AM9" s="356">
        <v>-849</v>
      </c>
      <c r="AN9" s="357">
        <v>-682</v>
      </c>
      <c r="AO9" s="356">
        <v>-714</v>
      </c>
      <c r="AP9" s="356">
        <v>-1040</v>
      </c>
      <c r="AQ9" s="356">
        <v>-773</v>
      </c>
      <c r="AR9" s="357">
        <v>-512</v>
      </c>
      <c r="AS9" s="356">
        <v>-655</v>
      </c>
      <c r="AT9" s="356">
        <v>-1025</v>
      </c>
      <c r="AU9" s="356">
        <v>-500</v>
      </c>
    </row>
    <row r="10" spans="1:47" ht="12.75" x14ac:dyDescent="0.2">
      <c r="A10" s="354" t="s">
        <v>442</v>
      </c>
      <c r="B10" s="358">
        <v>-45</v>
      </c>
      <c r="C10" s="358">
        <v>-67</v>
      </c>
      <c r="D10" s="356">
        <v>-90</v>
      </c>
      <c r="E10" s="356">
        <v>-52</v>
      </c>
      <c r="F10" s="356">
        <v>-61</v>
      </c>
      <c r="G10" s="356">
        <v>-54</v>
      </c>
      <c r="H10" s="356">
        <v>-57</v>
      </c>
      <c r="I10" s="356">
        <v>-45</v>
      </c>
      <c r="J10" s="356">
        <v>-71</v>
      </c>
      <c r="K10" s="356">
        <v>-68</v>
      </c>
      <c r="L10" s="348"/>
      <c r="M10" s="358">
        <v>-41</v>
      </c>
      <c r="N10" s="359">
        <v>-10</v>
      </c>
      <c r="O10" s="359">
        <v>-26</v>
      </c>
      <c r="P10" s="357">
        <v>-13</v>
      </c>
      <c r="Q10" s="356">
        <v>-35</v>
      </c>
      <c r="R10" s="356">
        <v>-11</v>
      </c>
      <c r="S10" s="356">
        <v>-10</v>
      </c>
      <c r="T10" s="357">
        <v>4</v>
      </c>
      <c r="U10" s="356">
        <v>-17</v>
      </c>
      <c r="V10" s="356">
        <v>-13</v>
      </c>
      <c r="W10" s="356">
        <v>-13</v>
      </c>
      <c r="X10" s="357">
        <v>-18</v>
      </c>
      <c r="Y10" s="356">
        <v>-1</v>
      </c>
      <c r="Z10" s="356">
        <v>-25</v>
      </c>
      <c r="AA10" s="356">
        <v>-8</v>
      </c>
      <c r="AB10" s="357">
        <v>-20</v>
      </c>
      <c r="AC10" s="356">
        <v>-10</v>
      </c>
      <c r="AD10" s="356">
        <v>-11</v>
      </c>
      <c r="AE10" s="356">
        <v>-20</v>
      </c>
      <c r="AF10" s="357">
        <v>-16</v>
      </c>
      <c r="AG10" s="356">
        <v>-12</v>
      </c>
      <c r="AH10" s="356">
        <v>-13</v>
      </c>
      <c r="AI10" s="356">
        <v>-12</v>
      </c>
      <c r="AJ10" s="357">
        <v>-8</v>
      </c>
      <c r="AK10" s="356">
        <v>-20</v>
      </c>
      <c r="AL10" s="356">
        <v>-16</v>
      </c>
      <c r="AM10" s="356">
        <v>-16</v>
      </c>
      <c r="AN10" s="357">
        <v>-19</v>
      </c>
      <c r="AO10" s="356">
        <v>7</v>
      </c>
      <c r="AP10" s="356">
        <v>-41</v>
      </c>
      <c r="AQ10" s="356">
        <v>-19</v>
      </c>
      <c r="AR10" s="357">
        <v>-15</v>
      </c>
      <c r="AS10" s="356">
        <v>-3</v>
      </c>
      <c r="AT10" s="356">
        <v>-16</v>
      </c>
      <c r="AU10" s="356">
        <v>-23</v>
      </c>
    </row>
    <row r="11" spans="1:47" ht="12.75" x14ac:dyDescent="0.2">
      <c r="A11" s="354" t="s">
        <v>443</v>
      </c>
      <c r="B11" s="355">
        <v>417</v>
      </c>
      <c r="C11" s="355">
        <v>895</v>
      </c>
      <c r="D11" s="356">
        <v>-403</v>
      </c>
      <c r="E11" s="356">
        <v>-1875</v>
      </c>
      <c r="F11" s="356">
        <v>337</v>
      </c>
      <c r="G11" s="356">
        <v>1121</v>
      </c>
      <c r="H11" s="356">
        <v>-619</v>
      </c>
      <c r="I11" s="356">
        <v>-3737</v>
      </c>
      <c r="J11" s="356">
        <v>-3708</v>
      </c>
      <c r="K11" s="356">
        <v>-574</v>
      </c>
      <c r="L11" s="348"/>
      <c r="M11" s="355">
        <v>-79</v>
      </c>
      <c r="N11" s="344">
        <v>-53</v>
      </c>
      <c r="O11" s="344">
        <v>-114</v>
      </c>
      <c r="P11" s="357">
        <v>-157</v>
      </c>
      <c r="Q11" s="356">
        <v>-465</v>
      </c>
      <c r="R11" s="356">
        <v>-1226</v>
      </c>
      <c r="S11" s="356">
        <v>-599</v>
      </c>
      <c r="T11" s="357">
        <v>415</v>
      </c>
      <c r="U11" s="356">
        <v>-720</v>
      </c>
      <c r="V11" s="356">
        <v>-131</v>
      </c>
      <c r="W11" s="356">
        <v>126</v>
      </c>
      <c r="X11" s="357">
        <v>1062</v>
      </c>
      <c r="Y11" s="356">
        <v>-519</v>
      </c>
      <c r="Z11" s="356">
        <v>985</v>
      </c>
      <c r="AA11" s="356">
        <v>-32</v>
      </c>
      <c r="AB11" s="357">
        <v>687</v>
      </c>
      <c r="AC11" s="356">
        <v>-156</v>
      </c>
      <c r="AD11" s="356">
        <v>-223</v>
      </c>
      <c r="AE11" s="356">
        <v>-487</v>
      </c>
      <c r="AF11" s="357">
        <v>247</v>
      </c>
      <c r="AG11" s="356">
        <v>-1169</v>
      </c>
      <c r="AH11" s="356">
        <v>-436</v>
      </c>
      <c r="AI11" s="356">
        <v>-1131</v>
      </c>
      <c r="AJ11" s="357">
        <v>-1001</v>
      </c>
      <c r="AK11" s="356">
        <v>-1839</v>
      </c>
      <c r="AL11" s="356">
        <v>-640</v>
      </c>
      <c r="AM11" s="356">
        <v>-840</v>
      </c>
      <c r="AN11" s="357">
        <v>-389</v>
      </c>
      <c r="AO11" s="356">
        <v>-643</v>
      </c>
      <c r="AP11" s="356">
        <v>-285</v>
      </c>
      <c r="AQ11" s="356">
        <v>-573</v>
      </c>
      <c r="AR11" s="357">
        <v>927</v>
      </c>
      <c r="AS11" s="356">
        <v>-773</v>
      </c>
      <c r="AT11" s="356">
        <v>-446</v>
      </c>
      <c r="AU11" s="356">
        <v>6</v>
      </c>
    </row>
    <row r="12" spans="1:47" ht="12.75" x14ac:dyDescent="0.2">
      <c r="A12" s="354" t="s">
        <v>444</v>
      </c>
      <c r="B12" s="355">
        <v>-899</v>
      </c>
      <c r="C12" s="355">
        <v>-677</v>
      </c>
      <c r="D12" s="356">
        <v>-793</v>
      </c>
      <c r="E12" s="356">
        <v>-896</v>
      </c>
      <c r="F12" s="356">
        <v>-915</v>
      </c>
      <c r="G12" s="356">
        <v>-595</v>
      </c>
      <c r="H12" s="356">
        <v>-775</v>
      </c>
      <c r="I12" s="356">
        <v>-875</v>
      </c>
      <c r="J12" s="356">
        <v>-1095</v>
      </c>
      <c r="K12" s="356">
        <v>-878</v>
      </c>
      <c r="L12" s="348"/>
      <c r="M12" s="355">
        <v>-120</v>
      </c>
      <c r="N12" s="344">
        <v>-241</v>
      </c>
      <c r="O12" s="344">
        <v>-189</v>
      </c>
      <c r="P12" s="357">
        <v>-243</v>
      </c>
      <c r="Q12" s="356">
        <v>-178</v>
      </c>
      <c r="R12" s="356">
        <v>-265</v>
      </c>
      <c r="S12" s="356">
        <v>-215</v>
      </c>
      <c r="T12" s="357">
        <v>-238</v>
      </c>
      <c r="U12" s="356">
        <v>-266</v>
      </c>
      <c r="V12" s="356">
        <v>-279</v>
      </c>
      <c r="W12" s="356">
        <v>-181</v>
      </c>
      <c r="X12" s="357">
        <v>-189</v>
      </c>
      <c r="Y12" s="356">
        <v>-120</v>
      </c>
      <c r="Z12" s="356">
        <v>-194</v>
      </c>
      <c r="AA12" s="356">
        <v>-149</v>
      </c>
      <c r="AB12" s="357">
        <v>-132</v>
      </c>
      <c r="AC12" s="356">
        <v>-113</v>
      </c>
      <c r="AD12" s="356">
        <v>-255</v>
      </c>
      <c r="AE12" s="356">
        <v>-164</v>
      </c>
      <c r="AF12" s="357">
        <v>-243</v>
      </c>
      <c r="AG12" s="356">
        <v>-170</v>
      </c>
      <c r="AH12" s="356">
        <v>-298</v>
      </c>
      <c r="AI12" s="356">
        <v>-238</v>
      </c>
      <c r="AJ12" s="357">
        <v>-169</v>
      </c>
      <c r="AK12" s="356">
        <v>-222</v>
      </c>
      <c r="AL12" s="356">
        <v>-354</v>
      </c>
      <c r="AM12" s="356">
        <v>-236</v>
      </c>
      <c r="AN12" s="357">
        <v>-283</v>
      </c>
      <c r="AO12" s="356">
        <v>-214</v>
      </c>
      <c r="AP12" s="356">
        <v>-329</v>
      </c>
      <c r="AQ12" s="356">
        <v>-131</v>
      </c>
      <c r="AR12" s="357">
        <v>-204</v>
      </c>
      <c r="AS12" s="356">
        <v>-178</v>
      </c>
      <c r="AT12" s="356">
        <v>-329</v>
      </c>
      <c r="AU12" s="356">
        <v>-202</v>
      </c>
    </row>
    <row r="13" spans="1:47" ht="12.75" x14ac:dyDescent="0.2">
      <c r="A13" s="354" t="s">
        <v>445</v>
      </c>
      <c r="B13" s="355">
        <v>335</v>
      </c>
      <c r="C13" s="355">
        <v>386</v>
      </c>
      <c r="D13" s="356">
        <v>422</v>
      </c>
      <c r="E13" s="356">
        <v>522</v>
      </c>
      <c r="F13" s="356">
        <v>572</v>
      </c>
      <c r="G13" s="356">
        <v>376</v>
      </c>
      <c r="H13" s="356">
        <v>348</v>
      </c>
      <c r="I13" s="356">
        <v>358</v>
      </c>
      <c r="J13" s="356">
        <v>521</v>
      </c>
      <c r="K13" s="356">
        <v>595</v>
      </c>
      <c r="L13" s="348"/>
      <c r="M13" s="355">
        <v>77</v>
      </c>
      <c r="N13" s="344">
        <v>91</v>
      </c>
      <c r="O13" s="344">
        <v>123</v>
      </c>
      <c r="P13" s="357">
        <v>131</v>
      </c>
      <c r="Q13" s="356">
        <v>76</v>
      </c>
      <c r="R13" s="356">
        <v>107</v>
      </c>
      <c r="S13" s="356">
        <v>114</v>
      </c>
      <c r="T13" s="357">
        <v>225</v>
      </c>
      <c r="U13" s="356">
        <v>82</v>
      </c>
      <c r="V13" s="356">
        <v>143</v>
      </c>
      <c r="W13" s="356">
        <v>213</v>
      </c>
      <c r="X13" s="357">
        <v>134</v>
      </c>
      <c r="Y13" s="356">
        <v>61</v>
      </c>
      <c r="Z13" s="356">
        <v>85</v>
      </c>
      <c r="AA13" s="356">
        <v>112</v>
      </c>
      <c r="AB13" s="357">
        <v>118</v>
      </c>
      <c r="AC13" s="356">
        <v>83</v>
      </c>
      <c r="AD13" s="356">
        <v>70</v>
      </c>
      <c r="AE13" s="356">
        <v>89</v>
      </c>
      <c r="AF13" s="357">
        <v>106</v>
      </c>
      <c r="AG13" s="356">
        <v>109</v>
      </c>
      <c r="AH13" s="356">
        <v>75</v>
      </c>
      <c r="AI13" s="356">
        <v>90</v>
      </c>
      <c r="AJ13" s="357">
        <v>84</v>
      </c>
      <c r="AK13" s="356">
        <v>130</v>
      </c>
      <c r="AL13" s="356">
        <v>168</v>
      </c>
      <c r="AM13" s="356">
        <v>90</v>
      </c>
      <c r="AN13" s="357">
        <v>133</v>
      </c>
      <c r="AO13" s="356">
        <v>147</v>
      </c>
      <c r="AP13" s="356">
        <v>80</v>
      </c>
      <c r="AQ13" s="356">
        <v>141</v>
      </c>
      <c r="AR13" s="357">
        <v>227</v>
      </c>
      <c r="AS13" s="356">
        <v>165</v>
      </c>
      <c r="AT13" s="356">
        <v>104</v>
      </c>
      <c r="AU13" s="356">
        <v>139</v>
      </c>
    </row>
    <row r="14" spans="1:47" ht="12.75" x14ac:dyDescent="0.2">
      <c r="A14" s="360" t="s">
        <v>446</v>
      </c>
      <c r="B14" s="361">
        <v>5858</v>
      </c>
      <c r="C14" s="361">
        <v>5402</v>
      </c>
      <c r="D14" s="361">
        <v>5176</v>
      </c>
      <c r="E14" s="361">
        <v>4324</v>
      </c>
      <c r="F14" s="361">
        <v>7228</v>
      </c>
      <c r="G14" s="361">
        <v>8334</v>
      </c>
      <c r="H14" s="361">
        <v>7607</v>
      </c>
      <c r="I14" s="361">
        <v>5558</v>
      </c>
      <c r="J14" s="361">
        <v>7143</v>
      </c>
      <c r="K14" s="361">
        <v>10460</v>
      </c>
      <c r="L14" s="348"/>
      <c r="M14" s="361">
        <v>1255</v>
      </c>
      <c r="N14" s="361">
        <v>1486</v>
      </c>
      <c r="O14" s="361">
        <v>1419</v>
      </c>
      <c r="P14" s="362">
        <v>1016</v>
      </c>
      <c r="Q14" s="361">
        <v>979</v>
      </c>
      <c r="R14" s="361">
        <v>-62</v>
      </c>
      <c r="S14" s="361">
        <v>920</v>
      </c>
      <c r="T14" s="362">
        <v>2487</v>
      </c>
      <c r="U14" s="361">
        <v>589</v>
      </c>
      <c r="V14" s="361">
        <v>1610</v>
      </c>
      <c r="W14" s="361">
        <v>1852</v>
      </c>
      <c r="X14" s="362">
        <v>3177</v>
      </c>
      <c r="Y14" s="361">
        <v>1781</v>
      </c>
      <c r="Z14" s="361">
        <v>2383</v>
      </c>
      <c r="AA14" s="361">
        <v>1819</v>
      </c>
      <c r="AB14" s="362">
        <v>2351</v>
      </c>
      <c r="AC14" s="361">
        <v>1823</v>
      </c>
      <c r="AD14" s="361">
        <v>1422</v>
      </c>
      <c r="AE14" s="361">
        <v>1818</v>
      </c>
      <c r="AF14" s="362">
        <v>2544</v>
      </c>
      <c r="AG14" s="361">
        <v>751</v>
      </c>
      <c r="AH14" s="361">
        <v>1400</v>
      </c>
      <c r="AI14" s="361">
        <v>1664</v>
      </c>
      <c r="AJ14" s="362">
        <v>1743</v>
      </c>
      <c r="AK14" s="361">
        <v>739</v>
      </c>
      <c r="AL14" s="361">
        <v>1694</v>
      </c>
      <c r="AM14" s="361">
        <v>1917</v>
      </c>
      <c r="AN14" s="362">
        <v>2793</v>
      </c>
      <c r="AO14" s="361">
        <v>2404</v>
      </c>
      <c r="AP14" s="361">
        <v>1611</v>
      </c>
      <c r="AQ14" s="361">
        <v>2501</v>
      </c>
      <c r="AR14" s="362">
        <v>3944</v>
      </c>
      <c r="AS14" s="361">
        <v>2588</v>
      </c>
      <c r="AT14" s="361">
        <v>2122</v>
      </c>
      <c r="AU14" s="361">
        <v>2884</v>
      </c>
    </row>
    <row r="15" spans="1:47" ht="12.75" x14ac:dyDescent="0.2">
      <c r="A15" s="363"/>
      <c r="B15" s="364"/>
      <c r="C15" s="364"/>
      <c r="D15" s="364"/>
      <c r="E15" s="364"/>
      <c r="F15" s="364"/>
      <c r="G15" s="364"/>
      <c r="H15" s="364"/>
      <c r="I15" s="364" t="s">
        <v>306</v>
      </c>
      <c r="J15" s="364"/>
      <c r="K15" s="364"/>
      <c r="L15" s="348"/>
      <c r="M15" s="364"/>
      <c r="N15" s="364"/>
      <c r="O15" s="364"/>
      <c r="P15" s="365"/>
      <c r="Q15" s="364"/>
      <c r="R15" s="364"/>
      <c r="S15" s="364"/>
      <c r="T15" s="365"/>
      <c r="U15" s="364"/>
      <c r="V15" s="364"/>
      <c r="W15" s="364"/>
      <c r="X15" s="365"/>
      <c r="Y15" s="364"/>
      <c r="Z15" s="364"/>
      <c r="AA15" s="364"/>
      <c r="AB15" s="365"/>
      <c r="AC15" s="364"/>
      <c r="AD15" s="364"/>
      <c r="AE15" s="364"/>
      <c r="AF15" s="365"/>
      <c r="AG15" s="364"/>
      <c r="AH15" s="364"/>
      <c r="AI15" s="364"/>
      <c r="AJ15" s="365"/>
      <c r="AK15" s="364"/>
      <c r="AL15" s="364"/>
      <c r="AM15" s="364"/>
      <c r="AN15" s="365"/>
      <c r="AO15" s="364"/>
      <c r="AP15" s="364"/>
      <c r="AQ15" s="364"/>
      <c r="AR15" s="365"/>
      <c r="AS15" s="364"/>
      <c r="AT15" s="364"/>
      <c r="AU15" s="364"/>
    </row>
    <row r="16" spans="1:47" ht="12.75" x14ac:dyDescent="0.2">
      <c r="A16" s="349" t="s">
        <v>447</v>
      </c>
      <c r="B16" s="350"/>
      <c r="C16" s="350"/>
      <c r="D16" s="356"/>
      <c r="E16" s="356"/>
      <c r="F16" s="356"/>
      <c r="G16" s="356"/>
      <c r="H16" s="356"/>
      <c r="I16" s="356" t="s">
        <v>306</v>
      </c>
      <c r="J16" s="356"/>
      <c r="K16" s="356"/>
      <c r="L16" s="348"/>
      <c r="M16" s="350"/>
      <c r="N16" s="366"/>
      <c r="O16" s="366"/>
      <c r="P16" s="357"/>
      <c r="Q16" s="356"/>
      <c r="R16" s="356"/>
      <c r="S16" s="356"/>
      <c r="T16" s="357"/>
      <c r="U16" s="356"/>
      <c r="V16" s="356"/>
      <c r="W16" s="356"/>
      <c r="X16" s="357"/>
      <c r="Y16" s="356"/>
      <c r="Z16" s="356"/>
      <c r="AA16" s="356"/>
      <c r="AB16" s="357"/>
      <c r="AC16" s="356"/>
      <c r="AD16" s="356"/>
      <c r="AE16" s="356"/>
      <c r="AF16" s="357"/>
      <c r="AG16" s="356"/>
      <c r="AH16" s="356"/>
      <c r="AI16" s="356"/>
      <c r="AJ16" s="357"/>
      <c r="AK16" s="356"/>
      <c r="AL16" s="356"/>
      <c r="AM16" s="356"/>
      <c r="AN16" s="357"/>
      <c r="AO16" s="356"/>
      <c r="AP16" s="356"/>
      <c r="AQ16" s="356"/>
      <c r="AR16" s="357"/>
      <c r="AS16" s="356"/>
      <c r="AT16" s="356"/>
      <c r="AU16" s="356"/>
    </row>
    <row r="17" spans="1:47" ht="12.75" x14ac:dyDescent="0.2">
      <c r="A17" s="354" t="s">
        <v>448</v>
      </c>
      <c r="B17" s="355">
        <v>-368</v>
      </c>
      <c r="C17" s="355">
        <v>-293</v>
      </c>
      <c r="D17" s="356">
        <v>-424</v>
      </c>
      <c r="E17" s="356">
        <v>-577</v>
      </c>
      <c r="F17" s="356">
        <v>-486</v>
      </c>
      <c r="G17" s="356">
        <v>-507</v>
      </c>
      <c r="H17" s="356">
        <v>-489</v>
      </c>
      <c r="I17" s="356">
        <v>-600</v>
      </c>
      <c r="J17" s="356">
        <v>-1044</v>
      </c>
      <c r="K17" s="356">
        <v>-890</v>
      </c>
      <c r="L17" s="348"/>
      <c r="M17" s="355">
        <v>-108</v>
      </c>
      <c r="N17" s="344">
        <v>-116</v>
      </c>
      <c r="O17" s="344">
        <v>-85</v>
      </c>
      <c r="P17" s="357">
        <v>-115</v>
      </c>
      <c r="Q17" s="356">
        <v>-129</v>
      </c>
      <c r="R17" s="356">
        <v>-161</v>
      </c>
      <c r="S17" s="356">
        <v>-136</v>
      </c>
      <c r="T17" s="357">
        <v>-151</v>
      </c>
      <c r="U17" s="356">
        <v>-158</v>
      </c>
      <c r="V17" s="356">
        <v>-117</v>
      </c>
      <c r="W17" s="356">
        <v>-111</v>
      </c>
      <c r="X17" s="357">
        <v>-100</v>
      </c>
      <c r="Y17" s="356">
        <v>-120</v>
      </c>
      <c r="Z17" s="356">
        <v>-107</v>
      </c>
      <c r="AA17" s="356">
        <v>-129</v>
      </c>
      <c r="AB17" s="357">
        <v>-151</v>
      </c>
      <c r="AC17" s="356">
        <v>-141</v>
      </c>
      <c r="AD17" s="356">
        <v>-100</v>
      </c>
      <c r="AE17" s="356">
        <v>-154</v>
      </c>
      <c r="AF17" s="357">
        <v>-94</v>
      </c>
      <c r="AG17" s="356">
        <v>-144</v>
      </c>
      <c r="AH17" s="356">
        <v>-126</v>
      </c>
      <c r="AI17" s="356">
        <v>-112</v>
      </c>
      <c r="AJ17" s="357">
        <v>-218</v>
      </c>
      <c r="AK17" s="356">
        <v>-234</v>
      </c>
      <c r="AL17" s="356">
        <v>-219</v>
      </c>
      <c r="AM17" s="356">
        <v>-222</v>
      </c>
      <c r="AN17" s="357">
        <v>-369</v>
      </c>
      <c r="AO17" s="356">
        <v>-215</v>
      </c>
      <c r="AP17" s="356">
        <v>-200</v>
      </c>
      <c r="AQ17" s="356">
        <v>-201</v>
      </c>
      <c r="AR17" s="357">
        <v>-274</v>
      </c>
      <c r="AS17" s="356">
        <v>-269</v>
      </c>
      <c r="AT17" s="356">
        <v>-300</v>
      </c>
      <c r="AU17" s="356">
        <v>-199</v>
      </c>
    </row>
    <row r="18" spans="1:47" ht="12.75" x14ac:dyDescent="0.2">
      <c r="A18" s="354" t="s">
        <v>449</v>
      </c>
      <c r="B18" s="355">
        <v>453</v>
      </c>
      <c r="C18" s="355">
        <v>58</v>
      </c>
      <c r="D18" s="356">
        <v>70</v>
      </c>
      <c r="E18" s="356">
        <v>26</v>
      </c>
      <c r="F18" s="356">
        <v>60</v>
      </c>
      <c r="G18" s="356">
        <v>84</v>
      </c>
      <c r="H18" s="356">
        <v>1</v>
      </c>
      <c r="I18" s="356">
        <v>62</v>
      </c>
      <c r="J18" s="356">
        <v>53</v>
      </c>
      <c r="K18" s="356">
        <v>16</v>
      </c>
      <c r="L18" s="348"/>
      <c r="M18" s="355">
        <v>13</v>
      </c>
      <c r="N18" s="344">
        <v>2</v>
      </c>
      <c r="O18" s="344">
        <v>16</v>
      </c>
      <c r="P18" s="357">
        <v>39</v>
      </c>
      <c r="Q18" s="356">
        <v>10</v>
      </c>
      <c r="R18" s="356">
        <v>6</v>
      </c>
      <c r="S18" s="356">
        <v>8</v>
      </c>
      <c r="T18" s="357">
        <v>2</v>
      </c>
      <c r="U18" s="356">
        <v>9</v>
      </c>
      <c r="V18" s="356">
        <v>16</v>
      </c>
      <c r="W18" s="356">
        <v>18</v>
      </c>
      <c r="X18" s="357">
        <v>17</v>
      </c>
      <c r="Y18" s="356">
        <v>20</v>
      </c>
      <c r="Z18" s="356">
        <v>1</v>
      </c>
      <c r="AA18" s="356">
        <v>1</v>
      </c>
      <c r="AB18" s="357">
        <v>62</v>
      </c>
      <c r="AC18" s="356">
        <v>-1</v>
      </c>
      <c r="AD18" s="356">
        <v>-2</v>
      </c>
      <c r="AE18" s="356" t="s">
        <v>195</v>
      </c>
      <c r="AF18" s="357">
        <v>4</v>
      </c>
      <c r="AG18" s="356">
        <v>9</v>
      </c>
      <c r="AH18" s="356">
        <v>3</v>
      </c>
      <c r="AI18" s="356">
        <v>14</v>
      </c>
      <c r="AJ18" s="357">
        <v>36</v>
      </c>
      <c r="AK18" s="356">
        <v>7</v>
      </c>
      <c r="AL18" s="356">
        <v>19</v>
      </c>
      <c r="AM18" s="356">
        <v>9</v>
      </c>
      <c r="AN18" s="357">
        <v>18</v>
      </c>
      <c r="AO18" s="356">
        <v>11</v>
      </c>
      <c r="AP18" s="356">
        <v>4</v>
      </c>
      <c r="AQ18" s="344" t="s">
        <v>195</v>
      </c>
      <c r="AR18" s="357">
        <v>1</v>
      </c>
      <c r="AS18" s="356">
        <v>6</v>
      </c>
      <c r="AT18" s="356">
        <v>8</v>
      </c>
      <c r="AU18" s="356">
        <v>10</v>
      </c>
    </row>
    <row r="19" spans="1:47" ht="12.75" x14ac:dyDescent="0.2">
      <c r="A19" s="354" t="s">
        <v>450</v>
      </c>
      <c r="B19" s="355">
        <v>-313</v>
      </c>
      <c r="C19" s="355">
        <v>-287</v>
      </c>
      <c r="D19" s="356">
        <v>-289</v>
      </c>
      <c r="E19" s="356">
        <v>-459</v>
      </c>
      <c r="F19" s="356">
        <v>-537</v>
      </c>
      <c r="G19" s="356">
        <v>-498</v>
      </c>
      <c r="H19" s="356">
        <v>-437</v>
      </c>
      <c r="I19" s="356">
        <v>-414</v>
      </c>
      <c r="J19" s="356">
        <v>-643</v>
      </c>
      <c r="K19" s="356">
        <v>-966</v>
      </c>
      <c r="L19" s="348"/>
      <c r="M19" s="355">
        <v>-49</v>
      </c>
      <c r="N19" s="344">
        <v>-59</v>
      </c>
      <c r="O19" s="344">
        <v>-108</v>
      </c>
      <c r="P19" s="357">
        <v>-73</v>
      </c>
      <c r="Q19" s="356">
        <v>-103</v>
      </c>
      <c r="R19" s="356">
        <v>-108</v>
      </c>
      <c r="S19" s="356">
        <v>-102</v>
      </c>
      <c r="T19" s="357">
        <v>-146</v>
      </c>
      <c r="U19" s="356">
        <v>-108</v>
      </c>
      <c r="V19" s="356">
        <v>-160</v>
      </c>
      <c r="W19" s="356">
        <v>-90</v>
      </c>
      <c r="X19" s="357">
        <v>-179</v>
      </c>
      <c r="Y19" s="356">
        <v>-120</v>
      </c>
      <c r="Z19" s="356">
        <v>-125</v>
      </c>
      <c r="AA19" s="356">
        <v>-118</v>
      </c>
      <c r="AB19" s="357">
        <v>-135</v>
      </c>
      <c r="AC19" s="356">
        <v>-112</v>
      </c>
      <c r="AD19" s="356">
        <v>-99</v>
      </c>
      <c r="AE19" s="356">
        <v>-96</v>
      </c>
      <c r="AF19" s="357">
        <v>-130</v>
      </c>
      <c r="AG19" s="356">
        <v>-115</v>
      </c>
      <c r="AH19" s="356">
        <v>-121</v>
      </c>
      <c r="AI19" s="356">
        <v>-76</v>
      </c>
      <c r="AJ19" s="357">
        <v>-102</v>
      </c>
      <c r="AK19" s="356">
        <v>-111</v>
      </c>
      <c r="AL19" s="356">
        <v>-214</v>
      </c>
      <c r="AM19" s="356">
        <v>-106</v>
      </c>
      <c r="AN19" s="357">
        <v>-212</v>
      </c>
      <c r="AO19" s="356">
        <v>-176</v>
      </c>
      <c r="AP19" s="356">
        <v>-190</v>
      </c>
      <c r="AQ19" s="356">
        <v>-343</v>
      </c>
      <c r="AR19" s="357">
        <v>-257</v>
      </c>
      <c r="AS19" s="356">
        <v>-207</v>
      </c>
      <c r="AT19" s="356">
        <v>-240</v>
      </c>
      <c r="AU19" s="356">
        <v>-213</v>
      </c>
    </row>
    <row r="20" spans="1:47" ht="12.75" x14ac:dyDescent="0.2">
      <c r="A20" s="354" t="s">
        <v>451</v>
      </c>
      <c r="B20" s="367" t="s">
        <v>195</v>
      </c>
      <c r="C20" s="367" t="s">
        <v>195</v>
      </c>
      <c r="D20" s="367" t="s">
        <v>195</v>
      </c>
      <c r="E20" s="367">
        <v>0</v>
      </c>
      <c r="F20" s="367">
        <v>16</v>
      </c>
      <c r="G20" s="367">
        <v>4</v>
      </c>
      <c r="H20" s="367" t="s">
        <v>195</v>
      </c>
      <c r="I20" s="367" t="s">
        <v>195</v>
      </c>
      <c r="J20" s="367">
        <v>3</v>
      </c>
      <c r="K20" s="367" t="s">
        <v>195</v>
      </c>
      <c r="L20" s="348"/>
      <c r="M20" s="367" t="s">
        <v>195</v>
      </c>
      <c r="N20" s="367" t="s">
        <v>195</v>
      </c>
      <c r="O20" s="367" t="s">
        <v>195</v>
      </c>
      <c r="P20" s="368" t="s">
        <v>195</v>
      </c>
      <c r="Q20" s="367" t="s">
        <v>195</v>
      </c>
      <c r="R20" s="367" t="s">
        <v>195</v>
      </c>
      <c r="S20" s="367" t="s">
        <v>195</v>
      </c>
      <c r="T20" s="368">
        <v>0</v>
      </c>
      <c r="U20" s="367">
        <v>0</v>
      </c>
      <c r="V20" s="367">
        <v>0</v>
      </c>
      <c r="W20" s="367">
        <v>1</v>
      </c>
      <c r="X20" s="368">
        <v>15</v>
      </c>
      <c r="Y20" s="367">
        <v>0</v>
      </c>
      <c r="Z20" s="367">
        <v>-4</v>
      </c>
      <c r="AA20" s="367">
        <v>-1</v>
      </c>
      <c r="AB20" s="368">
        <v>9</v>
      </c>
      <c r="AC20" s="367" t="s">
        <v>195</v>
      </c>
      <c r="AD20" s="367" t="s">
        <v>195</v>
      </c>
      <c r="AE20" s="367" t="s">
        <v>195</v>
      </c>
      <c r="AF20" s="368" t="s">
        <v>195</v>
      </c>
      <c r="AG20" s="367" t="s">
        <v>195</v>
      </c>
      <c r="AH20" s="367" t="s">
        <v>195</v>
      </c>
      <c r="AI20" s="367" t="s">
        <v>195</v>
      </c>
      <c r="AJ20" s="368" t="s">
        <v>195</v>
      </c>
      <c r="AK20" s="367">
        <v>0</v>
      </c>
      <c r="AL20" s="367">
        <v>3</v>
      </c>
      <c r="AM20" s="344" t="s">
        <v>195</v>
      </c>
      <c r="AN20" s="368" t="s">
        <v>195</v>
      </c>
      <c r="AO20" s="367" t="s">
        <v>195</v>
      </c>
      <c r="AP20" s="344" t="s">
        <v>195</v>
      </c>
      <c r="AQ20" s="344" t="s">
        <v>195</v>
      </c>
      <c r="AR20" s="345" t="s">
        <v>195</v>
      </c>
      <c r="AS20" s="367" t="s">
        <v>195</v>
      </c>
      <c r="AT20" s="344">
        <v>9</v>
      </c>
      <c r="AU20" s="344" t="s">
        <v>195</v>
      </c>
    </row>
    <row r="21" spans="1:47" ht="12.75" x14ac:dyDescent="0.2">
      <c r="A21" s="354" t="s">
        <v>452</v>
      </c>
      <c r="B21" s="367" t="s">
        <v>195</v>
      </c>
      <c r="C21" s="367" t="s">
        <v>195</v>
      </c>
      <c r="D21" s="356">
        <v>-137</v>
      </c>
      <c r="E21" s="356">
        <v>-546</v>
      </c>
      <c r="F21" s="356">
        <v>-1137</v>
      </c>
      <c r="G21" s="356">
        <v>-63</v>
      </c>
      <c r="H21" s="356">
        <v>-2358</v>
      </c>
      <c r="I21" s="356">
        <v>-4696</v>
      </c>
      <c r="J21" s="356">
        <v>-3666</v>
      </c>
      <c r="K21" s="356">
        <v>-9658</v>
      </c>
      <c r="L21" s="348"/>
      <c r="M21" s="355">
        <v>-66</v>
      </c>
      <c r="N21" s="344">
        <v>-6</v>
      </c>
      <c r="O21" s="344">
        <v>-65</v>
      </c>
      <c r="P21" s="357">
        <v>0</v>
      </c>
      <c r="Q21" s="356">
        <v>-482</v>
      </c>
      <c r="R21" s="356">
        <v>0</v>
      </c>
      <c r="S21" s="369" t="s">
        <v>195</v>
      </c>
      <c r="T21" s="370">
        <v>-64</v>
      </c>
      <c r="U21" s="356">
        <v>-449</v>
      </c>
      <c r="V21" s="356">
        <v>-578</v>
      </c>
      <c r="W21" s="356">
        <v>-107</v>
      </c>
      <c r="X21" s="357">
        <v>-3</v>
      </c>
      <c r="Y21" s="356">
        <v>-15</v>
      </c>
      <c r="Z21" s="356">
        <v>-15</v>
      </c>
      <c r="AA21" s="356">
        <v>-32</v>
      </c>
      <c r="AB21" s="357">
        <v>-1</v>
      </c>
      <c r="AC21" s="356" t="s">
        <v>195</v>
      </c>
      <c r="AD21" s="356">
        <v>-1284</v>
      </c>
      <c r="AE21" s="356">
        <v>-496</v>
      </c>
      <c r="AF21" s="357">
        <v>-578</v>
      </c>
      <c r="AG21" s="356">
        <v>-18</v>
      </c>
      <c r="AH21" s="356">
        <v>-267</v>
      </c>
      <c r="AI21" s="356">
        <v>-210</v>
      </c>
      <c r="AJ21" s="357">
        <v>-4201</v>
      </c>
      <c r="AK21" s="356">
        <v>-3279</v>
      </c>
      <c r="AL21" s="356">
        <v>-38</v>
      </c>
      <c r="AM21" s="356">
        <v>-7</v>
      </c>
      <c r="AN21" s="357">
        <v>-342</v>
      </c>
      <c r="AO21" s="367" t="s">
        <v>195</v>
      </c>
      <c r="AP21" s="356">
        <v>-8294</v>
      </c>
      <c r="AQ21" s="356">
        <v>-1080</v>
      </c>
      <c r="AR21" s="357">
        <v>-284</v>
      </c>
      <c r="AS21" s="367">
        <v>-75</v>
      </c>
      <c r="AT21" s="356">
        <v>-13</v>
      </c>
      <c r="AU21" s="344" t="s">
        <v>195</v>
      </c>
    </row>
    <row r="22" spans="1:47" ht="12.75" x14ac:dyDescent="0.2">
      <c r="A22" s="354" t="s">
        <v>453</v>
      </c>
      <c r="B22" s="367" t="s">
        <v>195</v>
      </c>
      <c r="C22" s="367" t="s">
        <v>195</v>
      </c>
      <c r="D22" s="344" t="s">
        <v>195</v>
      </c>
      <c r="E22" s="344">
        <v>0</v>
      </c>
      <c r="F22" s="344">
        <v>153</v>
      </c>
      <c r="G22" s="344">
        <v>-12</v>
      </c>
      <c r="H22" s="344">
        <v>6</v>
      </c>
      <c r="I22" s="344">
        <v>10</v>
      </c>
      <c r="J22" s="344" t="s">
        <v>195</v>
      </c>
      <c r="K22" s="344" t="s">
        <v>195</v>
      </c>
      <c r="L22" s="348"/>
      <c r="M22" s="344" t="s">
        <v>195</v>
      </c>
      <c r="N22" s="344" t="s">
        <v>195</v>
      </c>
      <c r="O22" s="344" t="s">
        <v>195</v>
      </c>
      <c r="P22" s="345" t="s">
        <v>195</v>
      </c>
      <c r="Q22" s="344" t="s">
        <v>195</v>
      </c>
      <c r="R22" s="344" t="s">
        <v>195</v>
      </c>
      <c r="S22" s="344" t="s">
        <v>195</v>
      </c>
      <c r="T22" s="345">
        <v>0</v>
      </c>
      <c r="U22" s="344">
        <v>0</v>
      </c>
      <c r="V22" s="344">
        <v>0</v>
      </c>
      <c r="W22" s="344">
        <v>140</v>
      </c>
      <c r="X22" s="345">
        <v>13</v>
      </c>
      <c r="Y22" s="344">
        <v>0</v>
      </c>
      <c r="Z22" s="344">
        <v>-13</v>
      </c>
      <c r="AA22" s="344">
        <v>1</v>
      </c>
      <c r="AB22" s="345">
        <v>0</v>
      </c>
      <c r="AC22" s="344" t="s">
        <v>195</v>
      </c>
      <c r="AD22" s="344">
        <v>2</v>
      </c>
      <c r="AE22" s="344">
        <v>4</v>
      </c>
      <c r="AF22" s="345" t="s">
        <v>195</v>
      </c>
      <c r="AG22" s="344" t="s">
        <v>195</v>
      </c>
      <c r="AH22" s="344">
        <v>10</v>
      </c>
      <c r="AI22" s="344" t="s">
        <v>195</v>
      </c>
      <c r="AJ22" s="345" t="s">
        <v>195</v>
      </c>
      <c r="AK22" s="344" t="s">
        <v>195</v>
      </c>
      <c r="AL22" s="344" t="s">
        <v>195</v>
      </c>
      <c r="AM22" s="344" t="s">
        <v>195</v>
      </c>
      <c r="AN22" s="345" t="s">
        <v>195</v>
      </c>
      <c r="AO22" s="344" t="s">
        <v>195</v>
      </c>
      <c r="AP22" s="344" t="s">
        <v>195</v>
      </c>
      <c r="AQ22" s="344" t="s">
        <v>195</v>
      </c>
      <c r="AR22" s="345" t="s">
        <v>195</v>
      </c>
      <c r="AS22" s="344">
        <v>1</v>
      </c>
      <c r="AT22" s="344" t="s">
        <v>195</v>
      </c>
      <c r="AU22" s="344" t="s">
        <v>195</v>
      </c>
    </row>
    <row r="23" spans="1:47" ht="12.75" x14ac:dyDescent="0.2">
      <c r="A23" s="354" t="s">
        <v>454</v>
      </c>
      <c r="B23" s="371">
        <v>-2947</v>
      </c>
      <c r="C23" s="371">
        <v>-1283</v>
      </c>
      <c r="D23" s="356">
        <v>6323</v>
      </c>
      <c r="E23" s="356">
        <v>219</v>
      </c>
      <c r="F23" s="356">
        <v>276</v>
      </c>
      <c r="G23" s="356">
        <v>384</v>
      </c>
      <c r="H23" s="356">
        <v>-196</v>
      </c>
      <c r="I23" s="356">
        <v>-353</v>
      </c>
      <c r="J23" s="356">
        <v>-467</v>
      </c>
      <c r="K23" s="356">
        <v>-192</v>
      </c>
      <c r="L23" s="348"/>
      <c r="M23" s="371">
        <v>1362</v>
      </c>
      <c r="N23" s="344">
        <v>-1093</v>
      </c>
      <c r="O23" s="344">
        <v>3043</v>
      </c>
      <c r="P23" s="357">
        <v>3011</v>
      </c>
      <c r="Q23" s="356">
        <v>-137</v>
      </c>
      <c r="R23" s="356">
        <v>-54</v>
      </c>
      <c r="S23" s="356">
        <v>292</v>
      </c>
      <c r="T23" s="357">
        <v>118</v>
      </c>
      <c r="U23" s="356">
        <v>-122</v>
      </c>
      <c r="V23" s="356">
        <v>76</v>
      </c>
      <c r="W23" s="356">
        <v>78</v>
      </c>
      <c r="X23" s="357">
        <v>244</v>
      </c>
      <c r="Y23" s="356">
        <v>35</v>
      </c>
      <c r="Z23" s="356">
        <v>144</v>
      </c>
      <c r="AA23" s="356">
        <v>95</v>
      </c>
      <c r="AB23" s="357">
        <v>110</v>
      </c>
      <c r="AC23" s="356">
        <v>-79</v>
      </c>
      <c r="AD23" s="356">
        <v>-3</v>
      </c>
      <c r="AE23" s="356">
        <v>-60</v>
      </c>
      <c r="AF23" s="357">
        <v>-54</v>
      </c>
      <c r="AG23" s="356">
        <v>-86</v>
      </c>
      <c r="AH23" s="356">
        <v>-122</v>
      </c>
      <c r="AI23" s="356">
        <v>-203</v>
      </c>
      <c r="AJ23" s="357">
        <v>58</v>
      </c>
      <c r="AK23" s="356">
        <v>-122</v>
      </c>
      <c r="AL23" s="356">
        <v>-325</v>
      </c>
      <c r="AM23" s="356">
        <v>-45</v>
      </c>
      <c r="AN23" s="357">
        <v>25</v>
      </c>
      <c r="AO23" s="356">
        <v>-131</v>
      </c>
      <c r="AP23" s="356">
        <v>-23</v>
      </c>
      <c r="AQ23" s="356">
        <v>-106</v>
      </c>
      <c r="AR23" s="357">
        <v>68</v>
      </c>
      <c r="AS23" s="356">
        <v>263</v>
      </c>
      <c r="AT23" s="356">
        <v>-156</v>
      </c>
      <c r="AU23" s="356">
        <v>-125</v>
      </c>
    </row>
    <row r="24" spans="1:47" ht="12.75" x14ac:dyDescent="0.2">
      <c r="A24" s="354" t="s">
        <v>455</v>
      </c>
      <c r="B24" s="371"/>
      <c r="C24" s="371"/>
      <c r="D24" s="356"/>
      <c r="E24" s="356"/>
      <c r="F24" s="356"/>
      <c r="G24" s="356"/>
      <c r="H24" s="356"/>
      <c r="I24" s="356"/>
      <c r="J24" s="356">
        <v>527</v>
      </c>
      <c r="K24" s="344" t="s">
        <v>195</v>
      </c>
      <c r="L24" s="348"/>
      <c r="M24" s="371"/>
      <c r="N24" s="344"/>
      <c r="O24" s="344"/>
      <c r="P24" s="357"/>
      <c r="Q24" s="356"/>
      <c r="R24" s="356"/>
      <c r="S24" s="356"/>
      <c r="T24" s="357"/>
      <c r="U24" s="356"/>
      <c r="V24" s="356"/>
      <c r="W24" s="356"/>
      <c r="X24" s="357"/>
      <c r="Y24" s="356"/>
      <c r="Z24" s="356"/>
      <c r="AA24" s="356"/>
      <c r="AB24" s="357"/>
      <c r="AC24" s="356"/>
      <c r="AD24" s="356"/>
      <c r="AE24" s="356"/>
      <c r="AF24" s="357"/>
      <c r="AG24" s="356"/>
      <c r="AH24" s="356"/>
      <c r="AI24" s="356"/>
      <c r="AJ24" s="357"/>
      <c r="AK24" s="356"/>
      <c r="AL24" s="356"/>
      <c r="AM24" s="356"/>
      <c r="AN24" s="357">
        <v>527</v>
      </c>
      <c r="AO24" s="344" t="s">
        <v>195</v>
      </c>
      <c r="AP24" s="344" t="s">
        <v>195</v>
      </c>
      <c r="AQ24" s="344" t="s">
        <v>195</v>
      </c>
      <c r="AR24" s="345" t="s">
        <v>195</v>
      </c>
      <c r="AS24" s="344" t="s">
        <v>195</v>
      </c>
      <c r="AT24" s="344" t="s">
        <v>195</v>
      </c>
      <c r="AU24" s="344" t="s">
        <v>195</v>
      </c>
    </row>
    <row r="25" spans="1:47" ht="12.75" x14ac:dyDescent="0.2">
      <c r="A25" s="360" t="s">
        <v>456</v>
      </c>
      <c r="B25" s="361">
        <v>-3175</v>
      </c>
      <c r="C25" s="361">
        <v>-1805</v>
      </c>
      <c r="D25" s="372">
        <v>5543</v>
      </c>
      <c r="E25" s="372">
        <v>-1337</v>
      </c>
      <c r="F25" s="372">
        <v>-1655</v>
      </c>
      <c r="G25" s="372">
        <v>-608</v>
      </c>
      <c r="H25" s="372">
        <v>-3473</v>
      </c>
      <c r="I25" s="372">
        <v>-5991</v>
      </c>
      <c r="J25" s="372">
        <v>-5237</v>
      </c>
      <c r="K25" s="372">
        <v>-11690</v>
      </c>
      <c r="L25" s="348"/>
      <c r="M25" s="361">
        <v>1152</v>
      </c>
      <c r="N25" s="372">
        <v>-1272</v>
      </c>
      <c r="O25" s="372">
        <v>2801</v>
      </c>
      <c r="P25" s="373">
        <v>2862</v>
      </c>
      <c r="Q25" s="372">
        <v>-841</v>
      </c>
      <c r="R25" s="372">
        <v>-317</v>
      </c>
      <c r="S25" s="372">
        <v>62</v>
      </c>
      <c r="T25" s="373">
        <v>-241</v>
      </c>
      <c r="U25" s="372">
        <v>-828</v>
      </c>
      <c r="V25" s="372">
        <v>-763</v>
      </c>
      <c r="W25" s="372">
        <v>-71</v>
      </c>
      <c r="X25" s="373">
        <v>7</v>
      </c>
      <c r="Y25" s="372">
        <v>-200</v>
      </c>
      <c r="Z25" s="372">
        <v>-119</v>
      </c>
      <c r="AA25" s="372">
        <v>-183</v>
      </c>
      <c r="AB25" s="373">
        <v>-106</v>
      </c>
      <c r="AC25" s="372">
        <v>-333</v>
      </c>
      <c r="AD25" s="372">
        <v>-1486</v>
      </c>
      <c r="AE25" s="372">
        <v>-802</v>
      </c>
      <c r="AF25" s="373">
        <v>-852</v>
      </c>
      <c r="AG25" s="372">
        <v>-354</v>
      </c>
      <c r="AH25" s="372">
        <v>-623</v>
      </c>
      <c r="AI25" s="372">
        <v>-587</v>
      </c>
      <c r="AJ25" s="373">
        <v>-4427</v>
      </c>
      <c r="AK25" s="372">
        <v>-3739</v>
      </c>
      <c r="AL25" s="372">
        <v>-774</v>
      </c>
      <c r="AM25" s="372">
        <v>-371</v>
      </c>
      <c r="AN25" s="373">
        <v>-353</v>
      </c>
      <c r="AO25" s="372">
        <v>-511</v>
      </c>
      <c r="AP25" s="372">
        <v>-8703</v>
      </c>
      <c r="AQ25" s="372">
        <v>-1730</v>
      </c>
      <c r="AR25" s="373">
        <v>-746</v>
      </c>
      <c r="AS25" s="372">
        <v>-281</v>
      </c>
      <c r="AT25" s="372">
        <v>-692</v>
      </c>
      <c r="AU25" s="372">
        <v>-527</v>
      </c>
    </row>
    <row r="26" spans="1:47" ht="12.75" x14ac:dyDescent="0.2">
      <c r="A26" s="363"/>
      <c r="B26" s="364"/>
      <c r="C26" s="364"/>
      <c r="D26" s="374"/>
      <c r="E26" s="374"/>
      <c r="F26" s="374"/>
      <c r="G26" s="374"/>
      <c r="H26" s="374"/>
      <c r="I26" s="374" t="s">
        <v>306</v>
      </c>
      <c r="J26" s="374"/>
      <c r="K26" s="374"/>
      <c r="L26" s="348"/>
      <c r="M26" s="364"/>
      <c r="N26" s="374"/>
      <c r="O26" s="374"/>
      <c r="P26" s="375"/>
      <c r="Q26" s="374"/>
      <c r="R26" s="374"/>
      <c r="S26" s="374"/>
      <c r="T26" s="375"/>
      <c r="U26" s="374"/>
      <c r="V26" s="374"/>
      <c r="W26" s="374"/>
      <c r="X26" s="375"/>
      <c r="Y26" s="374"/>
      <c r="Z26" s="374"/>
      <c r="AA26" s="374"/>
      <c r="AB26" s="375"/>
      <c r="AC26" s="374"/>
      <c r="AD26" s="374"/>
      <c r="AE26" s="374"/>
      <c r="AF26" s="375"/>
      <c r="AG26" s="374"/>
      <c r="AH26" s="374"/>
      <c r="AI26" s="374"/>
      <c r="AJ26" s="375"/>
      <c r="AK26" s="374"/>
      <c r="AL26" s="374"/>
      <c r="AM26" s="374"/>
      <c r="AN26" s="375"/>
      <c r="AO26" s="374"/>
      <c r="AP26" s="374"/>
      <c r="AQ26" s="374"/>
      <c r="AR26" s="375"/>
      <c r="AS26" s="374"/>
      <c r="AT26" s="374"/>
      <c r="AU26" s="374"/>
    </row>
    <row r="27" spans="1:47" ht="12.75" x14ac:dyDescent="0.2">
      <c r="A27" s="349" t="s">
        <v>457</v>
      </c>
      <c r="B27" s="350"/>
      <c r="C27" s="350"/>
      <c r="D27" s="356"/>
      <c r="E27" s="356"/>
      <c r="F27" s="356"/>
      <c r="G27" s="356"/>
      <c r="H27" s="356"/>
      <c r="I27" s="356" t="s">
        <v>306</v>
      </c>
      <c r="J27" s="356"/>
      <c r="K27" s="356"/>
      <c r="L27" s="348"/>
      <c r="M27" s="350"/>
      <c r="N27" s="366"/>
      <c r="O27" s="366"/>
      <c r="P27" s="357"/>
      <c r="Q27" s="356"/>
      <c r="R27" s="356"/>
      <c r="S27" s="356"/>
      <c r="T27" s="357"/>
      <c r="U27" s="356"/>
      <c r="V27" s="356"/>
      <c r="W27" s="356"/>
      <c r="X27" s="357"/>
      <c r="Y27" s="356"/>
      <c r="Z27" s="356"/>
      <c r="AA27" s="356"/>
      <c r="AB27" s="357"/>
      <c r="AC27" s="356"/>
      <c r="AD27" s="356"/>
      <c r="AE27" s="356"/>
      <c r="AF27" s="357"/>
      <c r="AG27" s="356"/>
      <c r="AH27" s="356"/>
      <c r="AI27" s="356"/>
      <c r="AJ27" s="357"/>
      <c r="AK27" s="356"/>
      <c r="AL27" s="356"/>
      <c r="AM27" s="356"/>
      <c r="AN27" s="357"/>
      <c r="AO27" s="356"/>
      <c r="AP27" s="356"/>
      <c r="AQ27" s="356"/>
      <c r="AR27" s="357"/>
      <c r="AS27" s="356"/>
      <c r="AT27" s="356"/>
      <c r="AU27" s="356"/>
    </row>
    <row r="28" spans="1:47" ht="12.75" x14ac:dyDescent="0.2">
      <c r="A28" s="376" t="s">
        <v>458</v>
      </c>
      <c r="B28" s="344" t="s">
        <v>195</v>
      </c>
      <c r="C28" s="344" t="s">
        <v>195</v>
      </c>
      <c r="D28" s="344" t="s">
        <v>195</v>
      </c>
      <c r="E28" s="344" t="s">
        <v>195</v>
      </c>
      <c r="F28" s="344">
        <v>-2523</v>
      </c>
      <c r="G28" s="344">
        <v>-2892</v>
      </c>
      <c r="H28" s="344">
        <v>-3016</v>
      </c>
      <c r="I28" s="344">
        <v>-3619</v>
      </c>
      <c r="J28" s="344">
        <v>-4103</v>
      </c>
      <c r="K28" s="344">
        <v>-4591</v>
      </c>
      <c r="L28" s="348"/>
      <c r="M28" s="344" t="s">
        <v>195</v>
      </c>
      <c r="N28" s="344" t="s">
        <v>195</v>
      </c>
      <c r="O28" s="344" t="s">
        <v>195</v>
      </c>
      <c r="P28" s="345" t="s">
        <v>195</v>
      </c>
      <c r="Q28" s="344" t="s">
        <v>195</v>
      </c>
      <c r="R28" s="344" t="s">
        <v>195</v>
      </c>
      <c r="S28" s="344" t="s">
        <v>195</v>
      </c>
      <c r="T28" s="345" t="s">
        <v>195</v>
      </c>
      <c r="U28" s="344" t="s">
        <v>195</v>
      </c>
      <c r="V28" s="344">
        <v>-1260</v>
      </c>
      <c r="W28" s="344" t="s">
        <v>195</v>
      </c>
      <c r="X28" s="345">
        <v>-1263</v>
      </c>
      <c r="Y28" s="344" t="s">
        <v>195</v>
      </c>
      <c r="Z28" s="344">
        <v>-1445</v>
      </c>
      <c r="AA28" s="344" t="s">
        <v>195</v>
      </c>
      <c r="AB28" s="345">
        <v>-1447</v>
      </c>
      <c r="AC28" s="344" t="s">
        <v>195</v>
      </c>
      <c r="AD28" s="344">
        <v>-1508</v>
      </c>
      <c r="AE28" s="344" t="s">
        <v>195</v>
      </c>
      <c r="AF28" s="345">
        <v>-1508</v>
      </c>
      <c r="AG28" s="344" t="s">
        <v>195</v>
      </c>
      <c r="AH28" s="344">
        <v>-1810</v>
      </c>
      <c r="AI28" s="344" t="s">
        <v>195</v>
      </c>
      <c r="AJ28" s="345">
        <v>-1809</v>
      </c>
      <c r="AK28" s="344" t="s">
        <v>195</v>
      </c>
      <c r="AL28" s="344">
        <v>-2051</v>
      </c>
      <c r="AM28" s="344" t="s">
        <v>195</v>
      </c>
      <c r="AN28" s="345">
        <v>-2052</v>
      </c>
      <c r="AO28" s="344" t="s">
        <v>195</v>
      </c>
      <c r="AP28" s="344">
        <v>-2295</v>
      </c>
      <c r="AQ28" s="344" t="s">
        <v>195</v>
      </c>
      <c r="AR28" s="345">
        <v>-2296</v>
      </c>
      <c r="AS28" s="344" t="s">
        <v>195</v>
      </c>
      <c r="AT28" s="344">
        <v>-2296</v>
      </c>
      <c r="AU28" s="344" t="s">
        <v>195</v>
      </c>
    </row>
    <row r="29" spans="1:47" ht="12.75" x14ac:dyDescent="0.2">
      <c r="A29" s="354" t="s">
        <v>459</v>
      </c>
      <c r="B29" s="344" t="s">
        <v>195</v>
      </c>
      <c r="C29" s="344" t="s">
        <v>195</v>
      </c>
      <c r="D29" s="344" t="s">
        <v>195</v>
      </c>
      <c r="E29" s="344" t="s">
        <v>195</v>
      </c>
      <c r="F29" s="344">
        <v>-8</v>
      </c>
      <c r="G29" s="344">
        <v>-9</v>
      </c>
      <c r="H29" s="344">
        <v>-7</v>
      </c>
      <c r="I29" s="344">
        <v>-2</v>
      </c>
      <c r="J29" s="344">
        <v>-3</v>
      </c>
      <c r="K29" s="344">
        <v>-2</v>
      </c>
      <c r="L29" s="348"/>
      <c r="M29" s="344" t="s">
        <v>195</v>
      </c>
      <c r="N29" s="344" t="s">
        <v>195</v>
      </c>
      <c r="O29" s="344" t="s">
        <v>195</v>
      </c>
      <c r="P29" s="345" t="s">
        <v>195</v>
      </c>
      <c r="Q29" s="344" t="s">
        <v>195</v>
      </c>
      <c r="R29" s="344" t="s">
        <v>195</v>
      </c>
      <c r="S29" s="344" t="s">
        <v>195</v>
      </c>
      <c r="T29" s="345" t="s">
        <v>195</v>
      </c>
      <c r="U29" s="344" t="s">
        <v>195</v>
      </c>
      <c r="V29" s="344">
        <v>-7</v>
      </c>
      <c r="W29" s="344">
        <v>-1</v>
      </c>
      <c r="X29" s="345" t="s">
        <v>195</v>
      </c>
      <c r="Y29" s="344">
        <v>-1</v>
      </c>
      <c r="Z29" s="344">
        <v>0</v>
      </c>
      <c r="AA29" s="344">
        <v>-8</v>
      </c>
      <c r="AB29" s="345">
        <v>0</v>
      </c>
      <c r="AC29" s="344" t="s">
        <v>195</v>
      </c>
      <c r="AD29" s="344">
        <v>-1</v>
      </c>
      <c r="AE29" s="344" t="s">
        <v>195</v>
      </c>
      <c r="AF29" s="345">
        <v>-6</v>
      </c>
      <c r="AG29" s="344" t="s">
        <v>195</v>
      </c>
      <c r="AH29" s="344">
        <v>-1</v>
      </c>
      <c r="AI29" s="344" t="s">
        <v>195</v>
      </c>
      <c r="AJ29" s="345">
        <v>-1</v>
      </c>
      <c r="AK29" s="344" t="s">
        <v>195</v>
      </c>
      <c r="AL29" s="344">
        <v>-1</v>
      </c>
      <c r="AM29" s="344">
        <v>-1</v>
      </c>
      <c r="AN29" s="345">
        <v>-1</v>
      </c>
      <c r="AO29" s="344" t="s">
        <v>195</v>
      </c>
      <c r="AP29" s="344">
        <v>-1</v>
      </c>
      <c r="AQ29" s="344">
        <v>-1</v>
      </c>
      <c r="AR29" s="345" t="s">
        <v>195</v>
      </c>
      <c r="AS29" s="344">
        <v>-14</v>
      </c>
      <c r="AT29" s="344" t="s">
        <v>195</v>
      </c>
      <c r="AU29" s="344">
        <v>-1</v>
      </c>
    </row>
    <row r="30" spans="1:47" ht="12.75" x14ac:dyDescent="0.2">
      <c r="A30" s="354" t="s">
        <v>460</v>
      </c>
      <c r="B30" s="367">
        <v>-299</v>
      </c>
      <c r="C30" s="367">
        <v>-380</v>
      </c>
      <c r="D30" s="356">
        <v>-5178</v>
      </c>
      <c r="E30" s="344" t="s">
        <v>195</v>
      </c>
      <c r="F30" s="344" t="s">
        <v>195</v>
      </c>
      <c r="G30" s="344">
        <v>0</v>
      </c>
      <c r="H30" s="344" t="s">
        <v>195</v>
      </c>
      <c r="I30" s="344" t="s">
        <v>195</v>
      </c>
      <c r="J30" s="344" t="s">
        <v>195</v>
      </c>
      <c r="K30" s="344" t="s">
        <v>195</v>
      </c>
      <c r="L30" s="348"/>
      <c r="M30" s="344" t="s">
        <v>195</v>
      </c>
      <c r="N30" s="344">
        <v>-229</v>
      </c>
      <c r="O30" s="344">
        <v>-3727</v>
      </c>
      <c r="P30" s="357">
        <v>-1222</v>
      </c>
      <c r="Q30" s="344" t="s">
        <v>195</v>
      </c>
      <c r="R30" s="344" t="s">
        <v>195</v>
      </c>
      <c r="S30" s="344" t="s">
        <v>195</v>
      </c>
      <c r="T30" s="345" t="s">
        <v>195</v>
      </c>
      <c r="U30" s="344" t="s">
        <v>195</v>
      </c>
      <c r="V30" s="344" t="s">
        <v>195</v>
      </c>
      <c r="W30" s="344" t="s">
        <v>195</v>
      </c>
      <c r="X30" s="345" t="s">
        <v>195</v>
      </c>
      <c r="Y30" s="344" t="s">
        <v>195</v>
      </c>
      <c r="Z30" s="344" t="s">
        <v>195</v>
      </c>
      <c r="AA30" s="344" t="s">
        <v>195</v>
      </c>
      <c r="AB30" s="345" t="s">
        <v>195</v>
      </c>
      <c r="AC30" s="344" t="s">
        <v>195</v>
      </c>
      <c r="AD30" s="344" t="s">
        <v>195</v>
      </c>
      <c r="AE30" s="344" t="s">
        <v>195</v>
      </c>
      <c r="AF30" s="345" t="s">
        <v>195</v>
      </c>
      <c r="AG30" s="344" t="s">
        <v>195</v>
      </c>
      <c r="AH30" s="344" t="s">
        <v>195</v>
      </c>
      <c r="AI30" s="344" t="s">
        <v>195</v>
      </c>
      <c r="AJ30" s="345" t="s">
        <v>195</v>
      </c>
      <c r="AK30" s="344" t="s">
        <v>195</v>
      </c>
      <c r="AL30" s="344" t="s">
        <v>195</v>
      </c>
      <c r="AM30" s="344" t="s">
        <v>195</v>
      </c>
      <c r="AN30" s="345" t="s">
        <v>195</v>
      </c>
      <c r="AO30" s="344" t="s">
        <v>195</v>
      </c>
      <c r="AP30" s="344" t="s">
        <v>195</v>
      </c>
      <c r="AQ30" s="344" t="s">
        <v>195</v>
      </c>
      <c r="AR30" s="345" t="s">
        <v>195</v>
      </c>
      <c r="AS30" s="344" t="s">
        <v>195</v>
      </c>
      <c r="AT30" s="344" t="s">
        <v>195</v>
      </c>
      <c r="AU30" s="344" t="s">
        <v>195</v>
      </c>
    </row>
    <row r="31" spans="1:47" ht="12.75" x14ac:dyDescent="0.2">
      <c r="A31" s="354" t="s">
        <v>461</v>
      </c>
      <c r="B31" s="344" t="s">
        <v>195</v>
      </c>
      <c r="C31" s="367">
        <v>-91</v>
      </c>
      <c r="D31" s="356">
        <v>6</v>
      </c>
      <c r="E31" s="344" t="s">
        <v>195</v>
      </c>
      <c r="F31" s="344" t="s">
        <v>195</v>
      </c>
      <c r="G31" s="344">
        <v>0</v>
      </c>
      <c r="H31" s="344" t="s">
        <v>195</v>
      </c>
      <c r="I31" s="344">
        <v>-175</v>
      </c>
      <c r="J31" s="344">
        <v>-105</v>
      </c>
      <c r="K31" s="344" t="s">
        <v>195</v>
      </c>
      <c r="L31" s="348"/>
      <c r="M31" s="344">
        <v>6</v>
      </c>
      <c r="N31" s="344" t="s">
        <v>195</v>
      </c>
      <c r="O31" s="344" t="s">
        <v>195</v>
      </c>
      <c r="P31" s="345" t="s">
        <v>195</v>
      </c>
      <c r="Q31" s="344" t="s">
        <v>195</v>
      </c>
      <c r="R31" s="344" t="s">
        <v>195</v>
      </c>
      <c r="S31" s="344" t="s">
        <v>195</v>
      </c>
      <c r="T31" s="345" t="s">
        <v>195</v>
      </c>
      <c r="U31" s="344" t="s">
        <v>195</v>
      </c>
      <c r="V31" s="344" t="s">
        <v>195</v>
      </c>
      <c r="W31" s="344" t="s">
        <v>195</v>
      </c>
      <c r="X31" s="345" t="s">
        <v>195</v>
      </c>
      <c r="Y31" s="344" t="s">
        <v>195</v>
      </c>
      <c r="Z31" s="344" t="s">
        <v>195</v>
      </c>
      <c r="AA31" s="344" t="s">
        <v>195</v>
      </c>
      <c r="AB31" s="345" t="s">
        <v>195</v>
      </c>
      <c r="AC31" s="344" t="s">
        <v>195</v>
      </c>
      <c r="AD31" s="344" t="s">
        <v>195</v>
      </c>
      <c r="AE31" s="344" t="s">
        <v>195</v>
      </c>
      <c r="AF31" s="345" t="s">
        <v>195</v>
      </c>
      <c r="AG31" s="344" t="s">
        <v>195</v>
      </c>
      <c r="AH31" s="344" t="s">
        <v>195</v>
      </c>
      <c r="AI31" s="344">
        <v>-175</v>
      </c>
      <c r="AJ31" s="345" t="s">
        <v>195</v>
      </c>
      <c r="AK31" s="344" t="s">
        <v>195</v>
      </c>
      <c r="AL31" s="344" t="s">
        <v>195</v>
      </c>
      <c r="AM31" s="344" t="s">
        <v>195</v>
      </c>
      <c r="AN31" s="345">
        <v>-105</v>
      </c>
      <c r="AO31" s="344" t="s">
        <v>195</v>
      </c>
      <c r="AP31" s="344" t="s">
        <v>195</v>
      </c>
      <c r="AQ31" s="344" t="s">
        <v>195</v>
      </c>
      <c r="AR31" s="345" t="s">
        <v>195</v>
      </c>
      <c r="AS31" s="344" t="s">
        <v>195</v>
      </c>
      <c r="AT31" s="344">
        <v>-355</v>
      </c>
      <c r="AU31" s="344" t="s">
        <v>195</v>
      </c>
    </row>
    <row r="32" spans="1:47" ht="12.75" x14ac:dyDescent="0.2">
      <c r="A32" s="354" t="s">
        <v>462</v>
      </c>
      <c r="B32" s="344" t="s">
        <v>195</v>
      </c>
      <c r="C32" s="344" t="s">
        <v>195</v>
      </c>
      <c r="D32" s="344" t="s">
        <v>195</v>
      </c>
      <c r="E32" s="344" t="s">
        <v>195</v>
      </c>
      <c r="F32" s="344" t="s">
        <v>195</v>
      </c>
      <c r="G32" s="344" t="s">
        <v>195</v>
      </c>
      <c r="H32" s="344">
        <v>-3619</v>
      </c>
      <c r="I32" s="344" t="s">
        <v>195</v>
      </c>
      <c r="J32" s="344" t="s">
        <v>195</v>
      </c>
      <c r="K32" s="344" t="s">
        <v>195</v>
      </c>
      <c r="L32" s="348"/>
      <c r="M32" s="344" t="s">
        <v>195</v>
      </c>
      <c r="N32" s="344" t="s">
        <v>195</v>
      </c>
      <c r="O32" s="344" t="s">
        <v>195</v>
      </c>
      <c r="P32" s="345" t="s">
        <v>195</v>
      </c>
      <c r="Q32" s="344" t="s">
        <v>195</v>
      </c>
      <c r="R32" s="344" t="s">
        <v>195</v>
      </c>
      <c r="S32" s="344" t="s">
        <v>195</v>
      </c>
      <c r="T32" s="345" t="s">
        <v>195</v>
      </c>
      <c r="U32" s="344" t="s">
        <v>195</v>
      </c>
      <c r="V32" s="344" t="s">
        <v>195</v>
      </c>
      <c r="W32" s="344" t="s">
        <v>195</v>
      </c>
      <c r="X32" s="345" t="s">
        <v>195</v>
      </c>
      <c r="Y32" s="344" t="s">
        <v>195</v>
      </c>
      <c r="Z32" s="344" t="s">
        <v>195</v>
      </c>
      <c r="AA32" s="344" t="s">
        <v>195</v>
      </c>
      <c r="AB32" s="345" t="s">
        <v>195</v>
      </c>
      <c r="AC32" s="344" t="s">
        <v>195</v>
      </c>
      <c r="AD32" s="344">
        <v>-3619</v>
      </c>
      <c r="AE32" s="344" t="s">
        <v>195</v>
      </c>
      <c r="AF32" s="345" t="s">
        <v>195</v>
      </c>
      <c r="AG32" s="344" t="s">
        <v>195</v>
      </c>
      <c r="AH32" s="344" t="s">
        <v>195</v>
      </c>
      <c r="AI32" s="344" t="s">
        <v>195</v>
      </c>
      <c r="AJ32" s="345" t="s">
        <v>195</v>
      </c>
      <c r="AK32" s="344" t="s">
        <v>195</v>
      </c>
      <c r="AL32" s="344" t="s">
        <v>195</v>
      </c>
      <c r="AM32" s="344" t="s">
        <v>195</v>
      </c>
      <c r="AN32" s="345" t="s">
        <v>195</v>
      </c>
      <c r="AO32" s="344" t="s">
        <v>195</v>
      </c>
      <c r="AP32" s="344" t="s">
        <v>195</v>
      </c>
      <c r="AQ32" s="344" t="s">
        <v>195</v>
      </c>
      <c r="AR32" s="345" t="s">
        <v>195</v>
      </c>
      <c r="AS32" s="344" t="s">
        <v>195</v>
      </c>
      <c r="AT32" s="344" t="s">
        <v>195</v>
      </c>
      <c r="AU32" s="344" t="s">
        <v>195</v>
      </c>
    </row>
    <row r="33" spans="1:47" ht="12.75" x14ac:dyDescent="0.2">
      <c r="A33" s="354" t="s">
        <v>463</v>
      </c>
      <c r="B33" s="344" t="s">
        <v>195</v>
      </c>
      <c r="C33" s="344" t="s">
        <v>195</v>
      </c>
      <c r="D33" s="344" t="s">
        <v>195</v>
      </c>
      <c r="E33" s="344">
        <v>-1307</v>
      </c>
      <c r="F33" s="344">
        <v>340</v>
      </c>
      <c r="G33" s="344">
        <v>370</v>
      </c>
      <c r="H33" s="344">
        <v>64</v>
      </c>
      <c r="I33" s="344">
        <v>-116</v>
      </c>
      <c r="J33" s="344">
        <v>279</v>
      </c>
      <c r="K33" s="344">
        <v>290</v>
      </c>
      <c r="L33" s="348"/>
      <c r="M33" s="344" t="s">
        <v>195</v>
      </c>
      <c r="N33" s="344" t="s">
        <v>195</v>
      </c>
      <c r="O33" s="344" t="s">
        <v>195</v>
      </c>
      <c r="P33" s="345" t="s">
        <v>195</v>
      </c>
      <c r="Q33" s="344" t="s">
        <v>195</v>
      </c>
      <c r="R33" s="344" t="s">
        <v>195</v>
      </c>
      <c r="S33" s="356">
        <v>-1100</v>
      </c>
      <c r="T33" s="357">
        <v>-207</v>
      </c>
      <c r="U33" s="344">
        <v>-33</v>
      </c>
      <c r="V33" s="344">
        <v>80</v>
      </c>
      <c r="W33" s="344">
        <v>248</v>
      </c>
      <c r="X33" s="345">
        <v>45</v>
      </c>
      <c r="Y33" s="344">
        <v>96</v>
      </c>
      <c r="Z33" s="344">
        <v>43</v>
      </c>
      <c r="AA33" s="344">
        <v>180</v>
      </c>
      <c r="AB33" s="345">
        <v>51</v>
      </c>
      <c r="AC33" s="344">
        <v>44</v>
      </c>
      <c r="AD33" s="344">
        <v>79</v>
      </c>
      <c r="AE33" s="344">
        <v>-61</v>
      </c>
      <c r="AF33" s="345">
        <v>2</v>
      </c>
      <c r="AG33" s="344">
        <v>27</v>
      </c>
      <c r="AH33" s="344">
        <v>49</v>
      </c>
      <c r="AI33" s="344">
        <v>-74</v>
      </c>
      <c r="AJ33" s="345">
        <v>-118</v>
      </c>
      <c r="AK33" s="344">
        <v>160</v>
      </c>
      <c r="AL33" s="344">
        <v>49</v>
      </c>
      <c r="AM33" s="344">
        <v>45</v>
      </c>
      <c r="AN33" s="345">
        <v>25</v>
      </c>
      <c r="AO33" s="344">
        <v>120</v>
      </c>
      <c r="AP33" s="344">
        <v>111</v>
      </c>
      <c r="AQ33" s="344">
        <v>26</v>
      </c>
      <c r="AR33" s="345">
        <v>33</v>
      </c>
      <c r="AS33" s="344">
        <v>104</v>
      </c>
      <c r="AT33" s="344">
        <v>27</v>
      </c>
      <c r="AU33" s="344">
        <v>1</v>
      </c>
    </row>
    <row r="34" spans="1:47" ht="12.75" x14ac:dyDescent="0.2">
      <c r="A34" s="354" t="s">
        <v>464</v>
      </c>
      <c r="B34" s="355">
        <v>433</v>
      </c>
      <c r="C34" s="355">
        <v>510</v>
      </c>
      <c r="D34" s="356">
        <v>-889</v>
      </c>
      <c r="E34" s="356">
        <v>2367</v>
      </c>
      <c r="F34" s="356">
        <v>-820</v>
      </c>
      <c r="G34" s="356">
        <v>1541</v>
      </c>
      <c r="H34" s="356">
        <v>-1858</v>
      </c>
      <c r="I34" s="356">
        <v>686</v>
      </c>
      <c r="J34" s="356">
        <v>1291</v>
      </c>
      <c r="K34" s="356">
        <v>6202</v>
      </c>
      <c r="L34" s="348"/>
      <c r="M34" s="355">
        <v>-2854</v>
      </c>
      <c r="N34" s="344">
        <v>1612</v>
      </c>
      <c r="O34" s="344">
        <v>297</v>
      </c>
      <c r="P34" s="357">
        <v>56</v>
      </c>
      <c r="Q34" s="356">
        <v>275</v>
      </c>
      <c r="R34" s="356">
        <v>2294</v>
      </c>
      <c r="S34" s="356">
        <v>-92</v>
      </c>
      <c r="T34" s="357">
        <v>-110</v>
      </c>
      <c r="U34" s="356">
        <v>-326</v>
      </c>
      <c r="V34" s="356">
        <v>-161</v>
      </c>
      <c r="W34" s="356">
        <v>-152</v>
      </c>
      <c r="X34" s="357">
        <v>-181</v>
      </c>
      <c r="Y34" s="356">
        <v>1</v>
      </c>
      <c r="Z34" s="356">
        <v>2031</v>
      </c>
      <c r="AA34" s="356">
        <v>-508</v>
      </c>
      <c r="AB34" s="357">
        <v>18</v>
      </c>
      <c r="AC34" s="356">
        <v>-457</v>
      </c>
      <c r="AD34" s="356">
        <v>-136</v>
      </c>
      <c r="AE34" s="356">
        <v>-116</v>
      </c>
      <c r="AF34" s="357">
        <v>-1149</v>
      </c>
      <c r="AG34" s="356">
        <v>-77</v>
      </c>
      <c r="AH34" s="356">
        <v>-139</v>
      </c>
      <c r="AI34" s="356">
        <v>672</v>
      </c>
      <c r="AJ34" s="357">
        <v>230</v>
      </c>
      <c r="AK34" s="356">
        <v>146</v>
      </c>
      <c r="AL34" s="356">
        <v>1357</v>
      </c>
      <c r="AM34" s="356">
        <v>-149</v>
      </c>
      <c r="AN34" s="357">
        <v>-63</v>
      </c>
      <c r="AO34" s="356">
        <v>5331</v>
      </c>
      <c r="AP34" s="344">
        <v>2000</v>
      </c>
      <c r="AQ34" s="344">
        <v>-141</v>
      </c>
      <c r="AR34" s="357">
        <v>-988</v>
      </c>
      <c r="AS34" s="356">
        <v>-181</v>
      </c>
      <c r="AT34" s="344">
        <v>-168</v>
      </c>
      <c r="AU34" s="344">
        <v>66</v>
      </c>
    </row>
    <row r="35" spans="1:47" ht="12.75" x14ac:dyDescent="0.2">
      <c r="A35" s="360" t="s">
        <v>465</v>
      </c>
      <c r="B35" s="361">
        <v>134</v>
      </c>
      <c r="C35" s="361">
        <v>39</v>
      </c>
      <c r="D35" s="372">
        <v>-6061</v>
      </c>
      <c r="E35" s="372">
        <v>1060</v>
      </c>
      <c r="F35" s="372">
        <v>-3011</v>
      </c>
      <c r="G35" s="372">
        <v>-990</v>
      </c>
      <c r="H35" s="372">
        <v>-8436</v>
      </c>
      <c r="I35" s="372">
        <v>-3226</v>
      </c>
      <c r="J35" s="372">
        <v>-2641</v>
      </c>
      <c r="K35" s="372">
        <v>1899</v>
      </c>
      <c r="L35" s="348"/>
      <c r="M35" s="361">
        <v>-2848</v>
      </c>
      <c r="N35" s="372">
        <v>1383</v>
      </c>
      <c r="O35" s="372">
        <v>-3430</v>
      </c>
      <c r="P35" s="373">
        <v>-1166</v>
      </c>
      <c r="Q35" s="372">
        <v>275</v>
      </c>
      <c r="R35" s="372">
        <v>2294</v>
      </c>
      <c r="S35" s="372">
        <v>-1192</v>
      </c>
      <c r="T35" s="373">
        <v>-317</v>
      </c>
      <c r="U35" s="372">
        <v>-359</v>
      </c>
      <c r="V35" s="372">
        <v>-1348</v>
      </c>
      <c r="W35" s="372">
        <v>95</v>
      </c>
      <c r="X35" s="373">
        <v>-1399</v>
      </c>
      <c r="Y35" s="372">
        <v>96</v>
      </c>
      <c r="Z35" s="372">
        <v>629</v>
      </c>
      <c r="AA35" s="372">
        <v>-336</v>
      </c>
      <c r="AB35" s="373">
        <v>-1379</v>
      </c>
      <c r="AC35" s="372">
        <v>-413</v>
      </c>
      <c r="AD35" s="372">
        <v>-5185</v>
      </c>
      <c r="AE35" s="372">
        <v>-177</v>
      </c>
      <c r="AF35" s="373">
        <v>-2661</v>
      </c>
      <c r="AG35" s="372">
        <v>-50</v>
      </c>
      <c r="AH35" s="372">
        <v>-1901</v>
      </c>
      <c r="AI35" s="372">
        <v>423</v>
      </c>
      <c r="AJ35" s="373">
        <v>-1698</v>
      </c>
      <c r="AK35" s="372">
        <v>306</v>
      </c>
      <c r="AL35" s="372">
        <v>-646</v>
      </c>
      <c r="AM35" s="372">
        <v>-105</v>
      </c>
      <c r="AN35" s="373">
        <v>-2196</v>
      </c>
      <c r="AO35" s="372">
        <v>5451</v>
      </c>
      <c r="AP35" s="372">
        <v>-185</v>
      </c>
      <c r="AQ35" s="372">
        <v>-116</v>
      </c>
      <c r="AR35" s="373">
        <v>-3251</v>
      </c>
      <c r="AS35" s="372">
        <v>-91</v>
      </c>
      <c r="AT35" s="372">
        <v>-2792</v>
      </c>
      <c r="AU35" s="372">
        <v>66</v>
      </c>
    </row>
    <row r="36" spans="1:47" ht="12.75" x14ac:dyDescent="0.2">
      <c r="A36" s="363"/>
      <c r="B36" s="364"/>
      <c r="C36" s="364"/>
      <c r="D36" s="374"/>
      <c r="E36" s="374"/>
      <c r="F36" s="374"/>
      <c r="G36" s="374"/>
      <c r="H36" s="374"/>
      <c r="I36" s="374"/>
      <c r="J36" s="374"/>
      <c r="K36" s="374"/>
      <c r="L36" s="348"/>
      <c r="M36" s="364"/>
      <c r="N36" s="374"/>
      <c r="O36" s="374"/>
      <c r="P36" s="375"/>
      <c r="Q36" s="374"/>
      <c r="R36" s="374"/>
      <c r="S36" s="374"/>
      <c r="T36" s="375"/>
      <c r="U36" s="374"/>
      <c r="V36" s="374"/>
      <c r="W36" s="374"/>
      <c r="X36" s="375"/>
      <c r="Y36" s="374"/>
      <c r="Z36" s="374"/>
      <c r="AA36" s="374"/>
      <c r="AB36" s="375"/>
      <c r="AC36" s="374"/>
      <c r="AD36" s="374"/>
      <c r="AE36" s="374"/>
      <c r="AF36" s="375"/>
      <c r="AG36" s="374"/>
      <c r="AH36" s="374"/>
      <c r="AI36" s="374"/>
      <c r="AJ36" s="375"/>
      <c r="AK36" s="374"/>
      <c r="AL36" s="374"/>
      <c r="AM36" s="374"/>
      <c r="AN36" s="375"/>
      <c r="AO36" s="374"/>
      <c r="AP36" s="374"/>
      <c r="AQ36" s="374"/>
      <c r="AR36" s="375"/>
      <c r="AS36" s="374"/>
      <c r="AT36" s="374"/>
      <c r="AU36" s="374"/>
    </row>
    <row r="37" spans="1:47" ht="12.75" x14ac:dyDescent="0.2">
      <c r="A37" s="360" t="s">
        <v>466</v>
      </c>
      <c r="B37" s="361">
        <v>2817</v>
      </c>
      <c r="C37" s="361">
        <v>3636</v>
      </c>
      <c r="D37" s="361">
        <v>4658</v>
      </c>
      <c r="E37" s="361">
        <v>4047</v>
      </c>
      <c r="F37" s="361">
        <v>2562</v>
      </c>
      <c r="G37" s="361">
        <v>6736</v>
      </c>
      <c r="H37" s="361">
        <v>-4302</v>
      </c>
      <c r="I37" s="361">
        <v>-3659</v>
      </c>
      <c r="J37" s="361">
        <v>-735.27075806350012</v>
      </c>
      <c r="K37" s="361">
        <v>669</v>
      </c>
      <c r="L37" s="348"/>
      <c r="M37" s="361">
        <v>-441</v>
      </c>
      <c r="N37" s="361">
        <v>1597</v>
      </c>
      <c r="O37" s="361">
        <v>790</v>
      </c>
      <c r="P37" s="362">
        <v>2712</v>
      </c>
      <c r="Q37" s="361">
        <v>413</v>
      </c>
      <c r="R37" s="361">
        <v>1915</v>
      </c>
      <c r="S37" s="361">
        <v>-210</v>
      </c>
      <c r="T37" s="362">
        <v>1929</v>
      </c>
      <c r="U37" s="361">
        <v>-598</v>
      </c>
      <c r="V37" s="361">
        <v>-501</v>
      </c>
      <c r="W37" s="361">
        <v>1876</v>
      </c>
      <c r="X37" s="362">
        <v>1785</v>
      </c>
      <c r="Y37" s="361">
        <v>1677</v>
      </c>
      <c r="Z37" s="361">
        <v>2893</v>
      </c>
      <c r="AA37" s="361">
        <v>1300</v>
      </c>
      <c r="AB37" s="362">
        <v>866</v>
      </c>
      <c r="AC37" s="361">
        <v>1077</v>
      </c>
      <c r="AD37" s="361">
        <v>-5249</v>
      </c>
      <c r="AE37" s="361">
        <v>839</v>
      </c>
      <c r="AF37" s="362">
        <v>-969</v>
      </c>
      <c r="AG37" s="361">
        <v>347</v>
      </c>
      <c r="AH37" s="361">
        <v>-1124</v>
      </c>
      <c r="AI37" s="361">
        <v>1500</v>
      </c>
      <c r="AJ37" s="362">
        <v>-4382</v>
      </c>
      <c r="AK37" s="361">
        <v>-2694</v>
      </c>
      <c r="AL37" s="361">
        <v>274</v>
      </c>
      <c r="AM37" s="361">
        <v>1441</v>
      </c>
      <c r="AN37" s="362">
        <v>244</v>
      </c>
      <c r="AO37" s="361">
        <v>7344</v>
      </c>
      <c r="AP37" s="361">
        <v>-7277</v>
      </c>
      <c r="AQ37" s="361">
        <v>655</v>
      </c>
      <c r="AR37" s="362">
        <v>-53</v>
      </c>
      <c r="AS37" s="361">
        <v>2216</v>
      </c>
      <c r="AT37" s="361">
        <v>-1362</v>
      </c>
      <c r="AU37" s="361">
        <v>2423</v>
      </c>
    </row>
    <row r="38" spans="1:47" ht="12.75" x14ac:dyDescent="0.2">
      <c r="A38" s="354" t="s">
        <v>467</v>
      </c>
      <c r="B38" s="355">
        <v>530</v>
      </c>
      <c r="C38" s="355">
        <v>461</v>
      </c>
      <c r="D38" s="356">
        <v>481</v>
      </c>
      <c r="E38" s="356">
        <v>1808</v>
      </c>
      <c r="F38" s="356">
        <v>5872</v>
      </c>
      <c r="G38" s="356">
        <v>8540</v>
      </c>
      <c r="H38" s="356">
        <v>15053</v>
      </c>
      <c r="I38" s="356">
        <v>10792</v>
      </c>
      <c r="J38" s="356">
        <v>7326</v>
      </c>
      <c r="K38" s="356">
        <v>6401</v>
      </c>
      <c r="L38" s="348"/>
      <c r="M38" s="355">
        <v>481</v>
      </c>
      <c r="N38" s="344">
        <v>615</v>
      </c>
      <c r="O38" s="344">
        <v>610</v>
      </c>
      <c r="P38" s="357">
        <v>728</v>
      </c>
      <c r="Q38" s="356">
        <v>1808</v>
      </c>
      <c r="R38" s="356">
        <v>2255</v>
      </c>
      <c r="S38" s="356">
        <v>4205</v>
      </c>
      <c r="T38" s="357">
        <v>3949</v>
      </c>
      <c r="U38" s="356">
        <v>5872</v>
      </c>
      <c r="V38" s="356">
        <v>5371</v>
      </c>
      <c r="W38" s="356">
        <v>4883</v>
      </c>
      <c r="X38" s="357">
        <v>6814</v>
      </c>
      <c r="Y38" s="356">
        <v>8540</v>
      </c>
      <c r="Z38" s="356">
        <v>10225</v>
      </c>
      <c r="AA38" s="356">
        <v>13005</v>
      </c>
      <c r="AB38" s="357">
        <v>14250</v>
      </c>
      <c r="AC38" s="356">
        <v>15053</v>
      </c>
      <c r="AD38" s="356">
        <v>16191</v>
      </c>
      <c r="AE38" s="356">
        <v>10931</v>
      </c>
      <c r="AF38" s="357">
        <v>11745</v>
      </c>
      <c r="AG38" s="356">
        <v>10792</v>
      </c>
      <c r="AH38" s="356">
        <v>11207</v>
      </c>
      <c r="AI38" s="356">
        <v>10380</v>
      </c>
      <c r="AJ38" s="357">
        <v>11879</v>
      </c>
      <c r="AK38" s="356">
        <v>7326</v>
      </c>
      <c r="AL38" s="356">
        <v>4587</v>
      </c>
      <c r="AM38" s="356">
        <v>4949</v>
      </c>
      <c r="AN38" s="357">
        <v>6330</v>
      </c>
      <c r="AO38" s="356">
        <v>6401</v>
      </c>
      <c r="AP38" s="356">
        <v>13879</v>
      </c>
      <c r="AQ38" s="356">
        <v>6598</v>
      </c>
      <c r="AR38" s="357">
        <v>7129</v>
      </c>
      <c r="AS38" s="356">
        <v>7179</v>
      </c>
      <c r="AT38" s="356">
        <v>9107</v>
      </c>
      <c r="AU38" s="356">
        <v>7659</v>
      </c>
    </row>
    <row r="39" spans="1:47" ht="12.75" x14ac:dyDescent="0.2">
      <c r="A39" s="354" t="s">
        <v>468</v>
      </c>
      <c r="B39" s="355">
        <v>-27</v>
      </c>
      <c r="C39" s="355">
        <v>39</v>
      </c>
      <c r="D39" s="356">
        <v>-39</v>
      </c>
      <c r="E39" s="356">
        <v>17</v>
      </c>
      <c r="F39" s="356">
        <v>106</v>
      </c>
      <c r="G39" s="356">
        <v>-223</v>
      </c>
      <c r="H39" s="356">
        <v>41</v>
      </c>
      <c r="I39" s="356">
        <v>193</v>
      </c>
      <c r="J39" s="356">
        <v>-189.88724999999999</v>
      </c>
      <c r="K39" s="356">
        <v>109</v>
      </c>
      <c r="L39" s="348"/>
      <c r="M39" s="355">
        <v>1</v>
      </c>
      <c r="N39" s="344">
        <v>-21</v>
      </c>
      <c r="O39" s="344">
        <v>-27</v>
      </c>
      <c r="P39" s="357">
        <v>8</v>
      </c>
      <c r="Q39" s="356">
        <v>34</v>
      </c>
      <c r="R39" s="356">
        <v>35</v>
      </c>
      <c r="S39" s="356">
        <v>-46</v>
      </c>
      <c r="T39" s="357">
        <v>-6</v>
      </c>
      <c r="U39" s="356">
        <v>97</v>
      </c>
      <c r="V39" s="356">
        <v>13</v>
      </c>
      <c r="W39" s="356">
        <v>55</v>
      </c>
      <c r="X39" s="357">
        <v>-59</v>
      </c>
      <c r="Y39" s="356">
        <v>8</v>
      </c>
      <c r="Z39" s="356">
        <v>-113</v>
      </c>
      <c r="AA39" s="356">
        <v>-55</v>
      </c>
      <c r="AB39" s="357">
        <v>-63</v>
      </c>
      <c r="AC39" s="356">
        <v>61</v>
      </c>
      <c r="AD39" s="356">
        <v>-11</v>
      </c>
      <c r="AE39" s="356">
        <v>-25</v>
      </c>
      <c r="AF39" s="357">
        <v>16</v>
      </c>
      <c r="AG39" s="356">
        <v>68</v>
      </c>
      <c r="AH39" s="356">
        <v>297</v>
      </c>
      <c r="AI39" s="356">
        <v>-1</v>
      </c>
      <c r="AJ39" s="357">
        <v>-171</v>
      </c>
      <c r="AK39" s="356">
        <v>-45</v>
      </c>
      <c r="AL39" s="356">
        <v>88</v>
      </c>
      <c r="AM39" s="356">
        <v>-60</v>
      </c>
      <c r="AN39" s="357">
        <v>-173</v>
      </c>
      <c r="AO39" s="356">
        <v>134</v>
      </c>
      <c r="AP39" s="356">
        <v>-4</v>
      </c>
      <c r="AQ39" s="356">
        <v>-124</v>
      </c>
      <c r="AR39" s="357">
        <v>103</v>
      </c>
      <c r="AS39" s="356">
        <v>-288</v>
      </c>
      <c r="AT39" s="356">
        <v>-86</v>
      </c>
      <c r="AU39" s="356">
        <v>-32</v>
      </c>
    </row>
    <row r="40" spans="1:47" ht="12.75" x14ac:dyDescent="0.2">
      <c r="A40" s="354" t="s">
        <v>469</v>
      </c>
      <c r="B40" s="355">
        <v>-2859</v>
      </c>
      <c r="C40" s="355">
        <v>-3655</v>
      </c>
      <c r="D40" s="356">
        <v>-3292</v>
      </c>
      <c r="E40" s="344" t="s">
        <v>195</v>
      </c>
      <c r="F40" s="344" t="s">
        <v>195</v>
      </c>
      <c r="G40" s="344">
        <v>0</v>
      </c>
      <c r="H40" s="344">
        <v>0</v>
      </c>
      <c r="I40" s="344" t="s">
        <v>195</v>
      </c>
      <c r="J40" s="344" t="s">
        <v>195</v>
      </c>
      <c r="K40" s="344" t="s">
        <v>195</v>
      </c>
      <c r="L40" s="348"/>
      <c r="M40" s="355">
        <v>574</v>
      </c>
      <c r="N40" s="344">
        <v>-1581</v>
      </c>
      <c r="O40" s="344">
        <v>-645</v>
      </c>
      <c r="P40" s="357">
        <v>-1640</v>
      </c>
      <c r="Q40" s="344" t="s">
        <v>195</v>
      </c>
      <c r="R40" s="344" t="s">
        <v>195</v>
      </c>
      <c r="S40" s="344" t="s">
        <v>195</v>
      </c>
      <c r="T40" s="345" t="s">
        <v>195</v>
      </c>
      <c r="U40" s="344" t="s">
        <v>195</v>
      </c>
      <c r="V40" s="344" t="s">
        <v>195</v>
      </c>
      <c r="W40" s="344" t="s">
        <v>195</v>
      </c>
      <c r="X40" s="345" t="s">
        <v>195</v>
      </c>
      <c r="Y40" s="344" t="s">
        <v>195</v>
      </c>
      <c r="Z40" s="344" t="s">
        <v>195</v>
      </c>
      <c r="AA40" s="344" t="s">
        <v>195</v>
      </c>
      <c r="AB40" s="377" t="s">
        <v>195</v>
      </c>
      <c r="AC40" s="344" t="s">
        <v>195</v>
      </c>
      <c r="AD40" s="344" t="s">
        <v>195</v>
      </c>
      <c r="AE40" s="344" t="s">
        <v>195</v>
      </c>
      <c r="AF40" s="377" t="s">
        <v>195</v>
      </c>
      <c r="AG40" s="344" t="s">
        <v>195</v>
      </c>
      <c r="AH40" s="344" t="s">
        <v>195</v>
      </c>
      <c r="AI40" s="344" t="s">
        <v>195</v>
      </c>
      <c r="AJ40" s="377" t="s">
        <v>195</v>
      </c>
      <c r="AK40" s="344" t="s">
        <v>195</v>
      </c>
      <c r="AL40" s="344" t="s">
        <v>195</v>
      </c>
      <c r="AM40" s="344" t="s">
        <v>195</v>
      </c>
      <c r="AN40" s="377" t="s">
        <v>195</v>
      </c>
      <c r="AO40" s="344" t="s">
        <v>195</v>
      </c>
      <c r="AP40" s="344" t="s">
        <v>195</v>
      </c>
      <c r="AQ40" s="344" t="s">
        <v>195</v>
      </c>
      <c r="AR40" s="345" t="s">
        <v>195</v>
      </c>
      <c r="AS40" s="344" t="s">
        <v>195</v>
      </c>
      <c r="AT40" s="344" t="s">
        <v>195</v>
      </c>
      <c r="AU40" s="344" t="s">
        <v>195</v>
      </c>
    </row>
    <row r="41" spans="1:47" ht="12.75" x14ac:dyDescent="0.2">
      <c r="A41" s="360" t="s">
        <v>470</v>
      </c>
      <c r="B41" s="361">
        <v>461</v>
      </c>
      <c r="C41" s="361">
        <v>481</v>
      </c>
      <c r="D41" s="372">
        <v>1808</v>
      </c>
      <c r="E41" s="372">
        <v>5872</v>
      </c>
      <c r="F41" s="372">
        <v>8540</v>
      </c>
      <c r="G41" s="372">
        <v>15053</v>
      </c>
      <c r="H41" s="372">
        <v>10792</v>
      </c>
      <c r="I41" s="372">
        <v>7326</v>
      </c>
      <c r="J41" s="372">
        <v>6400.7292419365003</v>
      </c>
      <c r="K41" s="372">
        <v>7179</v>
      </c>
      <c r="L41" s="348"/>
      <c r="M41" s="361">
        <v>615</v>
      </c>
      <c r="N41" s="372">
        <v>610</v>
      </c>
      <c r="O41" s="372">
        <v>728</v>
      </c>
      <c r="P41" s="373">
        <v>1808</v>
      </c>
      <c r="Q41" s="372">
        <v>2255</v>
      </c>
      <c r="R41" s="372">
        <v>4205</v>
      </c>
      <c r="S41" s="372">
        <v>3949</v>
      </c>
      <c r="T41" s="373">
        <v>5872</v>
      </c>
      <c r="U41" s="372">
        <v>5371</v>
      </c>
      <c r="V41" s="372">
        <v>4883</v>
      </c>
      <c r="W41" s="372">
        <v>6814</v>
      </c>
      <c r="X41" s="373">
        <v>8540</v>
      </c>
      <c r="Y41" s="372">
        <v>10225</v>
      </c>
      <c r="Z41" s="372">
        <v>13005</v>
      </c>
      <c r="AA41" s="372">
        <v>14250</v>
      </c>
      <c r="AB41" s="373">
        <v>15053</v>
      </c>
      <c r="AC41" s="372">
        <v>16191</v>
      </c>
      <c r="AD41" s="372">
        <v>10931</v>
      </c>
      <c r="AE41" s="372">
        <v>11745</v>
      </c>
      <c r="AF41" s="373">
        <v>10792</v>
      </c>
      <c r="AG41" s="372">
        <v>11207</v>
      </c>
      <c r="AH41" s="372">
        <v>10380</v>
      </c>
      <c r="AI41" s="372">
        <v>11879</v>
      </c>
      <c r="AJ41" s="373">
        <v>7326</v>
      </c>
      <c r="AK41" s="372">
        <v>4587</v>
      </c>
      <c r="AL41" s="372">
        <v>4949</v>
      </c>
      <c r="AM41" s="372">
        <v>6330</v>
      </c>
      <c r="AN41" s="373">
        <v>6401</v>
      </c>
      <c r="AO41" s="372">
        <v>13879</v>
      </c>
      <c r="AP41" s="372">
        <v>6598</v>
      </c>
      <c r="AQ41" s="372">
        <v>7129</v>
      </c>
      <c r="AR41" s="373">
        <v>7179</v>
      </c>
      <c r="AS41" s="372">
        <v>9107</v>
      </c>
      <c r="AT41" s="372">
        <v>7659</v>
      </c>
      <c r="AU41" s="372">
        <v>10050</v>
      </c>
    </row>
    <row r="42" spans="1:47" ht="12.75" x14ac:dyDescent="0.2">
      <c r="A42" s="354"/>
      <c r="B42" s="355"/>
      <c r="C42" s="355"/>
      <c r="D42" s="356"/>
      <c r="E42" s="356"/>
      <c r="F42" s="356"/>
      <c r="G42" s="356"/>
      <c r="H42" s="356"/>
      <c r="I42" s="356"/>
      <c r="J42" s="356"/>
      <c r="K42" s="356"/>
      <c r="L42" s="348"/>
      <c r="M42" s="355"/>
      <c r="N42" s="344"/>
      <c r="O42" s="344"/>
      <c r="P42" s="378"/>
      <c r="Q42" s="356"/>
      <c r="R42" s="356"/>
      <c r="S42" s="356"/>
      <c r="T42" s="357"/>
      <c r="U42" s="356"/>
      <c r="V42" s="356"/>
      <c r="W42" s="356"/>
      <c r="X42" s="357"/>
      <c r="Y42" s="356"/>
      <c r="Z42" s="356"/>
      <c r="AA42" s="356"/>
      <c r="AB42" s="357"/>
      <c r="AC42" s="356"/>
      <c r="AD42" s="356"/>
      <c r="AE42" s="356"/>
      <c r="AF42" s="357"/>
      <c r="AG42" s="356"/>
      <c r="AH42" s="356"/>
      <c r="AI42" s="356"/>
      <c r="AJ42" s="357"/>
      <c r="AK42" s="356"/>
      <c r="AL42" s="356"/>
      <c r="AM42" s="356"/>
      <c r="AN42" s="357"/>
      <c r="AO42" s="356"/>
      <c r="AP42" s="356"/>
      <c r="AQ42" s="356"/>
      <c r="AR42" s="357"/>
      <c r="AS42" s="356"/>
      <c r="AT42" s="356"/>
      <c r="AU42" s="356"/>
    </row>
    <row r="43" spans="1:47" ht="12.75" x14ac:dyDescent="0.2">
      <c r="A43" s="349"/>
      <c r="B43" s="379"/>
      <c r="C43" s="379"/>
      <c r="D43" s="356"/>
      <c r="E43" s="356"/>
      <c r="F43" s="356"/>
      <c r="G43" s="356"/>
      <c r="H43" s="356"/>
      <c r="I43" s="356"/>
      <c r="J43" s="356"/>
      <c r="K43" s="356"/>
      <c r="L43" s="348"/>
      <c r="M43" s="379"/>
      <c r="N43" s="379"/>
      <c r="O43" s="379"/>
      <c r="P43" s="380"/>
      <c r="Q43" s="356"/>
      <c r="R43" s="356"/>
      <c r="S43" s="356"/>
      <c r="T43" s="357"/>
      <c r="U43" s="356"/>
      <c r="V43" s="356"/>
      <c r="W43" s="356"/>
      <c r="X43" s="357"/>
      <c r="Y43" s="356"/>
      <c r="Z43" s="356"/>
      <c r="AA43" s="356"/>
      <c r="AB43" s="357"/>
      <c r="AC43" s="356"/>
      <c r="AD43" s="356"/>
      <c r="AE43" s="356"/>
      <c r="AF43" s="357"/>
      <c r="AG43" s="356"/>
      <c r="AH43" s="356"/>
      <c r="AI43" s="356"/>
      <c r="AJ43" s="357"/>
      <c r="AK43" s="356"/>
      <c r="AL43" s="356"/>
      <c r="AM43" s="356"/>
      <c r="AN43" s="357"/>
      <c r="AO43" s="356"/>
      <c r="AP43" s="356"/>
      <c r="AQ43" s="356"/>
      <c r="AR43" s="357"/>
      <c r="AS43" s="356"/>
      <c r="AT43" s="356"/>
      <c r="AU43" s="356"/>
    </row>
    <row r="44" spans="1:47" ht="12.75" x14ac:dyDescent="0.2">
      <c r="A44" s="354" t="s">
        <v>471</v>
      </c>
      <c r="B44" s="356">
        <v>5858</v>
      </c>
      <c r="C44" s="356">
        <v>5402</v>
      </c>
      <c r="D44" s="356">
        <v>5176</v>
      </c>
      <c r="E44" s="356">
        <v>4324</v>
      </c>
      <c r="F44" s="356">
        <v>7228</v>
      </c>
      <c r="G44" s="356">
        <v>8334</v>
      </c>
      <c r="H44" s="356">
        <v>7607</v>
      </c>
      <c r="I44" s="356">
        <v>5558</v>
      </c>
      <c r="J44" s="356">
        <v>7143</v>
      </c>
      <c r="K44" s="356">
        <v>10460</v>
      </c>
      <c r="L44" s="348"/>
      <c r="M44" s="356">
        <v>1255</v>
      </c>
      <c r="N44" s="356">
        <v>1486</v>
      </c>
      <c r="O44" s="356">
        <v>1419</v>
      </c>
      <c r="P44" s="357">
        <v>1016</v>
      </c>
      <c r="Q44" s="356">
        <v>979</v>
      </c>
      <c r="R44" s="356">
        <v>-62</v>
      </c>
      <c r="S44" s="356">
        <v>920</v>
      </c>
      <c r="T44" s="357">
        <v>2487</v>
      </c>
      <c r="U44" s="356">
        <v>589</v>
      </c>
      <c r="V44" s="356">
        <v>1610</v>
      </c>
      <c r="W44" s="356">
        <v>1852</v>
      </c>
      <c r="X44" s="357">
        <v>3177</v>
      </c>
      <c r="Y44" s="356">
        <v>1781</v>
      </c>
      <c r="Z44" s="356">
        <v>2383</v>
      </c>
      <c r="AA44" s="356">
        <v>1819</v>
      </c>
      <c r="AB44" s="357">
        <v>2351</v>
      </c>
      <c r="AC44" s="356">
        <v>1823</v>
      </c>
      <c r="AD44" s="356">
        <v>1422</v>
      </c>
      <c r="AE44" s="356">
        <v>1818</v>
      </c>
      <c r="AF44" s="357">
        <v>2544</v>
      </c>
      <c r="AG44" s="356">
        <v>751</v>
      </c>
      <c r="AH44" s="356">
        <v>1400</v>
      </c>
      <c r="AI44" s="356">
        <v>1664</v>
      </c>
      <c r="AJ44" s="357">
        <v>1743</v>
      </c>
      <c r="AK44" s="356">
        <v>739</v>
      </c>
      <c r="AL44" s="356">
        <v>1694</v>
      </c>
      <c r="AM44" s="356">
        <v>1917</v>
      </c>
      <c r="AN44" s="357">
        <v>2793</v>
      </c>
      <c r="AO44" s="356">
        <v>2404</v>
      </c>
      <c r="AP44" s="356">
        <v>1611</v>
      </c>
      <c r="AQ44" s="356">
        <v>2501</v>
      </c>
      <c r="AR44" s="357">
        <v>3944</v>
      </c>
      <c r="AS44" s="356">
        <v>2588</v>
      </c>
      <c r="AT44" s="356">
        <v>2122</v>
      </c>
      <c r="AU44" s="356">
        <v>2884</v>
      </c>
    </row>
    <row r="45" spans="1:47" ht="12.75" x14ac:dyDescent="0.2">
      <c r="A45" s="354" t="s">
        <v>456</v>
      </c>
      <c r="B45" s="356">
        <v>-3175</v>
      </c>
      <c r="C45" s="356">
        <v>-1805</v>
      </c>
      <c r="D45" s="356">
        <v>5543</v>
      </c>
      <c r="E45" s="356">
        <v>-1337</v>
      </c>
      <c r="F45" s="356">
        <v>-1655</v>
      </c>
      <c r="G45" s="356">
        <v>-608</v>
      </c>
      <c r="H45" s="356">
        <v>-3473</v>
      </c>
      <c r="I45" s="356">
        <v>-5991</v>
      </c>
      <c r="J45" s="356">
        <v>-5237</v>
      </c>
      <c r="K45" s="356">
        <v>-11690</v>
      </c>
      <c r="L45" s="348"/>
      <c r="M45" s="356">
        <v>1152</v>
      </c>
      <c r="N45" s="356">
        <v>-1272</v>
      </c>
      <c r="O45" s="356">
        <v>2801</v>
      </c>
      <c r="P45" s="357">
        <v>2862</v>
      </c>
      <c r="Q45" s="356">
        <v>-841</v>
      </c>
      <c r="R45" s="356">
        <v>-317</v>
      </c>
      <c r="S45" s="356">
        <v>62</v>
      </c>
      <c r="T45" s="357">
        <v>-241</v>
      </c>
      <c r="U45" s="356">
        <v>-828</v>
      </c>
      <c r="V45" s="356">
        <v>-763</v>
      </c>
      <c r="W45" s="356">
        <v>-71</v>
      </c>
      <c r="X45" s="357">
        <v>7</v>
      </c>
      <c r="Y45" s="356">
        <v>-200</v>
      </c>
      <c r="Z45" s="356">
        <v>-119</v>
      </c>
      <c r="AA45" s="356">
        <v>-183</v>
      </c>
      <c r="AB45" s="357">
        <v>-106</v>
      </c>
      <c r="AC45" s="356">
        <v>-333</v>
      </c>
      <c r="AD45" s="356">
        <v>-1486</v>
      </c>
      <c r="AE45" s="356">
        <v>-802</v>
      </c>
      <c r="AF45" s="357">
        <v>-852</v>
      </c>
      <c r="AG45" s="356">
        <v>-354</v>
      </c>
      <c r="AH45" s="356">
        <v>-623</v>
      </c>
      <c r="AI45" s="356">
        <v>-587</v>
      </c>
      <c r="AJ45" s="357">
        <v>-4427</v>
      </c>
      <c r="AK45" s="356">
        <v>-3739</v>
      </c>
      <c r="AL45" s="356">
        <v>-774</v>
      </c>
      <c r="AM45" s="356">
        <v>-371</v>
      </c>
      <c r="AN45" s="357">
        <v>-353</v>
      </c>
      <c r="AO45" s="356">
        <v>-511</v>
      </c>
      <c r="AP45" s="356">
        <v>-8703</v>
      </c>
      <c r="AQ45" s="356">
        <v>-1730</v>
      </c>
      <c r="AR45" s="357">
        <v>-746</v>
      </c>
      <c r="AS45" s="356">
        <v>-281</v>
      </c>
      <c r="AT45" s="356">
        <v>-692</v>
      </c>
      <c r="AU45" s="356">
        <v>-527</v>
      </c>
    </row>
    <row r="46" spans="1:47" ht="12.75" x14ac:dyDescent="0.2">
      <c r="A46" s="354" t="s">
        <v>472</v>
      </c>
      <c r="B46" s="369" t="s">
        <v>195</v>
      </c>
      <c r="C46" s="369" t="s">
        <v>195</v>
      </c>
      <c r="D46" s="356">
        <v>137</v>
      </c>
      <c r="E46" s="356">
        <v>546</v>
      </c>
      <c r="F46" s="356">
        <v>984</v>
      </c>
      <c r="G46" s="356">
        <v>75</v>
      </c>
      <c r="H46" s="356">
        <v>2352</v>
      </c>
      <c r="I46" s="356">
        <v>4686</v>
      </c>
      <c r="J46" s="356">
        <v>3666</v>
      </c>
      <c r="K46" s="356">
        <v>9658</v>
      </c>
      <c r="L46" s="348"/>
      <c r="M46" s="356">
        <v>66</v>
      </c>
      <c r="N46" s="356">
        <v>6</v>
      </c>
      <c r="O46" s="356">
        <v>65</v>
      </c>
      <c r="P46" s="370" t="s">
        <v>195</v>
      </c>
      <c r="Q46" s="356">
        <v>482</v>
      </c>
      <c r="R46" s="369" t="s">
        <v>195</v>
      </c>
      <c r="S46" s="369" t="s">
        <v>195</v>
      </c>
      <c r="T46" s="357">
        <v>64</v>
      </c>
      <c r="U46" s="356">
        <v>449</v>
      </c>
      <c r="V46" s="356">
        <v>578</v>
      </c>
      <c r="W46" s="356">
        <v>-33</v>
      </c>
      <c r="X46" s="357">
        <v>-10</v>
      </c>
      <c r="Y46" s="356">
        <v>15</v>
      </c>
      <c r="Z46" s="356">
        <v>28</v>
      </c>
      <c r="AA46" s="356">
        <v>31</v>
      </c>
      <c r="AB46" s="357">
        <v>1</v>
      </c>
      <c r="AC46" s="369" t="s">
        <v>195</v>
      </c>
      <c r="AD46" s="356">
        <v>1282</v>
      </c>
      <c r="AE46" s="356">
        <v>492</v>
      </c>
      <c r="AF46" s="357">
        <v>578</v>
      </c>
      <c r="AG46" s="356">
        <v>18</v>
      </c>
      <c r="AH46" s="356">
        <v>257</v>
      </c>
      <c r="AI46" s="356">
        <v>210</v>
      </c>
      <c r="AJ46" s="357">
        <v>4201</v>
      </c>
      <c r="AK46" s="356">
        <v>3279</v>
      </c>
      <c r="AL46" s="356">
        <v>38</v>
      </c>
      <c r="AM46" s="356">
        <v>7</v>
      </c>
      <c r="AN46" s="357">
        <v>342</v>
      </c>
      <c r="AO46" s="356">
        <v>0</v>
      </c>
      <c r="AP46" s="356">
        <v>8294</v>
      </c>
      <c r="AQ46" s="356">
        <v>1080</v>
      </c>
      <c r="AR46" s="357">
        <v>284</v>
      </c>
      <c r="AS46" s="356">
        <v>74</v>
      </c>
      <c r="AT46" s="356">
        <v>13</v>
      </c>
      <c r="AU46" s="369" t="s">
        <v>195</v>
      </c>
    </row>
    <row r="47" spans="1:47" ht="12.75" x14ac:dyDescent="0.2">
      <c r="A47" s="354" t="s">
        <v>473</v>
      </c>
      <c r="B47" s="356">
        <v>2947</v>
      </c>
      <c r="C47" s="356">
        <v>1283</v>
      </c>
      <c r="D47" s="356">
        <v>-6246</v>
      </c>
      <c r="E47" s="356">
        <v>351</v>
      </c>
      <c r="F47" s="356">
        <v>131</v>
      </c>
      <c r="G47" s="356">
        <v>-795</v>
      </c>
      <c r="H47" s="356">
        <v>381</v>
      </c>
      <c r="I47" s="356">
        <v>1409</v>
      </c>
      <c r="J47" s="356">
        <v>639</v>
      </c>
      <c r="K47" s="356">
        <v>704</v>
      </c>
      <c r="L47" s="348"/>
      <c r="M47" s="356">
        <v>-1362</v>
      </c>
      <c r="N47" s="356">
        <v>1093</v>
      </c>
      <c r="O47" s="356">
        <v>-3043</v>
      </c>
      <c r="P47" s="357">
        <v>-2934</v>
      </c>
      <c r="Q47" s="356">
        <v>46</v>
      </c>
      <c r="R47" s="356">
        <v>578</v>
      </c>
      <c r="S47" s="356">
        <v>-205</v>
      </c>
      <c r="T47" s="357">
        <v>-68</v>
      </c>
      <c r="U47" s="356">
        <v>262</v>
      </c>
      <c r="V47" s="356">
        <v>81</v>
      </c>
      <c r="W47" s="356">
        <v>135</v>
      </c>
      <c r="X47" s="357">
        <v>-347</v>
      </c>
      <c r="Y47" s="356">
        <v>-64</v>
      </c>
      <c r="Z47" s="356">
        <v>-329</v>
      </c>
      <c r="AA47" s="356">
        <v>-312</v>
      </c>
      <c r="AB47" s="357">
        <v>-90</v>
      </c>
      <c r="AC47" s="356">
        <v>120</v>
      </c>
      <c r="AD47" s="356">
        <v>11</v>
      </c>
      <c r="AE47" s="356">
        <v>105</v>
      </c>
      <c r="AF47" s="357">
        <v>145</v>
      </c>
      <c r="AG47" s="356">
        <v>452</v>
      </c>
      <c r="AH47" s="356">
        <v>428</v>
      </c>
      <c r="AI47" s="356">
        <v>527</v>
      </c>
      <c r="AJ47" s="357">
        <v>2</v>
      </c>
      <c r="AK47" s="356">
        <v>59</v>
      </c>
      <c r="AL47" s="356">
        <v>591</v>
      </c>
      <c r="AM47" s="356">
        <v>336</v>
      </c>
      <c r="AN47" s="357">
        <v>-347</v>
      </c>
      <c r="AO47" s="356">
        <v>-115</v>
      </c>
      <c r="AP47" s="356">
        <v>407</v>
      </c>
      <c r="AQ47" s="356">
        <v>-62</v>
      </c>
      <c r="AR47" s="357">
        <v>474</v>
      </c>
      <c r="AS47" s="356">
        <v>-812</v>
      </c>
      <c r="AT47" s="356">
        <v>-339</v>
      </c>
      <c r="AU47" s="356">
        <v>119</v>
      </c>
    </row>
    <row r="48" spans="1:47" ht="12.75" x14ac:dyDescent="0.2">
      <c r="A48" s="360" t="s">
        <v>94</v>
      </c>
      <c r="B48" s="381">
        <v>5630</v>
      </c>
      <c r="C48" s="381">
        <v>4880</v>
      </c>
      <c r="D48" s="381">
        <v>4610</v>
      </c>
      <c r="E48" s="381">
        <v>3884</v>
      </c>
      <c r="F48" s="381">
        <v>6688</v>
      </c>
      <c r="G48" s="381">
        <v>7006</v>
      </c>
      <c r="H48" s="381">
        <v>6867</v>
      </c>
      <c r="I48" s="381">
        <v>5662</v>
      </c>
      <c r="J48" s="381">
        <v>6211</v>
      </c>
      <c r="K48" s="381">
        <v>9132</v>
      </c>
      <c r="L48" s="348"/>
      <c r="M48" s="381">
        <v>1111</v>
      </c>
      <c r="N48" s="381">
        <v>1313</v>
      </c>
      <c r="O48" s="381">
        <v>1242</v>
      </c>
      <c r="P48" s="382">
        <v>944</v>
      </c>
      <c r="Q48" s="381">
        <v>666</v>
      </c>
      <c r="R48" s="381">
        <v>199</v>
      </c>
      <c r="S48" s="381">
        <v>777</v>
      </c>
      <c r="T48" s="382">
        <v>2242</v>
      </c>
      <c r="U48" s="381">
        <v>472</v>
      </c>
      <c r="V48" s="381">
        <v>1506</v>
      </c>
      <c r="W48" s="381">
        <v>1883</v>
      </c>
      <c r="X48" s="382">
        <v>2827</v>
      </c>
      <c r="Y48" s="381">
        <v>1532</v>
      </c>
      <c r="Z48" s="381">
        <v>1963</v>
      </c>
      <c r="AA48" s="381">
        <v>1355</v>
      </c>
      <c r="AB48" s="382">
        <v>2156</v>
      </c>
      <c r="AC48" s="381">
        <v>1610</v>
      </c>
      <c r="AD48" s="381">
        <v>1229</v>
      </c>
      <c r="AE48" s="381">
        <v>1613</v>
      </c>
      <c r="AF48" s="382">
        <v>2415</v>
      </c>
      <c r="AG48" s="381">
        <v>867</v>
      </c>
      <c r="AH48" s="381">
        <v>1462</v>
      </c>
      <c r="AI48" s="381">
        <v>1814</v>
      </c>
      <c r="AJ48" s="382">
        <v>1519</v>
      </c>
      <c r="AK48" s="381">
        <v>338</v>
      </c>
      <c r="AL48" s="381">
        <v>1549</v>
      </c>
      <c r="AM48" s="381">
        <v>1889</v>
      </c>
      <c r="AN48" s="382">
        <v>2435</v>
      </c>
      <c r="AO48" s="381">
        <v>1778</v>
      </c>
      <c r="AP48" s="381">
        <v>1609</v>
      </c>
      <c r="AQ48" s="381">
        <v>1789</v>
      </c>
      <c r="AR48" s="382">
        <v>3956</v>
      </c>
      <c r="AS48" s="381">
        <v>1569</v>
      </c>
      <c r="AT48" s="381">
        <v>1104</v>
      </c>
      <c r="AU48" s="381">
        <v>2476</v>
      </c>
    </row>
    <row r="49" spans="1:47" ht="12.75" x14ac:dyDescent="0.2">
      <c r="A49" s="354"/>
      <c r="B49" s="355"/>
      <c r="C49" s="355"/>
      <c r="D49" s="348"/>
      <c r="E49" s="348"/>
      <c r="F49" s="348"/>
      <c r="G49" s="348"/>
      <c r="H49" s="348"/>
      <c r="I49" s="348"/>
      <c r="J49" s="348"/>
      <c r="K49" s="348"/>
      <c r="L49" s="348"/>
      <c r="M49" s="355"/>
      <c r="N49" s="355"/>
      <c r="O49" s="355"/>
      <c r="P49" s="383"/>
      <c r="Q49" s="348"/>
      <c r="R49" s="348"/>
      <c r="S49" s="348"/>
      <c r="T49" s="353"/>
      <c r="U49" s="348"/>
      <c r="V49" s="348"/>
      <c r="W49" s="348"/>
      <c r="X49" s="353"/>
      <c r="Y49" s="348"/>
      <c r="Z49" s="348"/>
      <c r="AA49" s="348"/>
      <c r="AB49" s="353"/>
      <c r="AC49" s="348"/>
      <c r="AD49" s="348"/>
      <c r="AE49" s="348"/>
      <c r="AF49" s="353"/>
      <c r="AG49" s="348"/>
      <c r="AH49" s="348"/>
      <c r="AI49" s="348"/>
      <c r="AJ49" s="353"/>
      <c r="AK49" s="348"/>
      <c r="AL49" s="348"/>
      <c r="AM49" s="348"/>
      <c r="AN49" s="353"/>
      <c r="AO49" s="348"/>
      <c r="AP49" s="348"/>
      <c r="AQ49" s="348"/>
      <c r="AR49" s="353"/>
      <c r="AS49" s="348"/>
      <c r="AT49" s="348"/>
      <c r="AU49" s="348"/>
    </row>
    <row r="50" spans="1:47" ht="11.25" customHeight="1" x14ac:dyDescent="0.2">
      <c r="A50" s="384" t="s">
        <v>474</v>
      </c>
      <c r="B50" s="384"/>
      <c r="C50" s="384"/>
      <c r="D50" s="384"/>
      <c r="E50" s="348"/>
      <c r="F50" s="348"/>
      <c r="G50" s="348"/>
      <c r="H50" s="348"/>
      <c r="I50" s="348"/>
      <c r="J50" s="348"/>
      <c r="K50" s="348"/>
      <c r="L50" s="348"/>
      <c r="M50" s="384"/>
      <c r="N50" s="384"/>
      <c r="O50" s="384"/>
      <c r="P50" s="385"/>
      <c r="Q50" s="384"/>
      <c r="R50" s="348"/>
      <c r="S50" s="348"/>
      <c r="T50" s="353"/>
      <c r="U50" s="348"/>
      <c r="V50" s="348"/>
      <c r="W50" s="348"/>
      <c r="X50" s="353"/>
      <c r="Y50" s="348"/>
      <c r="Z50" s="348"/>
      <c r="AA50" s="348"/>
      <c r="AB50" s="353"/>
      <c r="AC50" s="348"/>
      <c r="AD50" s="348"/>
      <c r="AE50" s="348"/>
      <c r="AF50" s="353"/>
      <c r="AG50" s="348"/>
      <c r="AH50" s="348"/>
      <c r="AI50" s="348"/>
      <c r="AJ50" s="353"/>
      <c r="AK50" s="348"/>
      <c r="AL50" s="348"/>
      <c r="AM50" s="348"/>
      <c r="AN50" s="353"/>
      <c r="AO50" s="348"/>
      <c r="AP50" s="348"/>
      <c r="AQ50" s="348"/>
      <c r="AR50" s="353"/>
      <c r="AS50" s="348"/>
      <c r="AT50" s="348"/>
      <c r="AU50" s="348"/>
    </row>
    <row r="51" spans="1:47" ht="12.75" x14ac:dyDescent="0.2">
      <c r="A51" s="349"/>
      <c r="B51" s="379"/>
      <c r="C51" s="379"/>
      <c r="D51" s="356"/>
      <c r="E51" s="356"/>
      <c r="F51" s="356"/>
      <c r="G51" s="356"/>
      <c r="H51" s="356"/>
      <c r="I51" s="356"/>
      <c r="J51" s="356"/>
      <c r="K51" s="356"/>
      <c r="L51" s="348"/>
      <c r="M51" s="379"/>
      <c r="N51" s="379"/>
      <c r="O51" s="379"/>
      <c r="P51" s="380"/>
      <c r="Q51" s="356"/>
      <c r="R51" s="356"/>
      <c r="S51" s="356"/>
      <c r="T51" s="357"/>
      <c r="U51" s="356"/>
      <c r="V51" s="356"/>
      <c r="W51" s="356"/>
      <c r="X51" s="357"/>
      <c r="Y51" s="348"/>
      <c r="Z51" s="348"/>
      <c r="AA51" s="348"/>
      <c r="AB51" s="353"/>
      <c r="AC51" s="348"/>
      <c r="AD51" s="348"/>
      <c r="AE51" s="348"/>
      <c r="AF51" s="353"/>
      <c r="AG51" s="348"/>
      <c r="AH51" s="348"/>
      <c r="AI51" s="348"/>
      <c r="AJ51" s="353"/>
      <c r="AK51" s="356"/>
      <c r="AL51" s="356"/>
      <c r="AM51" s="356"/>
      <c r="AN51" s="357"/>
      <c r="AO51" s="356"/>
      <c r="AP51" s="356"/>
      <c r="AQ51" s="356"/>
      <c r="AR51" s="357"/>
      <c r="AS51" s="356"/>
      <c r="AT51" s="356"/>
      <c r="AU51" s="356"/>
    </row>
    <row r="52" spans="1:47" ht="12.75" x14ac:dyDescent="0.2">
      <c r="A52" s="349" t="s">
        <v>475</v>
      </c>
      <c r="B52" s="350"/>
      <c r="C52" s="350"/>
      <c r="D52" s="356"/>
      <c r="E52" s="356"/>
      <c r="F52" s="356"/>
      <c r="G52" s="356"/>
      <c r="H52" s="356"/>
      <c r="I52" s="356"/>
      <c r="J52" s="356"/>
      <c r="K52" s="356"/>
      <c r="L52" s="348"/>
      <c r="M52" s="350"/>
      <c r="N52" s="366"/>
      <c r="O52" s="366"/>
      <c r="P52" s="357"/>
      <c r="Q52" s="356"/>
      <c r="R52" s="356"/>
      <c r="S52" s="356"/>
      <c r="T52" s="357"/>
      <c r="U52" s="356"/>
      <c r="V52" s="356"/>
      <c r="W52" s="356"/>
      <c r="X52" s="357"/>
      <c r="Y52" s="356"/>
      <c r="Z52" s="356"/>
      <c r="AA52" s="356"/>
      <c r="AB52" s="357"/>
      <c r="AC52" s="356"/>
      <c r="AD52" s="356"/>
      <c r="AE52" s="356"/>
      <c r="AF52" s="357"/>
      <c r="AG52" s="356"/>
      <c r="AH52" s="356"/>
      <c r="AI52" s="356"/>
      <c r="AJ52" s="357"/>
      <c r="AK52" s="356"/>
      <c r="AL52" s="356"/>
      <c r="AM52" s="356"/>
      <c r="AN52" s="357"/>
      <c r="AO52" s="356"/>
      <c r="AP52" s="356"/>
      <c r="AQ52" s="356"/>
      <c r="AR52" s="357"/>
      <c r="AS52" s="356"/>
      <c r="AT52" s="356"/>
      <c r="AU52" s="356"/>
    </row>
    <row r="53" spans="1:47" ht="12.75" x14ac:dyDescent="0.2">
      <c r="A53" s="354" t="s">
        <v>407</v>
      </c>
      <c r="B53" s="344"/>
      <c r="C53" s="344"/>
      <c r="D53" s="344"/>
      <c r="E53" s="344">
        <v>491</v>
      </c>
      <c r="F53" s="344">
        <v>560</v>
      </c>
      <c r="G53" s="344">
        <f>SUM(Y53:AB53)</f>
        <v>443</v>
      </c>
      <c r="H53" s="344">
        <f>SUM(AC53:AF53)</f>
        <v>393</v>
      </c>
      <c r="I53" s="344">
        <f>SUM(AG53:AJ53)</f>
        <v>491</v>
      </c>
      <c r="J53" s="344">
        <f>SUM(AK53:AN53)</f>
        <v>558</v>
      </c>
      <c r="K53" s="344">
        <v>657</v>
      </c>
      <c r="L53" s="348"/>
      <c r="M53" s="344"/>
      <c r="N53" s="344"/>
      <c r="O53" s="344"/>
      <c r="P53" s="345"/>
      <c r="Q53" s="344"/>
      <c r="R53" s="344"/>
      <c r="S53" s="344"/>
      <c r="T53" s="357"/>
      <c r="U53" s="344"/>
      <c r="V53" s="344"/>
      <c r="W53" s="344"/>
      <c r="X53" s="345"/>
      <c r="Y53" s="344">
        <v>114</v>
      </c>
      <c r="Z53" s="344">
        <v>113</v>
      </c>
      <c r="AA53" s="344">
        <v>111</v>
      </c>
      <c r="AB53" s="345">
        <v>105</v>
      </c>
      <c r="AC53" s="344">
        <v>90</v>
      </c>
      <c r="AD53" s="344">
        <v>96</v>
      </c>
      <c r="AE53" s="344">
        <v>96</v>
      </c>
      <c r="AF53" s="345">
        <v>111</v>
      </c>
      <c r="AG53" s="344">
        <v>110</v>
      </c>
      <c r="AH53" s="344">
        <v>117</v>
      </c>
      <c r="AI53" s="344">
        <v>130</v>
      </c>
      <c r="AJ53" s="345">
        <v>134</v>
      </c>
      <c r="AK53" s="344">
        <v>134</v>
      </c>
      <c r="AL53" s="344">
        <v>138</v>
      </c>
      <c r="AM53" s="344">
        <v>140</v>
      </c>
      <c r="AN53" s="345">
        <v>146</v>
      </c>
      <c r="AO53" s="344">
        <v>153</v>
      </c>
      <c r="AP53" s="344">
        <v>173</v>
      </c>
      <c r="AQ53" s="344">
        <v>173</v>
      </c>
      <c r="AR53" s="345">
        <v>158</v>
      </c>
      <c r="AS53" s="344">
        <v>147</v>
      </c>
      <c r="AT53" s="344">
        <v>148</v>
      </c>
      <c r="AU53" s="344">
        <v>143</v>
      </c>
    </row>
    <row r="54" spans="1:47" ht="12.75" x14ac:dyDescent="0.2">
      <c r="A54" s="354" t="s">
        <v>476</v>
      </c>
      <c r="B54" s="344"/>
      <c r="C54" s="344"/>
      <c r="D54" s="344"/>
      <c r="E54" s="344">
        <v>470</v>
      </c>
      <c r="F54" s="344">
        <v>948</v>
      </c>
      <c r="G54" s="344">
        <f>SUM(Y54:AB54)</f>
        <v>920</v>
      </c>
      <c r="H54" s="344">
        <f>SUM(AC54:AF54)</f>
        <v>920</v>
      </c>
      <c r="I54" s="344">
        <f>SUM(AG54:AJ54)</f>
        <v>1011</v>
      </c>
      <c r="J54" s="344">
        <f>SUM(AK54:AN54)</f>
        <v>1210</v>
      </c>
      <c r="K54" s="344">
        <v>1404</v>
      </c>
      <c r="L54" s="348"/>
      <c r="M54" s="344"/>
      <c r="N54" s="344"/>
      <c r="O54" s="344"/>
      <c r="P54" s="345"/>
      <c r="Q54" s="344"/>
      <c r="R54" s="344"/>
      <c r="S54" s="344"/>
      <c r="T54" s="357"/>
      <c r="U54" s="344"/>
      <c r="V54" s="344"/>
      <c r="W54" s="344"/>
      <c r="X54" s="345"/>
      <c r="Y54" s="344">
        <v>231</v>
      </c>
      <c r="Z54" s="344">
        <v>235</v>
      </c>
      <c r="AA54" s="344">
        <v>215</v>
      </c>
      <c r="AB54" s="345">
        <v>239</v>
      </c>
      <c r="AC54" s="344">
        <v>220</v>
      </c>
      <c r="AD54" s="344">
        <v>226</v>
      </c>
      <c r="AE54" s="344">
        <v>248</v>
      </c>
      <c r="AF54" s="345">
        <v>226</v>
      </c>
      <c r="AG54" s="344">
        <v>232</v>
      </c>
      <c r="AH54" s="344">
        <v>238</v>
      </c>
      <c r="AI54" s="344">
        <v>256</v>
      </c>
      <c r="AJ54" s="345">
        <v>285</v>
      </c>
      <c r="AK54" s="344">
        <v>288</v>
      </c>
      <c r="AL54" s="344">
        <v>314</v>
      </c>
      <c r="AM54" s="344">
        <v>288</v>
      </c>
      <c r="AN54" s="345">
        <v>320</v>
      </c>
      <c r="AO54" s="344">
        <v>304</v>
      </c>
      <c r="AP54" s="344">
        <v>345</v>
      </c>
      <c r="AQ54" s="344">
        <v>374</v>
      </c>
      <c r="AR54" s="345">
        <v>381</v>
      </c>
      <c r="AS54" s="344">
        <v>366</v>
      </c>
      <c r="AT54" s="344">
        <v>369</v>
      </c>
      <c r="AU54" s="344">
        <v>377</v>
      </c>
    </row>
    <row r="55" spans="1:47" ht="12.75" x14ac:dyDescent="0.2">
      <c r="A55" s="354" t="s">
        <v>405</v>
      </c>
      <c r="B55" s="344"/>
      <c r="C55" s="344"/>
      <c r="D55" s="344"/>
      <c r="E55" s="344">
        <v>408</v>
      </c>
      <c r="F55" s="344">
        <v>470</v>
      </c>
      <c r="G55" s="344">
        <f>SUM(Y55:AB55)</f>
        <v>383</v>
      </c>
      <c r="H55" s="344">
        <f>SUM(AC55:AF55)</f>
        <v>433</v>
      </c>
      <c r="I55" s="344">
        <f>SUM(AG55:AJ55)</f>
        <v>628</v>
      </c>
      <c r="J55" s="344">
        <f>SUM(AK55:AN55)</f>
        <v>895</v>
      </c>
      <c r="K55" s="344">
        <v>1383</v>
      </c>
      <c r="L55" s="348"/>
      <c r="M55" s="344"/>
      <c r="N55" s="344"/>
      <c r="O55" s="344"/>
      <c r="P55" s="345"/>
      <c r="Q55" s="344"/>
      <c r="R55" s="344"/>
      <c r="S55" s="344"/>
      <c r="T55" s="357"/>
      <c r="U55" s="344"/>
      <c r="V55" s="344"/>
      <c r="W55" s="344"/>
      <c r="X55" s="345"/>
      <c r="Y55" s="344">
        <v>95</v>
      </c>
      <c r="Z55" s="344">
        <v>93</v>
      </c>
      <c r="AA55" s="344">
        <v>100</v>
      </c>
      <c r="AB55" s="345">
        <v>95</v>
      </c>
      <c r="AC55" s="344">
        <v>72</v>
      </c>
      <c r="AD55" s="344">
        <v>89</v>
      </c>
      <c r="AE55" s="344">
        <v>118</v>
      </c>
      <c r="AF55" s="345">
        <v>154</v>
      </c>
      <c r="AG55" s="344">
        <v>124</v>
      </c>
      <c r="AH55" s="344">
        <v>132</v>
      </c>
      <c r="AI55" s="344">
        <v>140</v>
      </c>
      <c r="AJ55" s="345">
        <v>232</v>
      </c>
      <c r="AK55" s="344">
        <v>213</v>
      </c>
      <c r="AL55" s="344">
        <v>192</v>
      </c>
      <c r="AM55" s="344">
        <v>273</v>
      </c>
      <c r="AN55" s="345">
        <v>217</v>
      </c>
      <c r="AO55" s="344">
        <v>216</v>
      </c>
      <c r="AP55" s="344">
        <v>270</v>
      </c>
      <c r="AQ55" s="344">
        <v>621</v>
      </c>
      <c r="AR55" s="345">
        <v>276</v>
      </c>
      <c r="AS55" s="344">
        <v>266</v>
      </c>
      <c r="AT55" s="344">
        <v>251</v>
      </c>
      <c r="AU55" s="344">
        <v>245</v>
      </c>
    </row>
    <row r="56" spans="1:47" ht="12.75" x14ac:dyDescent="0.2">
      <c r="A56" s="360" t="s">
        <v>477</v>
      </c>
      <c r="B56" s="381"/>
      <c r="C56" s="381"/>
      <c r="D56" s="381"/>
      <c r="E56" s="381">
        <f t="shared" ref="E56:K56" si="0">SUM(E53:E55)</f>
        <v>1369</v>
      </c>
      <c r="F56" s="381">
        <f t="shared" si="0"/>
        <v>1978</v>
      </c>
      <c r="G56" s="381">
        <f t="shared" si="0"/>
        <v>1746</v>
      </c>
      <c r="H56" s="381">
        <f t="shared" si="0"/>
        <v>1746</v>
      </c>
      <c r="I56" s="381">
        <f t="shared" si="0"/>
        <v>2130</v>
      </c>
      <c r="J56" s="381">
        <f t="shared" si="0"/>
        <v>2663</v>
      </c>
      <c r="K56" s="381">
        <f t="shared" si="0"/>
        <v>3444</v>
      </c>
      <c r="L56" s="348"/>
      <c r="M56" s="381"/>
      <c r="N56" s="381"/>
      <c r="O56" s="381"/>
      <c r="P56" s="362"/>
      <c r="Q56" s="361"/>
      <c r="R56" s="381"/>
      <c r="S56" s="381"/>
      <c r="T56" s="381"/>
      <c r="U56" s="381"/>
      <c r="V56" s="381"/>
      <c r="W56" s="381"/>
      <c r="X56" s="362"/>
      <c r="Y56" s="361">
        <f t="shared" ref="Y56:AN56" si="1">SUM(Y53:Y55)</f>
        <v>440</v>
      </c>
      <c r="Z56" s="381">
        <f t="shared" si="1"/>
        <v>441</v>
      </c>
      <c r="AA56" s="381">
        <f t="shared" si="1"/>
        <v>426</v>
      </c>
      <c r="AB56" s="362">
        <f t="shared" si="1"/>
        <v>439</v>
      </c>
      <c r="AC56" s="361">
        <f t="shared" si="1"/>
        <v>382</v>
      </c>
      <c r="AD56" s="381">
        <f t="shared" si="1"/>
        <v>411</v>
      </c>
      <c r="AE56" s="381">
        <f t="shared" si="1"/>
        <v>462</v>
      </c>
      <c r="AF56" s="362">
        <f t="shared" si="1"/>
        <v>491</v>
      </c>
      <c r="AG56" s="361">
        <f t="shared" si="1"/>
        <v>466</v>
      </c>
      <c r="AH56" s="381">
        <f t="shared" si="1"/>
        <v>487</v>
      </c>
      <c r="AI56" s="381">
        <f t="shared" si="1"/>
        <v>526</v>
      </c>
      <c r="AJ56" s="362">
        <f t="shared" si="1"/>
        <v>651</v>
      </c>
      <c r="AK56" s="361">
        <f t="shared" si="1"/>
        <v>635</v>
      </c>
      <c r="AL56" s="381">
        <f t="shared" si="1"/>
        <v>644</v>
      </c>
      <c r="AM56" s="381">
        <f t="shared" si="1"/>
        <v>701</v>
      </c>
      <c r="AN56" s="382">
        <f t="shared" si="1"/>
        <v>683</v>
      </c>
      <c r="AO56" s="381">
        <v>673</v>
      </c>
      <c r="AP56" s="381">
        <f>SUM(AP53:AP55)</f>
        <v>788</v>
      </c>
      <c r="AQ56" s="381">
        <v>1168</v>
      </c>
      <c r="AR56" s="382">
        <v>815</v>
      </c>
      <c r="AS56" s="381">
        <v>779</v>
      </c>
      <c r="AT56" s="381">
        <v>768</v>
      </c>
      <c r="AU56" s="381">
        <v>765</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Q99"/>
  <sheetViews>
    <sheetView showGridLines="0" workbookViewId="0"/>
  </sheetViews>
  <sheetFormatPr defaultColWidth="10" defaultRowHeight="13.35" customHeight="1" x14ac:dyDescent="0.2"/>
  <cols>
    <col min="1" max="1" width="37.85546875" customWidth="1"/>
    <col min="2" max="11" width="6.85546875" bestFit="1" customWidth="1"/>
    <col min="12" max="12" width="7.140625" customWidth="1"/>
    <col min="13" max="43" width="6.140625" customWidth="1"/>
  </cols>
  <sheetData>
    <row r="1" spans="1:43" ht="16.5" thickBot="1" x14ac:dyDescent="0.3">
      <c r="A1" s="1" t="s">
        <v>11</v>
      </c>
      <c r="B1" s="386" t="s">
        <v>127</v>
      </c>
      <c r="C1" s="387"/>
      <c r="D1" s="387"/>
      <c r="E1" s="387"/>
      <c r="F1" s="387"/>
      <c r="G1" s="387"/>
      <c r="H1" s="387"/>
      <c r="I1" s="387"/>
      <c r="J1" s="387"/>
      <c r="K1" s="387"/>
      <c r="L1" s="272"/>
      <c r="M1" s="386" t="s">
        <v>128</v>
      </c>
      <c r="N1" s="387"/>
      <c r="O1" s="387"/>
      <c r="P1" s="388"/>
      <c r="Q1" s="389"/>
      <c r="R1" s="387"/>
      <c r="S1" s="387"/>
      <c r="T1" s="388"/>
      <c r="U1" s="387"/>
      <c r="V1" s="387"/>
      <c r="W1" s="387"/>
      <c r="X1" s="388"/>
      <c r="Y1" s="387"/>
      <c r="Z1" s="387"/>
      <c r="AA1" s="387"/>
      <c r="AB1" s="388"/>
      <c r="AC1" s="387"/>
      <c r="AD1" s="387"/>
      <c r="AE1" s="387"/>
      <c r="AF1" s="388"/>
      <c r="AG1" s="390"/>
      <c r="AH1" s="387"/>
      <c r="AI1" s="387"/>
      <c r="AJ1" s="388"/>
      <c r="AK1" s="387"/>
      <c r="AL1" s="387"/>
      <c r="AM1" s="387"/>
      <c r="AN1" s="388"/>
      <c r="AO1" s="387"/>
      <c r="AP1" s="387"/>
      <c r="AQ1" s="387"/>
    </row>
    <row r="2" spans="1:43" ht="14.25" thickTop="1" thickBot="1" x14ac:dyDescent="0.25">
      <c r="A2" s="19" t="s">
        <v>32</v>
      </c>
      <c r="B2" s="391"/>
      <c r="C2" s="392"/>
      <c r="D2" s="392"/>
      <c r="E2" s="392"/>
      <c r="F2" s="392"/>
      <c r="G2" s="392"/>
      <c r="H2" s="392"/>
      <c r="I2" s="392"/>
      <c r="J2" s="392"/>
      <c r="K2" s="392"/>
      <c r="L2" s="272"/>
      <c r="M2" s="392"/>
      <c r="N2" s="392"/>
      <c r="O2" s="392"/>
      <c r="P2" s="393"/>
      <c r="Q2" s="392"/>
      <c r="R2" s="392"/>
      <c r="S2" s="392"/>
      <c r="T2" s="393"/>
      <c r="U2" s="392"/>
      <c r="V2" s="392"/>
      <c r="W2" s="392"/>
      <c r="X2" s="393"/>
      <c r="Y2" s="392"/>
      <c r="Z2" s="392"/>
      <c r="AA2" s="392"/>
      <c r="AB2" s="393"/>
      <c r="AC2" s="392"/>
      <c r="AD2" s="392"/>
      <c r="AE2" s="392"/>
      <c r="AF2" s="393"/>
      <c r="AG2" s="394" t="s">
        <v>478</v>
      </c>
      <c r="AH2" s="392"/>
      <c r="AI2" s="392"/>
      <c r="AJ2" s="393"/>
      <c r="AK2" s="395" t="s">
        <v>479</v>
      </c>
      <c r="AL2" s="392"/>
      <c r="AM2" s="392"/>
      <c r="AN2" s="393"/>
      <c r="AO2" s="395"/>
      <c r="AP2" s="392"/>
      <c r="AQ2" s="392"/>
    </row>
    <row r="3" spans="1:43" ht="13.5" thickTop="1" x14ac:dyDescent="0.2">
      <c r="A3" s="396" t="s">
        <v>480</v>
      </c>
      <c r="B3" s="397">
        <v>2015</v>
      </c>
      <c r="C3" s="397">
        <v>2016</v>
      </c>
      <c r="D3" s="397">
        <v>2017</v>
      </c>
      <c r="E3" s="397">
        <v>2018</v>
      </c>
      <c r="F3" s="397">
        <v>2019</v>
      </c>
      <c r="G3" s="397">
        <v>2020</v>
      </c>
      <c r="H3" s="397">
        <v>2021</v>
      </c>
      <c r="I3" s="397">
        <v>2022</v>
      </c>
      <c r="J3" s="397">
        <v>2023</v>
      </c>
      <c r="K3" s="397">
        <v>2024</v>
      </c>
      <c r="L3" s="398"/>
      <c r="M3" s="397" t="s">
        <v>131</v>
      </c>
      <c r="N3" s="397" t="s">
        <v>132</v>
      </c>
      <c r="O3" s="397" t="s">
        <v>133</v>
      </c>
      <c r="P3" s="399" t="s">
        <v>134</v>
      </c>
      <c r="Q3" s="397" t="s">
        <v>135</v>
      </c>
      <c r="R3" s="397" t="s">
        <v>136</v>
      </c>
      <c r="S3" s="397" t="s">
        <v>137</v>
      </c>
      <c r="T3" s="399" t="s">
        <v>138</v>
      </c>
      <c r="U3" s="397" t="s">
        <v>139</v>
      </c>
      <c r="V3" s="397" t="s">
        <v>140</v>
      </c>
      <c r="W3" s="397" t="s">
        <v>141</v>
      </c>
      <c r="X3" s="399" t="s">
        <v>142</v>
      </c>
      <c r="Y3" s="397" t="s">
        <v>143</v>
      </c>
      <c r="Z3" s="397" t="s">
        <v>144</v>
      </c>
      <c r="AA3" s="397" t="s">
        <v>145</v>
      </c>
      <c r="AB3" s="399" t="s">
        <v>146</v>
      </c>
      <c r="AC3" s="397" t="s">
        <v>147</v>
      </c>
      <c r="AD3" s="397" t="s">
        <v>148</v>
      </c>
      <c r="AE3" s="397" t="s">
        <v>149</v>
      </c>
      <c r="AF3" s="399" t="s">
        <v>150</v>
      </c>
      <c r="AG3" s="397" t="s">
        <v>151</v>
      </c>
      <c r="AH3" s="397" t="s">
        <v>152</v>
      </c>
      <c r="AI3" s="397" t="s">
        <v>153</v>
      </c>
      <c r="AJ3" s="399" t="s">
        <v>154</v>
      </c>
      <c r="AK3" s="397" t="s">
        <v>155</v>
      </c>
      <c r="AL3" s="397" t="s">
        <v>156</v>
      </c>
      <c r="AM3" s="397" t="s">
        <v>157</v>
      </c>
      <c r="AN3" s="399" t="s">
        <v>158</v>
      </c>
      <c r="AO3" s="397" t="s">
        <v>159</v>
      </c>
      <c r="AP3" s="397" t="s">
        <v>160</v>
      </c>
      <c r="AQ3" s="397" t="s">
        <v>161</v>
      </c>
    </row>
    <row r="4" spans="1:43" ht="12.75" x14ac:dyDescent="0.2">
      <c r="A4" s="400" t="s">
        <v>481</v>
      </c>
      <c r="B4" s="401">
        <v>27646</v>
      </c>
      <c r="C4" s="401">
        <v>27551</v>
      </c>
      <c r="D4" s="401">
        <v>27634</v>
      </c>
      <c r="E4" s="401">
        <v>33830.761604197898</v>
      </c>
      <c r="F4" s="401">
        <v>39400</v>
      </c>
      <c r="G4" s="401">
        <v>39492</v>
      </c>
      <c r="H4" s="401">
        <v>36579</v>
      </c>
      <c r="I4" s="401">
        <v>45648</v>
      </c>
      <c r="J4" s="401">
        <v>53222</v>
      </c>
      <c r="K4" s="401">
        <v>58899</v>
      </c>
      <c r="L4" s="272"/>
      <c r="M4" s="401">
        <v>8520</v>
      </c>
      <c r="N4" s="401">
        <v>8662</v>
      </c>
      <c r="O4" s="401">
        <v>8591</v>
      </c>
      <c r="P4" s="402">
        <v>8058</v>
      </c>
      <c r="Q4" s="401">
        <v>10036</v>
      </c>
      <c r="R4" s="401">
        <v>10483</v>
      </c>
      <c r="S4" s="401">
        <v>9413</v>
      </c>
      <c r="T4" s="402">
        <v>9468</v>
      </c>
      <c r="U4" s="401">
        <v>10063</v>
      </c>
      <c r="V4" s="401">
        <v>10553</v>
      </c>
      <c r="W4" s="401">
        <v>9600</v>
      </c>
      <c r="X4" s="402">
        <v>9276</v>
      </c>
      <c r="Y4" s="401">
        <v>9772</v>
      </c>
      <c r="Z4" s="401">
        <v>8105</v>
      </c>
      <c r="AA4" s="401">
        <v>9373</v>
      </c>
      <c r="AB4" s="402">
        <v>9328.7539173412988</v>
      </c>
      <c r="AC4" s="401">
        <v>10690</v>
      </c>
      <c r="AD4" s="401">
        <v>11070.2641415608</v>
      </c>
      <c r="AE4" s="401">
        <v>12244.811463370999</v>
      </c>
      <c r="AF4" s="402">
        <v>11643.1579745823</v>
      </c>
      <c r="AG4" s="401">
        <v>13817.9803940854</v>
      </c>
      <c r="AH4" s="401">
        <v>13377</v>
      </c>
      <c r="AI4" s="401">
        <v>12322.0537678564</v>
      </c>
      <c r="AJ4" s="402">
        <v>13704.5692464232</v>
      </c>
      <c r="AK4" s="401">
        <v>14715</v>
      </c>
      <c r="AL4" s="401">
        <v>15436.263962106099</v>
      </c>
      <c r="AM4" s="401">
        <v>14359.8582558573</v>
      </c>
      <c r="AN4" s="402">
        <v>14388.595843134801</v>
      </c>
      <c r="AO4" s="401">
        <v>14161.679516402201</v>
      </c>
      <c r="AP4" s="401">
        <v>16349.3402820848</v>
      </c>
      <c r="AQ4" s="401">
        <v>15519.6168080796</v>
      </c>
    </row>
    <row r="5" spans="1:43" ht="12.75" x14ac:dyDescent="0.2">
      <c r="A5" s="403" t="s">
        <v>482</v>
      </c>
      <c r="B5" s="404">
        <v>-6.6</v>
      </c>
      <c r="C5" s="404">
        <v>2.7</v>
      </c>
      <c r="D5" s="404">
        <v>20.100000000000001</v>
      </c>
      <c r="E5" s="404">
        <v>13</v>
      </c>
      <c r="F5" s="404">
        <v>-5</v>
      </c>
      <c r="G5" s="404">
        <v>0</v>
      </c>
      <c r="H5" s="404">
        <v>26</v>
      </c>
      <c r="I5" s="404">
        <v>2</v>
      </c>
      <c r="J5" s="404">
        <v>1.01</v>
      </c>
      <c r="K5" s="404">
        <v>3.01</v>
      </c>
      <c r="L5" s="272"/>
      <c r="M5" s="404">
        <v>21</v>
      </c>
      <c r="N5" s="404">
        <v>18.082810848828263</v>
      </c>
      <c r="O5" s="404">
        <v>3</v>
      </c>
      <c r="P5" s="405">
        <v>11.497999999999999</v>
      </c>
      <c r="Q5" s="404">
        <v>-5</v>
      </c>
      <c r="R5" s="404">
        <v>-4</v>
      </c>
      <c r="S5" s="404">
        <v>-6</v>
      </c>
      <c r="T5" s="405">
        <v>-7</v>
      </c>
      <c r="U5" s="404">
        <v>-4</v>
      </c>
      <c r="V5" s="404">
        <v>-17</v>
      </c>
      <c r="W5" s="404">
        <v>10</v>
      </c>
      <c r="X5" s="405">
        <v>13</v>
      </c>
      <c r="Y5" s="404">
        <v>21</v>
      </c>
      <c r="Z5" s="404">
        <v>45</v>
      </c>
      <c r="AA5" s="404">
        <v>24</v>
      </c>
      <c r="AB5" s="405">
        <v>19</v>
      </c>
      <c r="AC5" s="404">
        <v>18</v>
      </c>
      <c r="AD5" s="404">
        <v>6</v>
      </c>
      <c r="AE5" s="404">
        <v>-10</v>
      </c>
      <c r="AF5" s="405">
        <v>-4</v>
      </c>
      <c r="AG5" s="404">
        <v>-6</v>
      </c>
      <c r="AH5" s="404">
        <v>-1</v>
      </c>
      <c r="AI5" s="404">
        <v>9</v>
      </c>
      <c r="AJ5" s="405">
        <v>7</v>
      </c>
      <c r="AK5" s="404">
        <v>-3</v>
      </c>
      <c r="AL5" s="404">
        <v>1</v>
      </c>
      <c r="AM5" s="404">
        <v>6</v>
      </c>
      <c r="AN5" s="405">
        <v>5</v>
      </c>
      <c r="AO5" s="404">
        <v>10</v>
      </c>
      <c r="AP5" s="404">
        <v>2</v>
      </c>
      <c r="AQ5" s="404">
        <v>7</v>
      </c>
    </row>
    <row r="6" spans="1:43" ht="12.75" x14ac:dyDescent="0.2">
      <c r="A6" s="403" t="s">
        <v>483</v>
      </c>
      <c r="B6" s="404">
        <v>7</v>
      </c>
      <c r="C6" s="404">
        <v>-3</v>
      </c>
      <c r="D6" s="404">
        <v>1</v>
      </c>
      <c r="E6" s="404">
        <v>0.7855044858816459</v>
      </c>
      <c r="F6" s="404">
        <v>3</v>
      </c>
      <c r="G6" s="404">
        <v>-6.7189250363655866</v>
      </c>
      <c r="H6" s="404">
        <v>-4</v>
      </c>
      <c r="I6" s="404">
        <v>10</v>
      </c>
      <c r="J6" s="404">
        <v>2.6744536347260435</v>
      </c>
      <c r="K6" s="404">
        <v>-1.8829422828553199</v>
      </c>
      <c r="L6" s="272"/>
      <c r="M6" s="404">
        <v>-5.0006651971129985</v>
      </c>
      <c r="N6" s="404">
        <v>0.56138213551789884</v>
      </c>
      <c r="O6" s="404">
        <v>4.7578784084824957</v>
      </c>
      <c r="P6" s="405">
        <v>2.9091995892098454</v>
      </c>
      <c r="Q6" s="404">
        <v>3.7039007808507058</v>
      </c>
      <c r="R6" s="404">
        <v>2.1960492727564551</v>
      </c>
      <c r="S6" s="404">
        <v>5.2922196797234209</v>
      </c>
      <c r="T6" s="405">
        <v>3</v>
      </c>
      <c r="U6" s="404">
        <v>1</v>
      </c>
      <c r="V6" s="404">
        <v>-4.7290107343320242</v>
      </c>
      <c r="W6" s="404">
        <v>-11.745705381093344</v>
      </c>
      <c r="X6" s="405">
        <v>-11.894324453671517</v>
      </c>
      <c r="Y6" s="404">
        <v>-11.731869674386317</v>
      </c>
      <c r="Z6" s="404">
        <v>-9.2789792138925886</v>
      </c>
      <c r="AA6" s="404">
        <v>0.29767043740941102</v>
      </c>
      <c r="AB6" s="405">
        <v>2.4809461586630928</v>
      </c>
      <c r="AC6" s="404">
        <v>8.1065017481339012</v>
      </c>
      <c r="AD6" s="404">
        <v>10.130719401744145</v>
      </c>
      <c r="AE6" s="404">
        <v>11.724106130227199</v>
      </c>
      <c r="AF6" s="405">
        <v>10.72074560970999</v>
      </c>
      <c r="AG6" s="404">
        <v>5.9870067219651055</v>
      </c>
      <c r="AH6" s="404">
        <v>4</v>
      </c>
      <c r="AI6" s="404">
        <v>1.4545478110901222</v>
      </c>
      <c r="AJ6" s="405">
        <v>-0.81350660109677964</v>
      </c>
      <c r="AK6" s="404">
        <v>-3</v>
      </c>
      <c r="AL6" s="404">
        <v>-1.2381446821731008</v>
      </c>
      <c r="AM6" s="404">
        <v>-3.8815506337488594</v>
      </c>
      <c r="AN6" s="405">
        <v>0.45511524884192445</v>
      </c>
      <c r="AO6" s="404">
        <v>8.2374768677602669E-2</v>
      </c>
      <c r="AP6" s="404">
        <v>-9.244485117990882</v>
      </c>
      <c r="AQ6" s="404">
        <v>-8.643750390514974</v>
      </c>
    </row>
    <row r="7" spans="1:43" ht="12.75" x14ac:dyDescent="0.2">
      <c r="A7" s="403" t="s">
        <v>484</v>
      </c>
      <c r="B7" s="404">
        <v>0</v>
      </c>
      <c r="C7" s="404">
        <v>0</v>
      </c>
      <c r="D7" s="404">
        <v>0.5</v>
      </c>
      <c r="E7" s="404">
        <v>2.3786044470844803</v>
      </c>
      <c r="F7" s="404">
        <v>2</v>
      </c>
      <c r="G7" s="404">
        <v>-0.47440658721220219</v>
      </c>
      <c r="H7" s="404">
        <v>3</v>
      </c>
      <c r="I7" s="404">
        <v>5</v>
      </c>
      <c r="J7" s="404">
        <v>7.0190001789503489</v>
      </c>
      <c r="K7" s="404">
        <v>5.0580357046126085</v>
      </c>
      <c r="L7" s="272"/>
      <c r="M7" s="404">
        <v>2</v>
      </c>
      <c r="N7" s="404">
        <v>2</v>
      </c>
      <c r="O7" s="404">
        <v>2.3245553488429764</v>
      </c>
      <c r="P7" s="405">
        <v>2.6333957413602187</v>
      </c>
      <c r="Q7" s="404">
        <v>0.9007556406024837</v>
      </c>
      <c r="R7" s="404">
        <v>2.6270881299855229</v>
      </c>
      <c r="S7" s="404">
        <v>2.9736885282500731</v>
      </c>
      <c r="T7" s="405">
        <v>2</v>
      </c>
      <c r="U7" s="404">
        <v>0</v>
      </c>
      <c r="V7" s="404">
        <v>-1.2140496993896299</v>
      </c>
      <c r="W7" s="404">
        <v>-0.38032844821663953</v>
      </c>
      <c r="X7" s="405">
        <v>-0.1446549208631788</v>
      </c>
      <c r="Y7" s="404">
        <v>3.7656588427327553E-2</v>
      </c>
      <c r="Z7" s="404">
        <v>1.0818779687451732</v>
      </c>
      <c r="AA7" s="404">
        <v>7.1849056103045328</v>
      </c>
      <c r="AB7" s="405">
        <v>3.9567554397726101</v>
      </c>
      <c r="AC7" s="404">
        <v>3.4230681260333489</v>
      </c>
      <c r="AD7" s="404">
        <v>5.0316475224065078</v>
      </c>
      <c r="AE7" s="404">
        <v>-0.85373986439902616</v>
      </c>
      <c r="AF7" s="405">
        <v>11.411015471735571</v>
      </c>
      <c r="AG7" s="406">
        <v>10.084783483938612</v>
      </c>
      <c r="AH7" s="404">
        <v>12</v>
      </c>
      <c r="AI7" s="404">
        <v>7.0472157125050749</v>
      </c>
      <c r="AJ7" s="405">
        <v>-1.060222957981857</v>
      </c>
      <c r="AK7" s="404">
        <v>2</v>
      </c>
      <c r="AL7" s="404">
        <v>5.7061181396630092</v>
      </c>
      <c r="AM7" s="404">
        <v>5.8810752023128625</v>
      </c>
      <c r="AN7" s="405">
        <v>7.1153617086825314</v>
      </c>
      <c r="AO7" s="404">
        <v>7.3344148831252296</v>
      </c>
      <c r="AP7" s="404">
        <v>0.49531004580861149</v>
      </c>
      <c r="AQ7" s="404">
        <v>0.25103355712440972</v>
      </c>
    </row>
    <row r="8" spans="1:43" ht="12.75" x14ac:dyDescent="0.2">
      <c r="A8" s="407" t="s">
        <v>485</v>
      </c>
      <c r="B8" s="408">
        <v>0</v>
      </c>
      <c r="C8" s="408">
        <v>0</v>
      </c>
      <c r="D8" s="408">
        <v>22</v>
      </c>
      <c r="E8" s="408">
        <v>16</v>
      </c>
      <c r="F8" s="408">
        <v>0</v>
      </c>
      <c r="G8" s="408">
        <v>-7</v>
      </c>
      <c r="H8" s="408">
        <v>25</v>
      </c>
      <c r="I8" s="408">
        <v>17</v>
      </c>
      <c r="J8" s="408">
        <v>11</v>
      </c>
      <c r="K8" s="408">
        <v>6</v>
      </c>
      <c r="L8" s="272"/>
      <c r="M8" s="408">
        <v>18</v>
      </c>
      <c r="N8" s="408">
        <v>21</v>
      </c>
      <c r="O8" s="408">
        <v>10</v>
      </c>
      <c r="P8" s="409">
        <v>17.498000000000001</v>
      </c>
      <c r="Q8" s="408">
        <v>0</v>
      </c>
      <c r="R8" s="408">
        <v>1</v>
      </c>
      <c r="S8" s="408">
        <v>2</v>
      </c>
      <c r="T8" s="409">
        <v>-2</v>
      </c>
      <c r="U8" s="408">
        <v>-3</v>
      </c>
      <c r="V8" s="408">
        <v>-23</v>
      </c>
      <c r="W8" s="408">
        <v>-2</v>
      </c>
      <c r="X8" s="409">
        <v>1</v>
      </c>
      <c r="Y8" s="408">
        <v>9</v>
      </c>
      <c r="Z8" s="408">
        <v>37</v>
      </c>
      <c r="AA8" s="408">
        <v>31</v>
      </c>
      <c r="AB8" s="409">
        <v>25</v>
      </c>
      <c r="AC8" s="408">
        <v>29</v>
      </c>
      <c r="AD8" s="408">
        <v>21</v>
      </c>
      <c r="AE8" s="408">
        <v>1</v>
      </c>
      <c r="AF8" s="409">
        <v>18</v>
      </c>
      <c r="AG8" s="410">
        <v>10</v>
      </c>
      <c r="AH8" s="408">
        <v>15</v>
      </c>
      <c r="AI8" s="408">
        <v>17</v>
      </c>
      <c r="AJ8" s="409">
        <v>5</v>
      </c>
      <c r="AK8" s="408">
        <v>-4</v>
      </c>
      <c r="AL8" s="408">
        <v>6</v>
      </c>
      <c r="AM8" s="408">
        <v>8</v>
      </c>
      <c r="AN8" s="409">
        <v>12</v>
      </c>
      <c r="AO8" s="408">
        <v>17</v>
      </c>
      <c r="AP8" s="408">
        <v>-7</v>
      </c>
      <c r="AQ8" s="408">
        <v>-2</v>
      </c>
    </row>
    <row r="9" spans="1:43" ht="12.75" x14ac:dyDescent="0.2">
      <c r="A9" s="403" t="s">
        <v>486</v>
      </c>
      <c r="B9" s="401">
        <v>27551</v>
      </c>
      <c r="C9" s="401">
        <v>27634</v>
      </c>
      <c r="D9" s="401">
        <v>33831</v>
      </c>
      <c r="E9" s="401">
        <v>39400.1129006642</v>
      </c>
      <c r="F9" s="401">
        <v>39492</v>
      </c>
      <c r="G9" s="401">
        <v>36579</v>
      </c>
      <c r="H9" s="401">
        <v>45648</v>
      </c>
      <c r="I9" s="401">
        <v>53222</v>
      </c>
      <c r="J9" s="401">
        <v>59332</v>
      </c>
      <c r="K9" s="401">
        <v>62213</v>
      </c>
      <c r="L9" s="272"/>
      <c r="M9" s="401">
        <v>10036</v>
      </c>
      <c r="N9" s="401">
        <v>10483</v>
      </c>
      <c r="O9" s="401">
        <v>9413</v>
      </c>
      <c r="P9" s="402">
        <v>9468</v>
      </c>
      <c r="Q9" s="401">
        <v>10063</v>
      </c>
      <c r="R9" s="401">
        <v>10553</v>
      </c>
      <c r="S9" s="401">
        <v>9600</v>
      </c>
      <c r="T9" s="402">
        <v>9276</v>
      </c>
      <c r="U9" s="401">
        <v>9772</v>
      </c>
      <c r="V9" s="401">
        <v>8105</v>
      </c>
      <c r="W9" s="401">
        <v>9373</v>
      </c>
      <c r="X9" s="411">
        <v>9330</v>
      </c>
      <c r="Y9" s="401">
        <v>10690</v>
      </c>
      <c r="Z9" s="401">
        <v>11070</v>
      </c>
      <c r="AA9" s="401">
        <v>12245</v>
      </c>
      <c r="AB9" s="411">
        <v>11643.1579745824</v>
      </c>
      <c r="AC9" s="401">
        <v>13818</v>
      </c>
      <c r="AD9" s="401">
        <v>13377.400910480101</v>
      </c>
      <c r="AE9" s="401">
        <v>12322.0537678566</v>
      </c>
      <c r="AF9" s="411">
        <v>13705</v>
      </c>
      <c r="AG9" s="412">
        <v>15147.6012657669</v>
      </c>
      <c r="AH9" s="401">
        <v>15436</v>
      </c>
      <c r="AI9" s="401">
        <v>14359.8582558577</v>
      </c>
      <c r="AJ9" s="411">
        <v>14388.3958431346</v>
      </c>
      <c r="AK9" s="401">
        <v>14162</v>
      </c>
      <c r="AL9" s="401">
        <v>16349.340282084901</v>
      </c>
      <c r="AM9" s="401">
        <v>15519.6168080795</v>
      </c>
      <c r="AN9" s="411">
        <v>16182.216636987199</v>
      </c>
      <c r="AO9" s="401">
        <v>16585.737469056799</v>
      </c>
      <c r="AP9" s="401">
        <v>15276.1072730092</v>
      </c>
      <c r="AQ9" s="401">
        <v>15141.8834038397</v>
      </c>
    </row>
    <row r="10" spans="1:43" ht="12.75" x14ac:dyDescent="0.2">
      <c r="A10" s="413" t="s">
        <v>487</v>
      </c>
      <c r="B10" s="401"/>
      <c r="C10" s="401"/>
      <c r="D10" s="401"/>
      <c r="E10" s="401"/>
      <c r="F10" s="401"/>
      <c r="G10" s="401"/>
      <c r="H10" s="401"/>
      <c r="I10" s="401"/>
      <c r="J10" s="401"/>
      <c r="K10" s="401"/>
      <c r="L10" s="272"/>
      <c r="M10" s="401"/>
      <c r="N10" s="401"/>
      <c r="O10" s="401"/>
      <c r="P10" s="402"/>
      <c r="Q10" s="401"/>
      <c r="R10" s="401"/>
      <c r="S10" s="401"/>
      <c r="T10" s="402"/>
      <c r="U10" s="401"/>
      <c r="V10" s="401"/>
      <c r="W10" s="401"/>
      <c r="X10" s="411"/>
      <c r="Y10" s="401"/>
      <c r="Z10" s="401"/>
      <c r="AA10" s="401"/>
      <c r="AB10" s="411"/>
      <c r="AC10" s="401">
        <v>13</v>
      </c>
      <c r="AD10" s="401">
        <v>-10</v>
      </c>
      <c r="AE10" s="272">
        <v>-12</v>
      </c>
      <c r="AF10" s="411">
        <v>4</v>
      </c>
      <c r="AG10" s="401">
        <v>12</v>
      </c>
      <c r="AH10" s="401">
        <v>-2</v>
      </c>
      <c r="AI10" s="401">
        <v>-7</v>
      </c>
      <c r="AJ10" s="411">
        <v>3</v>
      </c>
      <c r="AK10" s="401">
        <v>2</v>
      </c>
      <c r="AL10" s="272">
        <v>5</v>
      </c>
      <c r="AM10" s="272">
        <v>-3</v>
      </c>
      <c r="AN10" s="411">
        <v>2</v>
      </c>
      <c r="AO10" s="401">
        <v>5.6</v>
      </c>
      <c r="AP10" s="414">
        <v>1.3</v>
      </c>
      <c r="AQ10" s="414">
        <v>0.3</v>
      </c>
    </row>
    <row r="11" spans="1:43" ht="12.75" x14ac:dyDescent="0.2">
      <c r="A11" s="415" t="s">
        <v>488</v>
      </c>
      <c r="B11" s="416"/>
      <c r="C11" s="416"/>
      <c r="D11" s="416"/>
      <c r="E11" s="416"/>
      <c r="F11" s="416"/>
      <c r="G11" s="416"/>
      <c r="H11" s="416"/>
      <c r="I11" s="416"/>
      <c r="J11" s="416"/>
      <c r="K11" s="416"/>
      <c r="L11" s="32"/>
      <c r="M11" s="416"/>
      <c r="N11" s="416"/>
      <c r="O11" s="416"/>
      <c r="P11" s="417"/>
      <c r="Q11" s="416"/>
      <c r="R11" s="416"/>
      <c r="S11" s="416"/>
      <c r="T11" s="417"/>
      <c r="U11" s="416"/>
      <c r="V11" s="416"/>
      <c r="W11" s="416"/>
      <c r="X11" s="417"/>
      <c r="Y11" s="416"/>
      <c r="Z11" s="416"/>
      <c r="AA11" s="418" t="s">
        <v>489</v>
      </c>
      <c r="AB11" s="419"/>
      <c r="AC11" s="419"/>
      <c r="AD11" s="420" t="s">
        <v>490</v>
      </c>
      <c r="AE11" s="420"/>
      <c r="AF11" s="420" t="s">
        <v>491</v>
      </c>
      <c r="AG11" s="421" t="s">
        <v>492</v>
      </c>
      <c r="AH11" s="421"/>
      <c r="AI11" s="421"/>
      <c r="AJ11" s="422"/>
      <c r="AK11" s="416"/>
      <c r="AL11" s="420"/>
      <c r="AM11" s="420"/>
      <c r="AN11" s="422"/>
      <c r="AO11" s="416"/>
      <c r="AP11" s="420"/>
      <c r="AQ11" s="420"/>
    </row>
    <row r="12" spans="1:43" ht="12.75" x14ac:dyDescent="0.2">
      <c r="A12" s="403"/>
      <c r="B12" s="404"/>
      <c r="C12" s="404"/>
      <c r="D12" s="392"/>
      <c r="E12" s="392"/>
      <c r="F12" s="392"/>
      <c r="G12" s="392"/>
      <c r="H12" s="392"/>
      <c r="I12" s="392"/>
      <c r="J12" s="392"/>
      <c r="K12" s="392"/>
      <c r="L12" s="272"/>
      <c r="M12" s="404"/>
      <c r="N12" s="404"/>
      <c r="O12" s="404"/>
      <c r="P12" s="405"/>
      <c r="Q12" s="404"/>
      <c r="R12" s="404"/>
      <c r="S12" s="404"/>
      <c r="T12" s="405"/>
      <c r="U12" s="404"/>
      <c r="V12" s="404"/>
      <c r="W12" s="404"/>
      <c r="X12" s="405"/>
      <c r="Y12" s="404"/>
      <c r="Z12" s="404"/>
      <c r="AA12" s="404"/>
      <c r="AB12" s="405"/>
      <c r="AC12" s="404"/>
      <c r="AD12" s="404"/>
      <c r="AE12" s="404"/>
      <c r="AF12" s="405"/>
      <c r="AG12" s="404"/>
      <c r="AH12" s="401"/>
      <c r="AI12" s="401"/>
      <c r="AJ12" s="405"/>
      <c r="AK12" s="404"/>
      <c r="AL12" s="404"/>
      <c r="AM12" s="404"/>
      <c r="AN12" s="405"/>
      <c r="AO12" s="404"/>
      <c r="AP12" s="404"/>
      <c r="AQ12" s="404"/>
    </row>
    <row r="13" spans="1:43" ht="12.75" x14ac:dyDescent="0.2">
      <c r="A13" s="423" t="s">
        <v>493</v>
      </c>
      <c r="B13" s="397">
        <v>2015</v>
      </c>
      <c r="C13" s="397">
        <v>2016</v>
      </c>
      <c r="D13" s="397">
        <v>2017</v>
      </c>
      <c r="E13" s="397">
        <v>2018</v>
      </c>
      <c r="F13" s="397">
        <v>2019</v>
      </c>
      <c r="G13" s="397">
        <v>2020</v>
      </c>
      <c r="H13" s="397">
        <v>2021</v>
      </c>
      <c r="I13" s="397">
        <v>2022</v>
      </c>
      <c r="J13" s="397">
        <v>2023</v>
      </c>
      <c r="K13" s="397">
        <v>2024</v>
      </c>
      <c r="L13" s="398"/>
      <c r="M13" s="397" t="s">
        <v>131</v>
      </c>
      <c r="N13" s="397" t="s">
        <v>132</v>
      </c>
      <c r="O13" s="397" t="s">
        <v>133</v>
      </c>
      <c r="P13" s="399" t="s">
        <v>134</v>
      </c>
      <c r="Q13" s="397" t="s">
        <v>135</v>
      </c>
      <c r="R13" s="397" t="s">
        <v>136</v>
      </c>
      <c r="S13" s="397" t="s">
        <v>137</v>
      </c>
      <c r="T13" s="399" t="s">
        <v>138</v>
      </c>
      <c r="U13" s="397" t="s">
        <v>139</v>
      </c>
      <c r="V13" s="397" t="s">
        <v>140</v>
      </c>
      <c r="W13" s="397" t="s">
        <v>141</v>
      </c>
      <c r="X13" s="399" t="s">
        <v>142</v>
      </c>
      <c r="Y13" s="397" t="s">
        <v>143</v>
      </c>
      <c r="Z13" s="397" t="s">
        <v>144</v>
      </c>
      <c r="AA13" s="397" t="s">
        <v>145</v>
      </c>
      <c r="AB13" s="399" t="s">
        <v>146</v>
      </c>
      <c r="AC13" s="397" t="s">
        <v>147</v>
      </c>
      <c r="AD13" s="397" t="s">
        <v>148</v>
      </c>
      <c r="AE13" s="397" t="s">
        <v>149</v>
      </c>
      <c r="AF13" s="399" t="s">
        <v>150</v>
      </c>
      <c r="AG13" s="397" t="s">
        <v>151</v>
      </c>
      <c r="AH13" s="397" t="s">
        <v>152</v>
      </c>
      <c r="AI13" s="397" t="s">
        <v>153</v>
      </c>
      <c r="AJ13" s="399" t="s">
        <v>154</v>
      </c>
      <c r="AK13" s="397" t="s">
        <v>155</v>
      </c>
      <c r="AL13" s="397" t="s">
        <v>156</v>
      </c>
      <c r="AM13" s="397" t="s">
        <v>157</v>
      </c>
      <c r="AN13" s="399" t="s">
        <v>158</v>
      </c>
      <c r="AO13" s="397" t="s">
        <v>159</v>
      </c>
      <c r="AP13" s="397" t="s">
        <v>160</v>
      </c>
      <c r="AQ13" s="397" t="s">
        <v>161</v>
      </c>
    </row>
    <row r="14" spans="1:43" ht="12.75" x14ac:dyDescent="0.2">
      <c r="A14" s="400" t="s">
        <v>481</v>
      </c>
      <c r="B14" s="401">
        <v>19524</v>
      </c>
      <c r="C14" s="401">
        <v>19213</v>
      </c>
      <c r="D14" s="401">
        <v>19413</v>
      </c>
      <c r="E14" s="401">
        <v>24573.604511091697</v>
      </c>
      <c r="F14" s="401">
        <v>29695</v>
      </c>
      <c r="G14" s="401">
        <v>28509</v>
      </c>
      <c r="H14" s="401">
        <v>27252</v>
      </c>
      <c r="I14" s="401">
        <v>34513</v>
      </c>
      <c r="J14" s="401">
        <v>42691</v>
      </c>
      <c r="K14" s="401">
        <v>46678</v>
      </c>
      <c r="L14" s="272"/>
      <c r="M14" s="401">
        <v>6200</v>
      </c>
      <c r="N14" s="401">
        <v>6323</v>
      </c>
      <c r="O14" s="401">
        <v>6263</v>
      </c>
      <c r="P14" s="402">
        <v>5788</v>
      </c>
      <c r="Q14" s="401">
        <v>7442</v>
      </c>
      <c r="R14" s="401">
        <v>7947</v>
      </c>
      <c r="S14" s="401">
        <v>7190</v>
      </c>
      <c r="T14" s="402">
        <v>7116</v>
      </c>
      <c r="U14" s="401">
        <v>7248</v>
      </c>
      <c r="V14" s="401">
        <v>7677</v>
      </c>
      <c r="W14" s="401">
        <v>6874</v>
      </c>
      <c r="X14" s="402">
        <v>6710</v>
      </c>
      <c r="Y14" s="401">
        <v>7101</v>
      </c>
      <c r="Z14" s="401">
        <v>6129</v>
      </c>
      <c r="AA14" s="401">
        <v>7068</v>
      </c>
      <c r="AB14" s="402">
        <v>6953.7317741347997</v>
      </c>
      <c r="AC14" s="401">
        <v>7991</v>
      </c>
      <c r="AD14" s="401">
        <v>8386.6407264833997</v>
      </c>
      <c r="AE14" s="401">
        <v>9336.3862631517004</v>
      </c>
      <c r="AF14" s="402">
        <v>8798.6758246157005</v>
      </c>
      <c r="AG14" s="401">
        <v>10839.9189195621</v>
      </c>
      <c r="AH14" s="401">
        <v>10897</v>
      </c>
      <c r="AI14" s="401">
        <v>9790.7239444646002</v>
      </c>
      <c r="AJ14" s="402">
        <v>11163.2592285675</v>
      </c>
      <c r="AK14" s="401">
        <v>11539</v>
      </c>
      <c r="AL14" s="401">
        <v>12275.685550455</v>
      </c>
      <c r="AM14" s="401">
        <v>11310.67786046</v>
      </c>
      <c r="AN14" s="402">
        <v>11551.576897335101</v>
      </c>
      <c r="AO14" s="401">
        <v>11025.0502131555</v>
      </c>
      <c r="AP14" s="401">
        <v>12387.9736662832</v>
      </c>
      <c r="AQ14" s="401">
        <v>11829.947638979</v>
      </c>
    </row>
    <row r="15" spans="1:43" ht="12.75" x14ac:dyDescent="0.2">
      <c r="A15" s="403" t="s">
        <v>482</v>
      </c>
      <c r="B15" s="404">
        <v>-7.3</v>
      </c>
      <c r="C15" s="404">
        <v>3.6</v>
      </c>
      <c r="D15" s="404">
        <v>24.4</v>
      </c>
      <c r="E15" s="404">
        <v>17</v>
      </c>
      <c r="F15" s="404">
        <v>-6</v>
      </c>
      <c r="G15" s="404">
        <v>3</v>
      </c>
      <c r="H15" s="404">
        <v>29</v>
      </c>
      <c r="I15" s="404">
        <v>3</v>
      </c>
      <c r="J15" s="404">
        <v>2</v>
      </c>
      <c r="K15" s="404">
        <v>4</v>
      </c>
      <c r="L15" s="272"/>
      <c r="M15" s="404">
        <v>22</v>
      </c>
      <c r="N15" s="404">
        <v>22.467917901876827</v>
      </c>
      <c r="O15" s="404">
        <v>7</v>
      </c>
      <c r="P15" s="405">
        <v>17</v>
      </c>
      <c r="Q15" s="404">
        <v>-5</v>
      </c>
      <c r="R15" s="404">
        <v>-4</v>
      </c>
      <c r="S15" s="404">
        <v>-8</v>
      </c>
      <c r="T15" s="405">
        <v>-7</v>
      </c>
      <c r="U15" s="404">
        <v>-3</v>
      </c>
      <c r="V15" s="404">
        <v>-15</v>
      </c>
      <c r="W15" s="404">
        <v>15</v>
      </c>
      <c r="X15" s="405">
        <v>16</v>
      </c>
      <c r="Y15" s="404">
        <v>25</v>
      </c>
      <c r="Z15" s="404">
        <v>46</v>
      </c>
      <c r="AA15" s="404">
        <v>26</v>
      </c>
      <c r="AB15" s="405">
        <v>20</v>
      </c>
      <c r="AC15" s="404">
        <v>20</v>
      </c>
      <c r="AD15" s="404">
        <v>10</v>
      </c>
      <c r="AE15" s="404">
        <v>-10</v>
      </c>
      <c r="AF15" s="405">
        <v>-2</v>
      </c>
      <c r="AG15" s="404">
        <v>-5</v>
      </c>
      <c r="AH15" s="404" t="s">
        <v>494</v>
      </c>
      <c r="AI15" s="404">
        <v>9</v>
      </c>
      <c r="AJ15" s="405">
        <v>8</v>
      </c>
      <c r="AK15" s="404">
        <v>-2</v>
      </c>
      <c r="AL15" s="404">
        <v>3</v>
      </c>
      <c r="AM15" s="404">
        <v>9</v>
      </c>
      <c r="AN15" s="405">
        <v>5</v>
      </c>
      <c r="AO15" s="404">
        <v>12</v>
      </c>
      <c r="AP15" s="404">
        <v>2</v>
      </c>
      <c r="AQ15" s="404">
        <v>6</v>
      </c>
    </row>
    <row r="16" spans="1:43" ht="12.75" x14ac:dyDescent="0.2">
      <c r="A16" s="403" t="s">
        <v>483</v>
      </c>
      <c r="B16" s="404">
        <v>5</v>
      </c>
      <c r="C16" s="404">
        <v>-3</v>
      </c>
      <c r="D16" s="404">
        <v>3</v>
      </c>
      <c r="E16" s="404">
        <v>0.66237745083807753</v>
      </c>
      <c r="F16" s="404">
        <v>3</v>
      </c>
      <c r="G16" s="404">
        <v>-7.0310880804713483</v>
      </c>
      <c r="H16" s="404">
        <v>-4.6286371381934766</v>
      </c>
      <c r="I16" s="404">
        <v>11</v>
      </c>
      <c r="J16" s="404">
        <v>2.8533144099895478</v>
      </c>
      <c r="K16" s="404">
        <v>-2.0500040864303157</v>
      </c>
      <c r="L16" s="272"/>
      <c r="M16" s="404">
        <v>-5.1304052989387516</v>
      </c>
      <c r="N16" s="404">
        <v>0.19812560689927411</v>
      </c>
      <c r="O16" s="404">
        <v>4.8947207129841832</v>
      </c>
      <c r="P16" s="405">
        <v>2.7956695685291799</v>
      </c>
      <c r="Q16" s="404">
        <v>3.4903278477988962</v>
      </c>
      <c r="R16" s="404">
        <v>2.1165668504519091</v>
      </c>
      <c r="S16" s="404">
        <v>5.1949975808167173</v>
      </c>
      <c r="T16" s="405">
        <v>2</v>
      </c>
      <c r="U16" s="404">
        <v>1</v>
      </c>
      <c r="V16" s="404">
        <v>-5.019294441943229</v>
      </c>
      <c r="W16" s="404">
        <v>-12.248003268346677</v>
      </c>
      <c r="X16" s="405">
        <v>-12.216517461630927</v>
      </c>
      <c r="Y16" s="404">
        <v>-11.859950547910099</v>
      </c>
      <c r="Z16" s="404">
        <v>-9.8990701805958352</v>
      </c>
      <c r="AA16" s="404">
        <v>-0.3087028222808193</v>
      </c>
      <c r="AB16" s="405">
        <v>3.0074112323258251</v>
      </c>
      <c r="AC16" s="404">
        <v>8.3194778673484748</v>
      </c>
      <c r="AD16" s="404">
        <v>10.506812068407077</v>
      </c>
      <c r="AE16" s="404">
        <v>11.756177264083341</v>
      </c>
      <c r="AF16" s="405">
        <v>11.579447149119758</v>
      </c>
      <c r="AG16" s="404">
        <v>6.1663248363729402</v>
      </c>
      <c r="AH16" s="404">
        <v>4</v>
      </c>
      <c r="AI16" s="404">
        <v>1.7071830240953976</v>
      </c>
      <c r="AJ16" s="405">
        <v>-0.66090523345311014</v>
      </c>
      <c r="AK16" s="404">
        <v>-3</v>
      </c>
      <c r="AL16" s="404">
        <v>-1.3998599578812259</v>
      </c>
      <c r="AM16" s="404">
        <v>-4.0429100813533747</v>
      </c>
      <c r="AN16" s="405">
        <v>0.24199595798498366</v>
      </c>
      <c r="AO16" s="404">
        <v>0.10407095774410745</v>
      </c>
      <c r="AP16" s="404">
        <v>-9.3552711468440002</v>
      </c>
      <c r="AQ16" s="404">
        <v>-8.8263733316472219</v>
      </c>
    </row>
    <row r="17" spans="1:43" ht="12.75" x14ac:dyDescent="0.2">
      <c r="A17" s="403" t="s">
        <v>484</v>
      </c>
      <c r="B17" s="404">
        <v>0</v>
      </c>
      <c r="C17" s="404">
        <v>0</v>
      </c>
      <c r="D17" s="404">
        <v>0.3</v>
      </c>
      <c r="E17" s="404">
        <v>2.9547193280467745</v>
      </c>
      <c r="F17" s="404">
        <v>-1</v>
      </c>
      <c r="G17" s="404">
        <v>7.4063442694813353E-3</v>
      </c>
      <c r="H17" s="404">
        <v>2.9785887009915641</v>
      </c>
      <c r="I17" s="404">
        <v>6</v>
      </c>
      <c r="J17" s="404">
        <v>3.9259000125423835</v>
      </c>
      <c r="K17" s="404">
        <v>0.15561498428519305</v>
      </c>
      <c r="L17" s="272"/>
      <c r="M17" s="404">
        <v>3</v>
      </c>
      <c r="N17" s="404">
        <v>4</v>
      </c>
      <c r="O17" s="404">
        <v>2.6986319803669701</v>
      </c>
      <c r="P17" s="405">
        <v>3.4693029755978113</v>
      </c>
      <c r="Q17" s="404">
        <v>-0.65842515452835249</v>
      </c>
      <c r="R17" s="404">
        <v>-0.95004404177677104</v>
      </c>
      <c r="S17" s="404">
        <v>-0.78998609179415857</v>
      </c>
      <c r="T17" s="405">
        <v>-1</v>
      </c>
      <c r="U17" s="404">
        <v>0</v>
      </c>
      <c r="V17" s="404">
        <v>-1.5914811191868571E-2</v>
      </c>
      <c r="W17" s="404">
        <v>0.19665817207519709</v>
      </c>
      <c r="X17" s="405">
        <v>6.5401668619220699E-2</v>
      </c>
      <c r="Y17" s="404">
        <v>5.1821902770704864E-2</v>
      </c>
      <c r="Z17" s="404">
        <v>1.4305746362044731</v>
      </c>
      <c r="AA17" s="404">
        <v>6.0681717366895276</v>
      </c>
      <c r="AB17" s="405">
        <v>4.1912709200257137</v>
      </c>
      <c r="AC17" s="404">
        <v>3.5178293963662597</v>
      </c>
      <c r="AD17" s="404">
        <v>5.4482496175881527</v>
      </c>
      <c r="AE17" s="404">
        <v>0.4705982896381169</v>
      </c>
      <c r="AF17" s="405">
        <v>14.399140396120877</v>
      </c>
      <c r="AG17" s="406">
        <v>6.2440373133849505</v>
      </c>
      <c r="AH17" s="404">
        <v>9</v>
      </c>
      <c r="AI17" s="404">
        <v>4.963470440012232</v>
      </c>
      <c r="AJ17" s="405">
        <v>-4.2174582119339989</v>
      </c>
      <c r="AK17" s="404">
        <v>1</v>
      </c>
      <c r="AL17" s="404">
        <v>-0.94906285584988603</v>
      </c>
      <c r="AM17" s="404">
        <v>0.29094452076687166</v>
      </c>
      <c r="AN17" s="405">
        <v>0.27457188381195874</v>
      </c>
      <c r="AO17" s="404">
        <v>0.22346278821118071</v>
      </c>
      <c r="AP17" s="404">
        <v>-2.4772468731932198E-3</v>
      </c>
      <c r="AQ17" s="404">
        <v>4.0057716607180089E-3</v>
      </c>
    </row>
    <row r="18" spans="1:43" ht="12.75" x14ac:dyDescent="0.2">
      <c r="A18" s="407" t="s">
        <v>485</v>
      </c>
      <c r="B18" s="408">
        <v>-2</v>
      </c>
      <c r="C18" s="408">
        <v>1</v>
      </c>
      <c r="D18" s="408">
        <v>27</v>
      </c>
      <c r="E18" s="408">
        <v>21</v>
      </c>
      <c r="F18" s="408">
        <v>-4</v>
      </c>
      <c r="G18" s="408">
        <v>-4</v>
      </c>
      <c r="H18" s="408">
        <v>27</v>
      </c>
      <c r="I18" s="408">
        <v>20</v>
      </c>
      <c r="J18" s="408">
        <v>9</v>
      </c>
      <c r="K18" s="408">
        <v>2</v>
      </c>
      <c r="L18" s="272"/>
      <c r="M18" s="408">
        <v>20</v>
      </c>
      <c r="N18" s="408">
        <v>26</v>
      </c>
      <c r="O18" s="408">
        <v>15</v>
      </c>
      <c r="P18" s="409">
        <v>23</v>
      </c>
      <c r="Q18" s="408">
        <v>-3</v>
      </c>
      <c r="R18" s="408">
        <v>-3</v>
      </c>
      <c r="S18" s="408">
        <v>-4</v>
      </c>
      <c r="T18" s="409">
        <v>-6</v>
      </c>
      <c r="U18" s="408">
        <v>-2</v>
      </c>
      <c r="V18" s="408">
        <v>-20</v>
      </c>
      <c r="W18" s="408">
        <v>3</v>
      </c>
      <c r="X18" s="409">
        <v>4</v>
      </c>
      <c r="Y18" s="408">
        <v>13</v>
      </c>
      <c r="Z18" s="408">
        <v>37</v>
      </c>
      <c r="AA18" s="408">
        <v>32</v>
      </c>
      <c r="AB18" s="409">
        <v>27</v>
      </c>
      <c r="AC18" s="408">
        <v>32</v>
      </c>
      <c r="AD18" s="408">
        <v>26</v>
      </c>
      <c r="AE18" s="408">
        <v>2</v>
      </c>
      <c r="AF18" s="409">
        <v>24</v>
      </c>
      <c r="AG18" s="410">
        <v>7</v>
      </c>
      <c r="AH18" s="408">
        <v>13</v>
      </c>
      <c r="AI18" s="408">
        <v>16</v>
      </c>
      <c r="AJ18" s="409">
        <v>3</v>
      </c>
      <c r="AK18" s="408">
        <v>-4</v>
      </c>
      <c r="AL18" s="408">
        <v>1</v>
      </c>
      <c r="AM18" s="408">
        <v>5</v>
      </c>
      <c r="AN18" s="409">
        <v>5</v>
      </c>
      <c r="AO18" s="408">
        <v>12</v>
      </c>
      <c r="AP18" s="408">
        <v>-7</v>
      </c>
      <c r="AQ18" s="408">
        <v>-3</v>
      </c>
    </row>
    <row r="19" spans="1:43" ht="12.75" x14ac:dyDescent="0.2">
      <c r="A19" s="403" t="s">
        <v>486</v>
      </c>
      <c r="B19" s="424">
        <v>19213</v>
      </c>
      <c r="C19" s="424">
        <v>19413</v>
      </c>
      <c r="D19" s="424">
        <v>24574</v>
      </c>
      <c r="E19" s="424">
        <v>29694.783514310002</v>
      </c>
      <c r="F19" s="424">
        <v>28509</v>
      </c>
      <c r="G19" s="424">
        <v>27252</v>
      </c>
      <c r="H19" s="424">
        <v>34513</v>
      </c>
      <c r="I19" s="424">
        <v>41566</v>
      </c>
      <c r="J19" s="424">
        <v>46708</v>
      </c>
      <c r="K19" s="424">
        <v>47423</v>
      </c>
      <c r="L19" s="272"/>
      <c r="M19" s="424">
        <v>7442</v>
      </c>
      <c r="N19" s="424">
        <v>7947</v>
      </c>
      <c r="O19" s="424">
        <v>7190</v>
      </c>
      <c r="P19" s="425">
        <v>7116</v>
      </c>
      <c r="Q19" s="424">
        <v>7248</v>
      </c>
      <c r="R19" s="424">
        <v>7677</v>
      </c>
      <c r="S19" s="424">
        <v>6874</v>
      </c>
      <c r="T19" s="425">
        <v>6710</v>
      </c>
      <c r="U19" s="424">
        <v>7101</v>
      </c>
      <c r="V19" s="424">
        <v>6129</v>
      </c>
      <c r="W19" s="424">
        <v>7068</v>
      </c>
      <c r="X19" s="425">
        <v>6954</v>
      </c>
      <c r="Y19" s="424">
        <v>7991</v>
      </c>
      <c r="Z19" s="424">
        <v>8388</v>
      </c>
      <c r="AA19" s="424">
        <v>9336</v>
      </c>
      <c r="AB19" s="425">
        <v>8798.6758246160007</v>
      </c>
      <c r="AC19" s="424">
        <v>10547</v>
      </c>
      <c r="AD19" s="424">
        <v>10566.551841625</v>
      </c>
      <c r="AE19" s="424">
        <v>9526.4974461537986</v>
      </c>
      <c r="AF19" s="425">
        <v>10925.7846083122</v>
      </c>
      <c r="AG19" s="426">
        <v>11570.379972948</v>
      </c>
      <c r="AH19" s="424">
        <v>12276</v>
      </c>
      <c r="AI19" s="424">
        <v>11310.677860460199</v>
      </c>
      <c r="AJ19" s="425">
        <v>11551.3768973348</v>
      </c>
      <c r="AK19" s="424">
        <v>11025</v>
      </c>
      <c r="AL19" s="424">
        <v>12387.9736662834</v>
      </c>
      <c r="AM19" s="424">
        <v>11829.9476389789</v>
      </c>
      <c r="AN19" s="425">
        <v>12179.8085609993</v>
      </c>
      <c r="AO19" s="424">
        <v>12377.213642696001</v>
      </c>
      <c r="AP19" s="424">
        <v>11505.5559033386</v>
      </c>
      <c r="AQ19" s="424">
        <v>11439.145796677099</v>
      </c>
    </row>
    <row r="20" spans="1:43" ht="9.75" customHeight="1" x14ac:dyDescent="0.2">
      <c r="A20" s="413" t="s">
        <v>487</v>
      </c>
      <c r="B20" s="401"/>
      <c r="C20" s="401"/>
      <c r="D20" s="401"/>
      <c r="E20" s="401"/>
      <c r="F20" s="401"/>
      <c r="G20" s="401"/>
      <c r="H20" s="401"/>
      <c r="I20" s="401"/>
      <c r="J20" s="401"/>
      <c r="K20" s="401"/>
      <c r="L20" s="272"/>
      <c r="M20" s="401"/>
      <c r="N20" s="401"/>
      <c r="O20" s="401"/>
      <c r="P20" s="402"/>
      <c r="Q20" s="401"/>
      <c r="R20" s="401"/>
      <c r="S20" s="401"/>
      <c r="T20" s="402"/>
      <c r="U20" s="401"/>
      <c r="V20" s="401"/>
      <c r="W20" s="401"/>
      <c r="X20" s="411"/>
      <c r="Y20" s="401"/>
      <c r="Z20" s="401"/>
      <c r="AA20" s="401"/>
      <c r="AB20" s="411"/>
      <c r="AC20" s="401">
        <v>14</v>
      </c>
      <c r="AD20" s="401">
        <v>-7</v>
      </c>
      <c r="AE20" s="401">
        <v>-14</v>
      </c>
      <c r="AF20" s="411">
        <v>6</v>
      </c>
      <c r="AG20" s="401">
        <v>5</v>
      </c>
      <c r="AH20" s="424">
        <v>2</v>
      </c>
      <c r="AI20" s="424">
        <v>-7</v>
      </c>
      <c r="AJ20" s="411">
        <v>5</v>
      </c>
      <c r="AK20" s="401">
        <v>-1</v>
      </c>
      <c r="AL20" s="401">
        <v>9</v>
      </c>
      <c r="AM20" s="401">
        <v>-2</v>
      </c>
      <c r="AN20" s="411">
        <v>1</v>
      </c>
      <c r="AO20" s="401">
        <v>4.5999999999999996</v>
      </c>
      <c r="AP20" s="401">
        <v>2.1</v>
      </c>
      <c r="AQ20" s="401">
        <v>0.4</v>
      </c>
    </row>
    <row r="21" spans="1:43" ht="12.75" x14ac:dyDescent="0.2">
      <c r="A21" s="427" t="s">
        <v>488</v>
      </c>
      <c r="B21" s="428"/>
      <c r="C21" s="428"/>
      <c r="D21" s="428"/>
      <c r="E21" s="428"/>
      <c r="F21" s="428"/>
      <c r="G21" s="428"/>
      <c r="H21" s="428"/>
      <c r="I21" s="428"/>
      <c r="J21" s="428"/>
      <c r="K21" s="428"/>
      <c r="L21" s="32"/>
      <c r="M21" s="428"/>
      <c r="N21" s="428"/>
      <c r="O21" s="428"/>
      <c r="P21" s="411"/>
      <c r="Q21" s="428"/>
      <c r="R21" s="428"/>
      <c r="S21" s="428"/>
      <c r="T21" s="411"/>
      <c r="U21" s="428"/>
      <c r="V21" s="428"/>
      <c r="W21" s="428"/>
      <c r="X21" s="411"/>
      <c r="Y21" s="428"/>
      <c r="Z21" s="428"/>
      <c r="AA21" s="428" t="s">
        <v>492</v>
      </c>
      <c r="AB21" s="411" t="s">
        <v>495</v>
      </c>
      <c r="AC21" s="428" t="s">
        <v>495</v>
      </c>
      <c r="AD21" s="428" t="s">
        <v>492</v>
      </c>
      <c r="AE21" s="32" t="s">
        <v>495</v>
      </c>
      <c r="AF21" s="411" t="s">
        <v>496</v>
      </c>
      <c r="AG21" s="428" t="s">
        <v>495</v>
      </c>
      <c r="AH21" s="428" t="s">
        <v>495</v>
      </c>
      <c r="AI21" s="428" t="s">
        <v>495</v>
      </c>
      <c r="AJ21" s="411" t="s">
        <v>495</v>
      </c>
      <c r="AK21" s="428"/>
      <c r="AL21" s="428"/>
      <c r="AM21" s="428"/>
      <c r="AN21" s="411"/>
      <c r="AO21" s="428"/>
      <c r="AP21" s="428"/>
      <c r="AQ21" s="428"/>
    </row>
    <row r="22" spans="1:43" ht="12.75" x14ac:dyDescent="0.2">
      <c r="A22" s="403"/>
      <c r="B22" s="404"/>
      <c r="C22" s="404"/>
      <c r="D22" s="392"/>
      <c r="E22" s="404"/>
      <c r="F22" s="404"/>
      <c r="G22" s="404"/>
      <c r="H22" s="404"/>
      <c r="I22" s="404"/>
      <c r="J22" s="404"/>
      <c r="K22" s="404"/>
      <c r="L22" s="272"/>
      <c r="M22" s="404"/>
      <c r="N22" s="392"/>
      <c r="O22" s="392"/>
      <c r="P22" s="393"/>
      <c r="Q22" s="404"/>
      <c r="R22" s="392"/>
      <c r="S22" s="392"/>
      <c r="T22" s="393"/>
      <c r="U22" s="404"/>
      <c r="V22" s="404"/>
      <c r="W22" s="404"/>
      <c r="X22" s="405"/>
      <c r="Y22" s="404"/>
      <c r="Z22" s="404"/>
      <c r="AA22" s="404"/>
      <c r="AB22" s="405"/>
      <c r="AC22" s="404"/>
      <c r="AD22" s="404"/>
      <c r="AE22" s="404"/>
      <c r="AF22" s="405"/>
      <c r="AG22" s="404"/>
      <c r="AH22" s="404"/>
      <c r="AI22" s="404"/>
      <c r="AJ22" s="405"/>
      <c r="AK22" s="404"/>
      <c r="AL22" s="404"/>
      <c r="AM22" s="404"/>
      <c r="AN22" s="405"/>
      <c r="AO22" s="404"/>
      <c r="AP22" s="404"/>
      <c r="AQ22" s="404"/>
    </row>
    <row r="23" spans="1:43" ht="12.75" x14ac:dyDescent="0.2">
      <c r="A23" s="423" t="s">
        <v>338</v>
      </c>
      <c r="B23" s="397">
        <v>2015</v>
      </c>
      <c r="C23" s="397">
        <v>2016</v>
      </c>
      <c r="D23" s="397">
        <v>2017</v>
      </c>
      <c r="E23" s="397">
        <v>2018</v>
      </c>
      <c r="F23" s="397">
        <v>2019</v>
      </c>
      <c r="G23" s="397">
        <v>2020</v>
      </c>
      <c r="H23" s="397">
        <v>2021</v>
      </c>
      <c r="I23" s="397">
        <v>2022</v>
      </c>
      <c r="J23" s="397">
        <v>2023</v>
      </c>
      <c r="K23" s="397">
        <v>2024</v>
      </c>
      <c r="L23" s="398"/>
      <c r="M23" s="397" t="s">
        <v>131</v>
      </c>
      <c r="N23" s="397" t="s">
        <v>132</v>
      </c>
      <c r="O23" s="397" t="s">
        <v>133</v>
      </c>
      <c r="P23" s="399" t="s">
        <v>134</v>
      </c>
      <c r="Q23" s="397" t="s">
        <v>135</v>
      </c>
      <c r="R23" s="397" t="s">
        <v>136</v>
      </c>
      <c r="S23" s="397" t="s">
        <v>137</v>
      </c>
      <c r="T23" s="399" t="s">
        <v>138</v>
      </c>
      <c r="U23" s="397" t="s">
        <v>139</v>
      </c>
      <c r="V23" s="397" t="s">
        <v>140</v>
      </c>
      <c r="W23" s="397" t="s">
        <v>141</v>
      </c>
      <c r="X23" s="399" t="s">
        <v>142</v>
      </c>
      <c r="Y23" s="397" t="s">
        <v>143</v>
      </c>
      <c r="Z23" s="397" t="s">
        <v>144</v>
      </c>
      <c r="AA23" s="397" t="s">
        <v>145</v>
      </c>
      <c r="AB23" s="399" t="s">
        <v>146</v>
      </c>
      <c r="AC23" s="397" t="s">
        <v>147</v>
      </c>
      <c r="AD23" s="397" t="s">
        <v>148</v>
      </c>
      <c r="AE23" s="397" t="s">
        <v>149</v>
      </c>
      <c r="AF23" s="399" t="s">
        <v>150</v>
      </c>
      <c r="AG23" s="397" t="s">
        <v>151</v>
      </c>
      <c r="AH23" s="397" t="s">
        <v>152</v>
      </c>
      <c r="AI23" s="397" t="s">
        <v>153</v>
      </c>
      <c r="AJ23" s="399" t="s">
        <v>154</v>
      </c>
      <c r="AK23" s="397" t="s">
        <v>155</v>
      </c>
      <c r="AL23" s="397" t="s">
        <v>156</v>
      </c>
      <c r="AM23" s="397" t="s">
        <v>157</v>
      </c>
      <c r="AN23" s="399" t="s">
        <v>158</v>
      </c>
      <c r="AO23" s="397" t="s">
        <v>159</v>
      </c>
      <c r="AP23" s="397" t="s">
        <v>160</v>
      </c>
      <c r="AQ23" s="397" t="s">
        <v>161</v>
      </c>
    </row>
    <row r="24" spans="1:43" ht="12.75" x14ac:dyDescent="0.2">
      <c r="A24" s="400" t="s">
        <v>481</v>
      </c>
      <c r="B24" s="424">
        <v>9042</v>
      </c>
      <c r="C24" s="424">
        <v>7776</v>
      </c>
      <c r="D24" s="424">
        <v>8505</v>
      </c>
      <c r="E24" s="424">
        <v>12245.390259563095</v>
      </c>
      <c r="F24" s="424">
        <v>15244</v>
      </c>
      <c r="G24" s="424">
        <v>12355</v>
      </c>
      <c r="H24" s="424">
        <v>11326</v>
      </c>
      <c r="I24" s="424">
        <v>16402</v>
      </c>
      <c r="J24" s="424">
        <v>18314</v>
      </c>
      <c r="K24" s="424">
        <v>20218</v>
      </c>
      <c r="L24" s="272"/>
      <c r="M24" s="424">
        <v>3147</v>
      </c>
      <c r="N24" s="424">
        <v>3142</v>
      </c>
      <c r="O24" s="424">
        <v>3281</v>
      </c>
      <c r="P24" s="425">
        <v>2676</v>
      </c>
      <c r="Q24" s="424">
        <v>4054</v>
      </c>
      <c r="R24" s="424">
        <v>4234</v>
      </c>
      <c r="S24" s="424">
        <v>3601</v>
      </c>
      <c r="T24" s="425">
        <v>3355</v>
      </c>
      <c r="U24" s="424">
        <v>3442</v>
      </c>
      <c r="V24" s="424">
        <v>3580</v>
      </c>
      <c r="W24" s="424">
        <v>2727</v>
      </c>
      <c r="X24" s="425">
        <v>2606</v>
      </c>
      <c r="Y24" s="424">
        <v>2850</v>
      </c>
      <c r="Z24" s="424">
        <v>2410</v>
      </c>
      <c r="AA24" s="424">
        <v>3099</v>
      </c>
      <c r="AB24" s="425">
        <v>2966.8275951098999</v>
      </c>
      <c r="AC24" s="424">
        <v>4028</v>
      </c>
      <c r="AD24" s="424">
        <v>4030.6095123400992</v>
      </c>
      <c r="AE24" s="424">
        <v>4532.4801173631004</v>
      </c>
      <c r="AF24" s="425">
        <v>3812.0690948048004</v>
      </c>
      <c r="AG24" s="424">
        <v>5537.0618158543002</v>
      </c>
      <c r="AH24" s="424">
        <v>5012</v>
      </c>
      <c r="AI24" s="424">
        <v>3701.9869424073004</v>
      </c>
      <c r="AJ24" s="425">
        <v>4063.2596197312005</v>
      </c>
      <c r="AK24" s="424">
        <v>5151</v>
      </c>
      <c r="AL24" s="424">
        <v>5404.0296979431005</v>
      </c>
      <c r="AM24" s="424">
        <v>4739</v>
      </c>
      <c r="AN24" s="425">
        <v>4922.7257207490002</v>
      </c>
      <c r="AO24" s="424">
        <v>4404.4101382397002</v>
      </c>
      <c r="AP24" s="424">
        <v>5405.6293657841006</v>
      </c>
      <c r="AQ24" s="424">
        <v>5170.3375722871997</v>
      </c>
    </row>
    <row r="25" spans="1:43" ht="12.75" x14ac:dyDescent="0.2">
      <c r="A25" s="403" t="s">
        <v>482</v>
      </c>
      <c r="B25" s="404">
        <v>-19.8</v>
      </c>
      <c r="C25" s="404">
        <v>11.1</v>
      </c>
      <c r="D25" s="404">
        <v>41.7</v>
      </c>
      <c r="E25" s="404">
        <v>20</v>
      </c>
      <c r="F25" s="404">
        <v>-20</v>
      </c>
      <c r="G25" s="404">
        <v>-2</v>
      </c>
      <c r="H25" s="404">
        <v>47</v>
      </c>
      <c r="I25" s="404">
        <v>-5</v>
      </c>
      <c r="J25" s="404">
        <v>-1</v>
      </c>
      <c r="K25" s="404">
        <v>-1</v>
      </c>
      <c r="L25" s="272"/>
      <c r="M25" s="404">
        <v>30</v>
      </c>
      <c r="N25" s="404">
        <v>30.723707310660561</v>
      </c>
      <c r="O25" s="404">
        <v>2</v>
      </c>
      <c r="P25" s="405">
        <v>17</v>
      </c>
      <c r="Q25" s="404">
        <v>-16</v>
      </c>
      <c r="R25" s="404">
        <v>-15</v>
      </c>
      <c r="S25" s="404">
        <v>-27</v>
      </c>
      <c r="T25" s="405">
        <v>-22</v>
      </c>
      <c r="U25" s="404">
        <v>-17</v>
      </c>
      <c r="V25" s="404">
        <v>-29</v>
      </c>
      <c r="W25" s="404">
        <v>25</v>
      </c>
      <c r="X25" s="405">
        <v>26</v>
      </c>
      <c r="Y25" s="404">
        <v>55</v>
      </c>
      <c r="Z25" s="404">
        <v>76</v>
      </c>
      <c r="AA25" s="404">
        <v>43</v>
      </c>
      <c r="AB25" s="405">
        <v>20</v>
      </c>
      <c r="AC25" s="404">
        <v>18</v>
      </c>
      <c r="AD25" s="404">
        <v>5</v>
      </c>
      <c r="AE25" s="404">
        <v>-33</v>
      </c>
      <c r="AF25" s="405">
        <v>-10</v>
      </c>
      <c r="AG25" s="404">
        <v>-16</v>
      </c>
      <c r="AH25" s="404">
        <v>-6</v>
      </c>
      <c r="AI25" s="404">
        <v>14</v>
      </c>
      <c r="AJ25" s="405">
        <v>13</v>
      </c>
      <c r="AK25" s="404">
        <v>-16</v>
      </c>
      <c r="AL25" s="404">
        <v>2</v>
      </c>
      <c r="AM25" s="404">
        <v>11</v>
      </c>
      <c r="AN25" s="405">
        <v>1</v>
      </c>
      <c r="AO25" s="404">
        <v>29</v>
      </c>
      <c r="AP25" s="404">
        <v>2</v>
      </c>
      <c r="AQ25" s="404">
        <v>10</v>
      </c>
    </row>
    <row r="26" spans="1:43" ht="12.75" x14ac:dyDescent="0.2">
      <c r="A26" s="403" t="s">
        <v>483</v>
      </c>
      <c r="B26" s="404">
        <v>6</v>
      </c>
      <c r="C26" s="404">
        <v>-2</v>
      </c>
      <c r="D26" s="404">
        <v>1</v>
      </c>
      <c r="E26" s="404">
        <v>1.1222959087038848</v>
      </c>
      <c r="F26" s="404">
        <v>3</v>
      </c>
      <c r="G26" s="404">
        <v>-5.8192707990658423</v>
      </c>
      <c r="H26" s="404">
        <v>-5.1189507344259244</v>
      </c>
      <c r="I26" s="404">
        <v>9</v>
      </c>
      <c r="J26" s="404">
        <v>2.8867511763427904</v>
      </c>
      <c r="K26" s="404">
        <v>-1.7816200198845711</v>
      </c>
      <c r="L26" s="272"/>
      <c r="M26" s="404">
        <v>-5</v>
      </c>
      <c r="N26" s="404">
        <v>0.39649341578796293</v>
      </c>
      <c r="O26" s="404">
        <v>5.4845110024117769</v>
      </c>
      <c r="P26" s="405">
        <v>3.7707250410714237</v>
      </c>
      <c r="Q26" s="404">
        <v>3.2005019985570424</v>
      </c>
      <c r="R26" s="404">
        <v>2.1166473258183012</v>
      </c>
      <c r="S26" s="404">
        <v>4.8987598459338875</v>
      </c>
      <c r="T26" s="405">
        <v>2</v>
      </c>
      <c r="U26" s="404">
        <v>1</v>
      </c>
      <c r="V26" s="404">
        <v>-3.8271830616205178</v>
      </c>
      <c r="W26" s="404">
        <v>-11.430755955441871</v>
      </c>
      <c r="X26" s="405">
        <v>-11.933172875144413</v>
      </c>
      <c r="Y26" s="404">
        <v>-13.592251655464372</v>
      </c>
      <c r="Z26" s="404">
        <v>-11.782262783389378</v>
      </c>
      <c r="AA26" s="404">
        <v>-0.87471123039490406</v>
      </c>
      <c r="AB26" s="405">
        <v>3.9888566663125955</v>
      </c>
      <c r="AC26" s="404">
        <v>8.6228234737894809</v>
      </c>
      <c r="AD26" s="404">
        <v>9.9592702507085793</v>
      </c>
      <c r="AE26" s="404">
        <v>8.8948648297398023</v>
      </c>
      <c r="AF26" s="405">
        <v>9.9549562615993104</v>
      </c>
      <c r="AG26" s="404">
        <v>5.2638525408026249</v>
      </c>
      <c r="AH26" s="404">
        <v>3</v>
      </c>
      <c r="AI26" s="404">
        <v>2.6081839130162972</v>
      </c>
      <c r="AJ26" s="405">
        <v>-0.23803183721841087</v>
      </c>
      <c r="AK26" s="404">
        <v>-3</v>
      </c>
      <c r="AL26" s="404">
        <v>-1.0316557267947311</v>
      </c>
      <c r="AM26" s="404">
        <v>-4.4782626315746139</v>
      </c>
      <c r="AN26" s="405">
        <v>1.0326791486249831</v>
      </c>
      <c r="AO26" s="404">
        <v>0.61729172631194451</v>
      </c>
      <c r="AP26" s="404">
        <v>-8.9951543972425405</v>
      </c>
      <c r="AQ26" s="404">
        <v>-8.7458757631717443</v>
      </c>
    </row>
    <row r="27" spans="1:43" ht="12.75" x14ac:dyDescent="0.2">
      <c r="A27" s="403" t="s">
        <v>484</v>
      </c>
      <c r="B27" s="404">
        <v>0</v>
      </c>
      <c r="C27" s="404">
        <v>0</v>
      </c>
      <c r="D27" s="404">
        <v>0.5</v>
      </c>
      <c r="E27" s="404">
        <v>3.3790560327373638</v>
      </c>
      <c r="F27" s="404">
        <v>-2</v>
      </c>
      <c r="G27" s="404">
        <v>-0.12159949177316953</v>
      </c>
      <c r="H27" s="404">
        <v>2.8024229909191805</v>
      </c>
      <c r="I27" s="404">
        <v>1</v>
      </c>
      <c r="J27" s="404">
        <v>2.7102766694204821</v>
      </c>
      <c r="K27" s="404">
        <v>1.8429293752438674</v>
      </c>
      <c r="L27" s="272"/>
      <c r="M27" s="404">
        <v>4</v>
      </c>
      <c r="N27" s="404">
        <v>4</v>
      </c>
      <c r="O27" s="404">
        <v>2.5396778447715604</v>
      </c>
      <c r="P27" s="405">
        <v>4.1031829385226102</v>
      </c>
      <c r="Q27" s="404">
        <v>-1.5883761518782293</v>
      </c>
      <c r="R27" s="404">
        <v>-2.3100681733279953</v>
      </c>
      <c r="S27" s="404">
        <v>-1.9689297631817679</v>
      </c>
      <c r="T27" s="405">
        <v>-2</v>
      </c>
      <c r="U27" s="404">
        <v>-1</v>
      </c>
      <c r="V27" s="404">
        <v>-3.4125783463196377E-2</v>
      </c>
      <c r="W27" s="404">
        <v>0.38160796996696583</v>
      </c>
      <c r="X27" s="405">
        <v>-0.22483749333106273</v>
      </c>
      <c r="Y27" s="404">
        <v>0.17058680123355985</v>
      </c>
      <c r="Z27" s="404">
        <v>3.0848186305235905</v>
      </c>
      <c r="AA27" s="404">
        <v>3.9560878595138051</v>
      </c>
      <c r="AB27" s="405">
        <v>4.2238694211942569</v>
      </c>
      <c r="AC27" s="404">
        <v>2.5642075476430435</v>
      </c>
      <c r="AD27" s="404">
        <v>1.0434627813296138</v>
      </c>
      <c r="AE27" s="404">
        <v>0.4747368511903885</v>
      </c>
      <c r="AF27" s="405">
        <v>-1.1646227163222223E-2</v>
      </c>
      <c r="AG27" s="404">
        <v>0.2607559735018472</v>
      </c>
      <c r="AH27" s="404">
        <v>5</v>
      </c>
      <c r="AI27" s="404">
        <v>3.6663122586607741</v>
      </c>
      <c r="AJ27" s="405">
        <v>2.1911712926847113</v>
      </c>
      <c r="AK27" s="404">
        <v>5</v>
      </c>
      <c r="AL27" s="404">
        <v>-1.0447457108773732</v>
      </c>
      <c r="AM27" s="404">
        <v>1.9939485406536663</v>
      </c>
      <c r="AN27" s="405">
        <v>1.9598790017844119</v>
      </c>
      <c r="AO27" s="404">
        <v>6.81135476906109E-12</v>
      </c>
      <c r="AP27" s="404">
        <v>3.5721464964328122E-7</v>
      </c>
      <c r="AQ27" s="404">
        <v>-3.734765811714272E-7</v>
      </c>
    </row>
    <row r="28" spans="1:43" ht="12.75" x14ac:dyDescent="0.2">
      <c r="A28" s="407" t="s">
        <v>485</v>
      </c>
      <c r="B28" s="408">
        <v>-14</v>
      </c>
      <c r="C28" s="408">
        <v>9</v>
      </c>
      <c r="D28" s="408">
        <v>44</v>
      </c>
      <c r="E28" s="408">
        <v>24</v>
      </c>
      <c r="F28" s="408">
        <v>-19</v>
      </c>
      <c r="G28" s="408">
        <v>-8</v>
      </c>
      <c r="H28" s="408">
        <v>45</v>
      </c>
      <c r="I28" s="408">
        <v>5</v>
      </c>
      <c r="J28" s="408">
        <v>5</v>
      </c>
      <c r="K28" s="408">
        <v>-1</v>
      </c>
      <c r="L28" s="272"/>
      <c r="M28" s="408">
        <v>29</v>
      </c>
      <c r="N28" s="408">
        <v>35</v>
      </c>
      <c r="O28" s="408">
        <v>10</v>
      </c>
      <c r="P28" s="409">
        <v>25</v>
      </c>
      <c r="Q28" s="408">
        <v>-15</v>
      </c>
      <c r="R28" s="408">
        <v>-15</v>
      </c>
      <c r="S28" s="408">
        <v>-24</v>
      </c>
      <c r="T28" s="409">
        <v>-22</v>
      </c>
      <c r="U28" s="408">
        <v>-17</v>
      </c>
      <c r="V28" s="408">
        <v>-33</v>
      </c>
      <c r="W28" s="408">
        <v>14</v>
      </c>
      <c r="X28" s="409">
        <v>14</v>
      </c>
      <c r="Y28" s="408">
        <v>41</v>
      </c>
      <c r="Z28" s="408">
        <v>67</v>
      </c>
      <c r="AA28" s="408">
        <v>46</v>
      </c>
      <c r="AB28" s="409">
        <v>28</v>
      </c>
      <c r="AC28" s="408">
        <v>30</v>
      </c>
      <c r="AD28" s="408">
        <v>16</v>
      </c>
      <c r="AE28" s="408">
        <v>-24</v>
      </c>
      <c r="AF28" s="409">
        <v>0</v>
      </c>
      <c r="AG28" s="408">
        <v>-11</v>
      </c>
      <c r="AH28" s="408">
        <v>2</v>
      </c>
      <c r="AI28" s="408">
        <v>21</v>
      </c>
      <c r="AJ28" s="409">
        <v>15</v>
      </c>
      <c r="AK28" s="408">
        <v>-14</v>
      </c>
      <c r="AL28" s="408">
        <v>0</v>
      </c>
      <c r="AM28" s="408">
        <v>9.1</v>
      </c>
      <c r="AN28" s="409">
        <v>4</v>
      </c>
      <c r="AO28" s="408">
        <v>30</v>
      </c>
      <c r="AP28" s="408">
        <v>-7</v>
      </c>
      <c r="AQ28" s="408">
        <v>1</v>
      </c>
    </row>
    <row r="29" spans="1:43" ht="12.75" x14ac:dyDescent="0.2">
      <c r="A29" s="403" t="s">
        <v>486</v>
      </c>
      <c r="B29" s="424">
        <v>7776</v>
      </c>
      <c r="C29" s="424">
        <v>8505</v>
      </c>
      <c r="D29" s="424">
        <v>12245</v>
      </c>
      <c r="E29" s="424">
        <v>15243.9871176177</v>
      </c>
      <c r="F29" s="424">
        <v>12355</v>
      </c>
      <c r="G29" s="424">
        <v>11326</v>
      </c>
      <c r="H29" s="424">
        <v>16403</v>
      </c>
      <c r="I29" s="424">
        <v>17189</v>
      </c>
      <c r="J29" s="424">
        <v>19221</v>
      </c>
      <c r="K29" s="424">
        <v>20102</v>
      </c>
      <c r="L29" s="272"/>
      <c r="M29" s="424">
        <v>4054</v>
      </c>
      <c r="N29" s="424">
        <v>4234</v>
      </c>
      <c r="O29" s="424">
        <v>3601</v>
      </c>
      <c r="P29" s="425">
        <v>3355</v>
      </c>
      <c r="Q29" s="424">
        <v>3442</v>
      </c>
      <c r="R29" s="424">
        <v>3580</v>
      </c>
      <c r="S29" s="424">
        <v>2727</v>
      </c>
      <c r="T29" s="425">
        <v>2606</v>
      </c>
      <c r="U29" s="424">
        <v>2850</v>
      </c>
      <c r="V29" s="424">
        <v>2410</v>
      </c>
      <c r="W29" s="424">
        <v>3099</v>
      </c>
      <c r="X29" s="425">
        <v>2967</v>
      </c>
      <c r="Y29" s="424">
        <v>4028</v>
      </c>
      <c r="Z29" s="424">
        <v>4031</v>
      </c>
      <c r="AA29" s="424">
        <v>4532</v>
      </c>
      <c r="AB29" s="425">
        <v>3812.0690948051006</v>
      </c>
      <c r="AC29" s="424">
        <v>5244</v>
      </c>
      <c r="AD29" s="424">
        <v>4682.2110083405996</v>
      </c>
      <c r="AE29" s="424">
        <v>3436.7604440964988</v>
      </c>
      <c r="AF29" s="425">
        <v>3825.9849258151007</v>
      </c>
      <c r="AG29" s="424">
        <v>4936.626141024999</v>
      </c>
      <c r="AH29" s="424">
        <v>5109</v>
      </c>
      <c r="AI29" s="424">
        <v>4487.1110507396979</v>
      </c>
      <c r="AJ29" s="425">
        <v>4687.1638479654994</v>
      </c>
      <c r="AK29" s="424">
        <v>4404</v>
      </c>
      <c r="AL29" s="424">
        <v>5405.6293657843007</v>
      </c>
      <c r="AM29" s="424">
        <v>5170</v>
      </c>
      <c r="AN29" s="425">
        <v>5121.0287045519999</v>
      </c>
      <c r="AO29" s="424">
        <v>5721.8356697285999</v>
      </c>
      <c r="AP29" s="424">
        <v>5008.8522625667993</v>
      </c>
      <c r="AQ29" s="424">
        <v>5217.1680333576996</v>
      </c>
    </row>
    <row r="30" spans="1:43" ht="12.75" x14ac:dyDescent="0.2">
      <c r="A30" s="403"/>
      <c r="B30" s="404"/>
      <c r="C30" s="404"/>
      <c r="D30" s="392"/>
      <c r="E30" s="404"/>
      <c r="F30" s="404"/>
      <c r="G30" s="404"/>
      <c r="H30" s="404"/>
      <c r="I30" s="404"/>
      <c r="J30" s="404"/>
      <c r="K30" s="404"/>
      <c r="L30" s="272"/>
      <c r="M30" s="404"/>
      <c r="N30" s="392"/>
      <c r="O30" s="392"/>
      <c r="P30" s="393"/>
      <c r="Q30" s="404"/>
      <c r="R30" s="392"/>
      <c r="S30" s="392"/>
      <c r="T30" s="393"/>
      <c r="U30" s="404"/>
      <c r="V30" s="404"/>
      <c r="W30" s="404"/>
      <c r="X30" s="405"/>
      <c r="Y30" s="404"/>
      <c r="Z30" s="404"/>
      <c r="AA30" s="404"/>
      <c r="AB30" s="405"/>
      <c r="AC30" s="404"/>
      <c r="AD30" s="404"/>
      <c r="AE30" s="404"/>
      <c r="AF30" s="405"/>
      <c r="AG30" s="404"/>
      <c r="AH30" s="404"/>
      <c r="AI30" s="404"/>
      <c r="AJ30" s="405"/>
      <c r="AK30" s="404"/>
      <c r="AL30" s="404"/>
      <c r="AM30" s="404"/>
      <c r="AN30" s="405"/>
      <c r="AO30" s="404"/>
      <c r="AP30" s="404"/>
      <c r="AQ30" s="404"/>
    </row>
    <row r="31" spans="1:43" ht="12.75" x14ac:dyDescent="0.2">
      <c r="A31" s="423" t="s">
        <v>298</v>
      </c>
      <c r="B31" s="397">
        <v>2015</v>
      </c>
      <c r="C31" s="397">
        <v>2016</v>
      </c>
      <c r="D31" s="397">
        <v>2017</v>
      </c>
      <c r="E31" s="397">
        <v>2018</v>
      </c>
      <c r="F31" s="397">
        <v>2019</v>
      </c>
      <c r="G31" s="397">
        <v>2020</v>
      </c>
      <c r="H31" s="397">
        <v>2021</v>
      </c>
      <c r="I31" s="397">
        <v>2022</v>
      </c>
      <c r="J31" s="397">
        <v>2023</v>
      </c>
      <c r="K31" s="397">
        <v>2024</v>
      </c>
      <c r="L31" s="398"/>
      <c r="M31" s="397" t="s">
        <v>131</v>
      </c>
      <c r="N31" s="397" t="s">
        <v>132</v>
      </c>
      <c r="O31" s="397" t="s">
        <v>133</v>
      </c>
      <c r="P31" s="399" t="s">
        <v>134</v>
      </c>
      <c r="Q31" s="397" t="s">
        <v>135</v>
      </c>
      <c r="R31" s="397" t="s">
        <v>136</v>
      </c>
      <c r="S31" s="397" t="s">
        <v>137</v>
      </c>
      <c r="T31" s="399" t="s">
        <v>138</v>
      </c>
      <c r="U31" s="397" t="s">
        <v>139</v>
      </c>
      <c r="V31" s="397" t="s">
        <v>140</v>
      </c>
      <c r="W31" s="397" t="s">
        <v>141</v>
      </c>
      <c r="X31" s="399" t="s">
        <v>142</v>
      </c>
      <c r="Y31" s="397" t="s">
        <v>143</v>
      </c>
      <c r="Z31" s="397" t="s">
        <v>144</v>
      </c>
      <c r="AA31" s="397" t="s">
        <v>145</v>
      </c>
      <c r="AB31" s="399" t="s">
        <v>146</v>
      </c>
      <c r="AC31" s="397" t="s">
        <v>147</v>
      </c>
      <c r="AD31" s="397" t="s">
        <v>148</v>
      </c>
      <c r="AE31" s="397" t="s">
        <v>149</v>
      </c>
      <c r="AF31" s="399" t="s">
        <v>150</v>
      </c>
      <c r="AG31" s="397" t="s">
        <v>151</v>
      </c>
      <c r="AH31" s="397" t="s">
        <v>152</v>
      </c>
      <c r="AI31" s="397" t="s">
        <v>153</v>
      </c>
      <c r="AJ31" s="399" t="s">
        <v>154</v>
      </c>
      <c r="AK31" s="397" t="s">
        <v>155</v>
      </c>
      <c r="AL31" s="397" t="s">
        <v>156</v>
      </c>
      <c r="AM31" s="397" t="s">
        <v>157</v>
      </c>
      <c r="AN31" s="399" t="s">
        <v>158</v>
      </c>
      <c r="AO31" s="397" t="s">
        <v>159</v>
      </c>
      <c r="AP31" s="397" t="s">
        <v>160</v>
      </c>
      <c r="AQ31" s="397" t="s">
        <v>161</v>
      </c>
    </row>
    <row r="32" spans="1:43" ht="12.75" x14ac:dyDescent="0.2">
      <c r="A32" s="400" t="s">
        <v>481</v>
      </c>
      <c r="B32" s="424">
        <v>10482</v>
      </c>
      <c r="C32" s="424">
        <v>11437</v>
      </c>
      <c r="D32" s="424">
        <v>10907</v>
      </c>
      <c r="E32" s="424">
        <v>12328.214251528601</v>
      </c>
      <c r="F32" s="424">
        <v>14451</v>
      </c>
      <c r="G32" s="424">
        <v>16154</v>
      </c>
      <c r="H32" s="424">
        <v>15926</v>
      </c>
      <c r="I32" s="424">
        <v>18110</v>
      </c>
      <c r="J32" s="424">
        <v>24377</v>
      </c>
      <c r="K32" s="424">
        <v>26460</v>
      </c>
      <c r="L32" s="272"/>
      <c r="M32" s="424">
        <v>3053</v>
      </c>
      <c r="N32" s="424">
        <v>3181</v>
      </c>
      <c r="O32" s="424">
        <v>2982</v>
      </c>
      <c r="P32" s="425">
        <v>3112</v>
      </c>
      <c r="Q32" s="424">
        <v>3388</v>
      </c>
      <c r="R32" s="424">
        <v>3713</v>
      </c>
      <c r="S32" s="424">
        <v>3589</v>
      </c>
      <c r="T32" s="425">
        <v>3761</v>
      </c>
      <c r="U32" s="424">
        <v>3806</v>
      </c>
      <c r="V32" s="424">
        <v>4097</v>
      </c>
      <c r="W32" s="424">
        <v>4147</v>
      </c>
      <c r="X32" s="425">
        <v>4104</v>
      </c>
      <c r="Y32" s="424">
        <v>4251</v>
      </c>
      <c r="Z32" s="424">
        <v>3719</v>
      </c>
      <c r="AA32" s="424">
        <v>3969</v>
      </c>
      <c r="AB32" s="425">
        <v>3986.9041790248998</v>
      </c>
      <c r="AC32" s="424">
        <v>3963</v>
      </c>
      <c r="AD32" s="424">
        <v>4356.0312141433005</v>
      </c>
      <c r="AE32" s="424">
        <v>4803.9061457886</v>
      </c>
      <c r="AF32" s="425">
        <v>4986.6067298109001</v>
      </c>
      <c r="AG32" s="424">
        <v>5302.8571037078</v>
      </c>
      <c r="AH32" s="424">
        <v>5885</v>
      </c>
      <c r="AI32" s="424">
        <v>6088.7370020572998</v>
      </c>
      <c r="AJ32" s="425">
        <v>7099.9996088362996</v>
      </c>
      <c r="AK32" s="424">
        <v>6388</v>
      </c>
      <c r="AL32" s="424">
        <v>6871.6558525118999</v>
      </c>
      <c r="AM32" s="424">
        <v>6571.7114311847999</v>
      </c>
      <c r="AN32" s="425">
        <v>6628.8511765861003</v>
      </c>
      <c r="AO32" s="424">
        <v>6620.6400749158001</v>
      </c>
      <c r="AP32" s="424">
        <v>6982.3443004990995</v>
      </c>
      <c r="AQ32" s="424">
        <v>6659.6100666918001</v>
      </c>
    </row>
    <row r="33" spans="1:43" ht="12.75" x14ac:dyDescent="0.2">
      <c r="A33" s="403" t="s">
        <v>482</v>
      </c>
      <c r="B33" s="404">
        <v>3.3</v>
      </c>
      <c r="C33" s="404">
        <v>-1.5</v>
      </c>
      <c r="D33" s="404">
        <v>11</v>
      </c>
      <c r="E33" s="404">
        <v>14</v>
      </c>
      <c r="F33" s="404">
        <v>8</v>
      </c>
      <c r="G33" s="404">
        <v>7</v>
      </c>
      <c r="H33" s="404">
        <v>15</v>
      </c>
      <c r="I33" s="404">
        <v>13</v>
      </c>
      <c r="J33" s="404">
        <v>5</v>
      </c>
      <c r="K33" s="404">
        <v>6</v>
      </c>
      <c r="L33" s="272"/>
      <c r="M33" s="404">
        <v>14.586022131384713</v>
      </c>
      <c r="N33" s="429">
        <v>14.312795112846995</v>
      </c>
      <c r="O33" s="429">
        <v>13</v>
      </c>
      <c r="P33" s="430">
        <v>16</v>
      </c>
      <c r="Q33" s="404">
        <v>8</v>
      </c>
      <c r="R33" s="429">
        <v>7</v>
      </c>
      <c r="S33" s="429">
        <v>11</v>
      </c>
      <c r="T33" s="430">
        <v>6</v>
      </c>
      <c r="U33" s="404">
        <v>12</v>
      </c>
      <c r="V33" s="404">
        <v>-3</v>
      </c>
      <c r="W33" s="404">
        <v>9</v>
      </c>
      <c r="X33" s="405">
        <v>9</v>
      </c>
      <c r="Y33" s="404">
        <v>4</v>
      </c>
      <c r="Z33" s="404">
        <v>26</v>
      </c>
      <c r="AA33" s="404">
        <v>13</v>
      </c>
      <c r="AB33" s="405">
        <v>19</v>
      </c>
      <c r="AC33" s="404">
        <v>22</v>
      </c>
      <c r="AD33" s="404">
        <v>14</v>
      </c>
      <c r="AE33" s="404">
        <v>12</v>
      </c>
      <c r="AF33" s="405">
        <v>4</v>
      </c>
      <c r="AG33" s="404">
        <v>6</v>
      </c>
      <c r="AH33" s="404">
        <v>5</v>
      </c>
      <c r="AI33" s="404">
        <v>5</v>
      </c>
      <c r="AJ33" s="405">
        <v>6</v>
      </c>
      <c r="AK33" s="404">
        <v>9</v>
      </c>
      <c r="AL33" s="404">
        <v>5</v>
      </c>
      <c r="AM33" s="404">
        <v>6</v>
      </c>
      <c r="AN33" s="405">
        <v>7</v>
      </c>
      <c r="AO33" s="404">
        <v>1</v>
      </c>
      <c r="AP33" s="404">
        <v>3</v>
      </c>
      <c r="AQ33" s="404">
        <v>2</v>
      </c>
    </row>
    <row r="34" spans="1:43" ht="12.75" x14ac:dyDescent="0.2">
      <c r="A34" s="403" t="s">
        <v>483</v>
      </c>
      <c r="B34" s="404">
        <v>6</v>
      </c>
      <c r="C34" s="404">
        <v>-3</v>
      </c>
      <c r="D34" s="404">
        <v>2</v>
      </c>
      <c r="E34" s="404">
        <v>0.20554883890468861</v>
      </c>
      <c r="F34" s="404">
        <v>4</v>
      </c>
      <c r="G34" s="404">
        <v>-7.9531815178996572</v>
      </c>
      <c r="H34" s="404">
        <v>-4.2814495236376651</v>
      </c>
      <c r="I34" s="404">
        <v>12</v>
      </c>
      <c r="J34" s="404">
        <v>2.8268109229667786</v>
      </c>
      <c r="K34" s="404">
        <v>-2.2606505108352901</v>
      </c>
      <c r="L34" s="272"/>
      <c r="M34" s="404">
        <v>-5.5400152177288042</v>
      </c>
      <c r="N34" s="404">
        <v>2.1765875169604269E-3</v>
      </c>
      <c r="O34" s="404">
        <v>4.2461084118082013</v>
      </c>
      <c r="P34" s="405">
        <v>1.957213530912558</v>
      </c>
      <c r="Q34" s="404">
        <v>3.8284425768942048</v>
      </c>
      <c r="R34" s="404">
        <v>2.1164773209626255</v>
      </c>
      <c r="S34" s="404">
        <v>5.4857284788174328</v>
      </c>
      <c r="T34" s="405">
        <v>3</v>
      </c>
      <c r="U34" s="404">
        <v>0</v>
      </c>
      <c r="V34" s="404">
        <v>-6.0597309006097246</v>
      </c>
      <c r="W34" s="404">
        <v>-12.784015729787622</v>
      </c>
      <c r="X34" s="405">
        <v>-12.395470617802449</v>
      </c>
      <c r="Y34" s="404">
        <v>-10.706444598378459</v>
      </c>
      <c r="Z34" s="404">
        <v>-8.6801016790722318</v>
      </c>
      <c r="AA34" s="404">
        <v>0.13054359190531967</v>
      </c>
      <c r="AB34" s="405">
        <v>2.2790204049053098</v>
      </c>
      <c r="AC34" s="404">
        <v>8.0122403948673906</v>
      </c>
      <c r="AD34" s="404">
        <v>11.00930371238152</v>
      </c>
      <c r="AE34" s="404">
        <v>14.566938902534291</v>
      </c>
      <c r="AF34" s="405">
        <v>12.815659296637591</v>
      </c>
      <c r="AG34" s="404">
        <v>7.1089961477168186</v>
      </c>
      <c r="AH34" s="404">
        <v>5</v>
      </c>
      <c r="AI34" s="404">
        <v>1.159369283230226</v>
      </c>
      <c r="AJ34" s="405">
        <v>-0.93271480196919532</v>
      </c>
      <c r="AK34" s="404">
        <v>-3</v>
      </c>
      <c r="AL34" s="404">
        <v>-1.6899960775210414</v>
      </c>
      <c r="AM34" s="404">
        <v>-3.7184572727989704</v>
      </c>
      <c r="AN34" s="405">
        <v>-0.36457773099005286</v>
      </c>
      <c r="AO34" s="404">
        <v>-0.23735143203355377</v>
      </c>
      <c r="AP34" s="404">
        <v>-9.6340682957572916</v>
      </c>
      <c r="AQ34" s="404">
        <v>-8.8888694233168746</v>
      </c>
    </row>
    <row r="35" spans="1:43" ht="12.75" x14ac:dyDescent="0.2">
      <c r="A35" s="403" t="s">
        <v>484</v>
      </c>
      <c r="B35" s="404">
        <v>0</v>
      </c>
      <c r="C35" s="404">
        <v>0</v>
      </c>
      <c r="D35" s="404">
        <v>0.3</v>
      </c>
      <c r="E35" s="404">
        <v>2.5332334222718198</v>
      </c>
      <c r="F35" s="404">
        <v>0</v>
      </c>
      <c r="G35" s="404">
        <v>0.10607846699928622</v>
      </c>
      <c r="H35" s="404">
        <v>3.1038695978260256</v>
      </c>
      <c r="I35" s="404">
        <v>10</v>
      </c>
      <c r="J35" s="404">
        <v>4.8391971995015179</v>
      </c>
      <c r="K35" s="404">
        <v>-1.1336410020398526</v>
      </c>
      <c r="L35" s="272"/>
      <c r="M35" s="404">
        <v>2</v>
      </c>
      <c r="N35" s="404">
        <v>3</v>
      </c>
      <c r="O35" s="404">
        <v>2.8734392118831722</v>
      </c>
      <c r="P35" s="405">
        <v>2.9242258010112425</v>
      </c>
      <c r="Q35" s="404">
        <v>0.45460653825999908</v>
      </c>
      <c r="R35" s="404">
        <v>0.60053449553701088</v>
      </c>
      <c r="S35" s="404">
        <v>0.39286064059843262</v>
      </c>
      <c r="T35" s="405">
        <v>0</v>
      </c>
      <c r="U35" s="404">
        <v>0</v>
      </c>
      <c r="V35" s="404">
        <v>0</v>
      </c>
      <c r="W35" s="404">
        <v>7.5010747319582419E-2</v>
      </c>
      <c r="X35" s="405">
        <v>0.24968235141237682</v>
      </c>
      <c r="Y35" s="404">
        <v>0.20092758105282674</v>
      </c>
      <c r="Z35" s="404">
        <v>0.35825790510248584</v>
      </c>
      <c r="AA35" s="404">
        <v>7.7168720401789779</v>
      </c>
      <c r="AB35" s="405">
        <v>4.1670129673678922</v>
      </c>
      <c r="AC35" s="404">
        <v>4.4871523303978558</v>
      </c>
      <c r="AD35" s="404">
        <v>9.5230369784000697</v>
      </c>
      <c r="AE35" s="404">
        <v>0.46669356140636342</v>
      </c>
      <c r="AF35" s="405">
        <v>25.417842290510244</v>
      </c>
      <c r="AG35" s="406">
        <v>12.493831444191732</v>
      </c>
      <c r="AH35" s="404">
        <v>12</v>
      </c>
      <c r="AI35" s="404">
        <v>5.7521500377641708</v>
      </c>
      <c r="AJ35" s="405">
        <v>-7.885053552577002</v>
      </c>
      <c r="AK35" s="404">
        <v>-2</v>
      </c>
      <c r="AL35" s="404">
        <v>-0.87381563723903088</v>
      </c>
      <c r="AM35" s="404">
        <v>-0.93711896979775067</v>
      </c>
      <c r="AN35" s="405">
        <v>-0.9769729881423117</v>
      </c>
      <c r="AO35" s="404">
        <v>0.37212239796940372</v>
      </c>
      <c r="AP35" s="404">
        <v>-4.3953719093752317E-3</v>
      </c>
      <c r="AQ35" s="404">
        <v>7.1160322489483624E-3</v>
      </c>
    </row>
    <row r="36" spans="1:43" ht="12.75" x14ac:dyDescent="0.2">
      <c r="A36" s="407" t="s">
        <v>485</v>
      </c>
      <c r="B36" s="408">
        <v>9</v>
      </c>
      <c r="C36" s="408">
        <v>-5</v>
      </c>
      <c r="D36" s="408">
        <v>13</v>
      </c>
      <c r="E36" s="408">
        <v>17</v>
      </c>
      <c r="F36" s="408">
        <v>12</v>
      </c>
      <c r="G36" s="408">
        <v>-1</v>
      </c>
      <c r="H36" s="408">
        <v>14</v>
      </c>
      <c r="I36" s="408">
        <v>35</v>
      </c>
      <c r="J36" s="408">
        <v>13</v>
      </c>
      <c r="K36" s="408">
        <v>3</v>
      </c>
      <c r="L36" s="272"/>
      <c r="M36" s="408">
        <v>11</v>
      </c>
      <c r="N36" s="408">
        <v>17</v>
      </c>
      <c r="O36" s="408">
        <v>20</v>
      </c>
      <c r="P36" s="409">
        <v>21</v>
      </c>
      <c r="Q36" s="408">
        <v>12</v>
      </c>
      <c r="R36" s="408">
        <v>10</v>
      </c>
      <c r="S36" s="408">
        <v>16</v>
      </c>
      <c r="T36" s="409">
        <v>9</v>
      </c>
      <c r="U36" s="408">
        <v>12</v>
      </c>
      <c r="V36" s="408">
        <v>-9</v>
      </c>
      <c r="W36" s="408">
        <v>-4</v>
      </c>
      <c r="X36" s="409">
        <v>-3</v>
      </c>
      <c r="Y36" s="408">
        <v>-7</v>
      </c>
      <c r="Z36" s="408">
        <v>17</v>
      </c>
      <c r="AA36" s="408">
        <v>21</v>
      </c>
      <c r="AB36" s="409">
        <v>25</v>
      </c>
      <c r="AC36" s="408">
        <v>34</v>
      </c>
      <c r="AD36" s="408">
        <v>35</v>
      </c>
      <c r="AE36" s="408">
        <v>27</v>
      </c>
      <c r="AF36" s="409">
        <v>42</v>
      </c>
      <c r="AG36" s="410">
        <v>25</v>
      </c>
      <c r="AH36" s="408">
        <v>22</v>
      </c>
      <c r="AI36" s="408">
        <v>12</v>
      </c>
      <c r="AJ36" s="409">
        <v>-3</v>
      </c>
      <c r="AK36" s="408">
        <v>4</v>
      </c>
      <c r="AL36" s="408">
        <v>2</v>
      </c>
      <c r="AM36" s="408">
        <v>1</v>
      </c>
      <c r="AN36" s="409">
        <v>6</v>
      </c>
      <c r="AO36" s="408">
        <v>1</v>
      </c>
      <c r="AP36" s="408">
        <v>-7</v>
      </c>
      <c r="AQ36" s="408">
        <v>-7</v>
      </c>
    </row>
    <row r="37" spans="1:43" ht="12.75" x14ac:dyDescent="0.2">
      <c r="A37" s="403" t="s">
        <v>486</v>
      </c>
      <c r="B37" s="424">
        <v>11437</v>
      </c>
      <c r="C37" s="424">
        <v>10907</v>
      </c>
      <c r="D37" s="424">
        <v>12328</v>
      </c>
      <c r="E37" s="424">
        <v>14450.796396692302</v>
      </c>
      <c r="F37" s="424">
        <v>16154</v>
      </c>
      <c r="G37" s="424">
        <v>15926</v>
      </c>
      <c r="H37" s="424">
        <v>18110</v>
      </c>
      <c r="I37" s="424">
        <v>24377</v>
      </c>
      <c r="J37" s="424">
        <v>27487</v>
      </c>
      <c r="K37" s="424">
        <v>27321</v>
      </c>
      <c r="L37" s="272"/>
      <c r="M37" s="424">
        <v>3388</v>
      </c>
      <c r="N37" s="424">
        <v>3713</v>
      </c>
      <c r="O37" s="424">
        <v>3589</v>
      </c>
      <c r="P37" s="425">
        <v>3761</v>
      </c>
      <c r="Q37" s="424">
        <v>3806</v>
      </c>
      <c r="R37" s="424">
        <v>4097</v>
      </c>
      <c r="S37" s="424">
        <v>4147</v>
      </c>
      <c r="T37" s="425">
        <v>4104</v>
      </c>
      <c r="U37" s="424">
        <v>4251</v>
      </c>
      <c r="V37" s="424">
        <v>3719</v>
      </c>
      <c r="W37" s="424">
        <v>3969</v>
      </c>
      <c r="X37" s="425">
        <v>3987</v>
      </c>
      <c r="Y37" s="424">
        <v>3963</v>
      </c>
      <c r="Z37" s="424">
        <v>4357</v>
      </c>
      <c r="AA37" s="424">
        <v>4804</v>
      </c>
      <c r="AB37" s="425">
        <v>4986.6067298109001</v>
      </c>
      <c r="AC37" s="424">
        <v>5303</v>
      </c>
      <c r="AD37" s="424">
        <v>5885.3408332844001</v>
      </c>
      <c r="AE37" s="424">
        <v>6088.7370020572998</v>
      </c>
      <c r="AF37" s="425">
        <v>7099.7996824970996</v>
      </c>
      <c r="AG37" s="426">
        <v>6632.7538319230007</v>
      </c>
      <c r="AH37" s="424">
        <v>7167</v>
      </c>
      <c r="AI37" s="424">
        <v>6823.5668097205007</v>
      </c>
      <c r="AJ37" s="425">
        <v>6864.2130493693003</v>
      </c>
      <c r="AK37" s="424">
        <v>6621</v>
      </c>
      <c r="AL37" s="424">
        <v>6982.3443004990995</v>
      </c>
      <c r="AM37" s="424">
        <v>6659.6100666918001</v>
      </c>
      <c r="AN37" s="425">
        <v>7058.7798564472996</v>
      </c>
      <c r="AO37" s="424">
        <v>6655.3779729674006</v>
      </c>
      <c r="AP37" s="424">
        <v>6496.7036407718006</v>
      </c>
      <c r="AQ37" s="424">
        <v>6221.9777633193999</v>
      </c>
    </row>
    <row r="38" spans="1:43" ht="12.75" x14ac:dyDescent="0.2">
      <c r="A38" s="403"/>
      <c r="B38" s="404"/>
      <c r="C38" s="404"/>
      <c r="D38" s="404"/>
      <c r="E38" s="404"/>
      <c r="F38" s="404"/>
      <c r="G38" s="404"/>
      <c r="H38" s="404"/>
      <c r="I38" s="404"/>
      <c r="J38" s="404"/>
      <c r="K38" s="404"/>
      <c r="L38" s="272"/>
      <c r="M38" s="404"/>
      <c r="N38" s="404"/>
      <c r="O38" s="404"/>
      <c r="P38" s="405"/>
      <c r="Q38" s="404"/>
      <c r="R38" s="404"/>
      <c r="S38" s="404"/>
      <c r="T38" s="405"/>
      <c r="U38" s="404"/>
      <c r="V38" s="404"/>
      <c r="W38" s="404"/>
      <c r="X38" s="405"/>
      <c r="Y38" s="404"/>
      <c r="Z38" s="404"/>
      <c r="AA38" s="404"/>
      <c r="AB38" s="405"/>
      <c r="AC38" s="404"/>
      <c r="AD38" s="404"/>
      <c r="AE38" s="404"/>
      <c r="AF38" s="405"/>
      <c r="AG38" s="404"/>
      <c r="AH38" s="404"/>
      <c r="AI38" s="404"/>
      <c r="AJ38" s="405"/>
      <c r="AK38" s="404"/>
      <c r="AL38" s="404"/>
      <c r="AM38" s="404"/>
      <c r="AN38" s="405"/>
      <c r="AO38" s="404"/>
      <c r="AP38" s="404"/>
      <c r="AQ38" s="404"/>
    </row>
    <row r="39" spans="1:43" ht="12.75" x14ac:dyDescent="0.2">
      <c r="A39" s="423" t="s">
        <v>299</v>
      </c>
      <c r="B39" s="397">
        <v>2015</v>
      </c>
      <c r="C39" s="397">
        <v>2016</v>
      </c>
      <c r="D39" s="397">
        <v>2017</v>
      </c>
      <c r="E39" s="397">
        <v>2018</v>
      </c>
      <c r="F39" s="397">
        <v>2019</v>
      </c>
      <c r="G39" s="397">
        <v>2020</v>
      </c>
      <c r="H39" s="397">
        <v>2021</v>
      </c>
      <c r="I39" s="397">
        <v>2022</v>
      </c>
      <c r="J39" s="397">
        <v>2023</v>
      </c>
      <c r="K39" s="397">
        <v>2024</v>
      </c>
      <c r="L39" s="398"/>
      <c r="M39" s="397" t="s">
        <v>131</v>
      </c>
      <c r="N39" s="397" t="s">
        <v>132</v>
      </c>
      <c r="O39" s="397" t="s">
        <v>133</v>
      </c>
      <c r="P39" s="399" t="s">
        <v>134</v>
      </c>
      <c r="Q39" s="397" t="s">
        <v>135</v>
      </c>
      <c r="R39" s="397" t="s">
        <v>136</v>
      </c>
      <c r="S39" s="397" t="s">
        <v>137</v>
      </c>
      <c r="T39" s="399" t="s">
        <v>138</v>
      </c>
      <c r="U39" s="397" t="s">
        <v>139</v>
      </c>
      <c r="V39" s="397" t="s">
        <v>140</v>
      </c>
      <c r="W39" s="397" t="s">
        <v>141</v>
      </c>
      <c r="X39" s="399" t="s">
        <v>142</v>
      </c>
      <c r="Y39" s="397" t="s">
        <v>143</v>
      </c>
      <c r="Z39" s="397" t="s">
        <v>144</v>
      </c>
      <c r="AA39" s="397" t="s">
        <v>145</v>
      </c>
      <c r="AB39" s="399" t="s">
        <v>146</v>
      </c>
      <c r="AC39" s="397" t="s">
        <v>147</v>
      </c>
      <c r="AD39" s="397" t="s">
        <v>148</v>
      </c>
      <c r="AE39" s="397" t="s">
        <v>149</v>
      </c>
      <c r="AF39" s="399" t="s">
        <v>150</v>
      </c>
      <c r="AG39" s="397" t="s">
        <v>151</v>
      </c>
      <c r="AH39" s="397" t="s">
        <v>152</v>
      </c>
      <c r="AI39" s="397" t="s">
        <v>153</v>
      </c>
      <c r="AJ39" s="399" t="s">
        <v>154</v>
      </c>
      <c r="AK39" s="397" t="s">
        <v>155</v>
      </c>
      <c r="AL39" s="397" t="s">
        <v>156</v>
      </c>
      <c r="AM39" s="397" t="s">
        <v>157</v>
      </c>
      <c r="AN39" s="399" t="s">
        <v>158</v>
      </c>
      <c r="AO39" s="397" t="s">
        <v>159</v>
      </c>
      <c r="AP39" s="397" t="s">
        <v>160</v>
      </c>
      <c r="AQ39" s="397" t="s">
        <v>161</v>
      </c>
    </row>
    <row r="40" spans="1:43" ht="12.75" x14ac:dyDescent="0.2">
      <c r="A40" s="400" t="s">
        <v>481</v>
      </c>
      <c r="B40" s="401">
        <v>7819</v>
      </c>
      <c r="C40" s="401">
        <v>8109</v>
      </c>
      <c r="D40" s="401">
        <v>7947</v>
      </c>
      <c r="E40" s="401">
        <v>9046.9119178254005</v>
      </c>
      <c r="F40" s="401">
        <v>9611</v>
      </c>
      <c r="G40" s="401">
        <v>10767</v>
      </c>
      <c r="H40" s="401">
        <v>9185</v>
      </c>
      <c r="I40" s="401">
        <v>11025</v>
      </c>
      <c r="J40" s="401">
        <v>10670</v>
      </c>
      <c r="K40" s="401">
        <v>12064</v>
      </c>
      <c r="L40" s="272"/>
      <c r="M40" s="401">
        <v>2341</v>
      </c>
      <c r="N40" s="401">
        <v>2270</v>
      </c>
      <c r="O40" s="401">
        <v>2239</v>
      </c>
      <c r="P40" s="402">
        <v>2197</v>
      </c>
      <c r="Q40" s="401">
        <v>2550</v>
      </c>
      <c r="R40" s="401">
        <v>2470</v>
      </c>
      <c r="S40" s="401">
        <v>2285</v>
      </c>
      <c r="T40" s="402">
        <v>2306</v>
      </c>
      <c r="U40" s="401">
        <v>2760</v>
      </c>
      <c r="V40" s="401">
        <v>2826</v>
      </c>
      <c r="W40" s="401">
        <v>2665</v>
      </c>
      <c r="X40" s="402">
        <v>2517</v>
      </c>
      <c r="Y40" s="401">
        <v>2619</v>
      </c>
      <c r="Z40" s="401">
        <v>1980</v>
      </c>
      <c r="AA40" s="401">
        <v>2249</v>
      </c>
      <c r="AB40" s="402">
        <v>2336.7296487217</v>
      </c>
      <c r="AC40" s="401">
        <v>2674</v>
      </c>
      <c r="AD40" s="401">
        <v>2678.1897058862</v>
      </c>
      <c r="AE40" s="401">
        <v>2865.7169198725001</v>
      </c>
      <c r="AF40" s="402">
        <v>2806.7545752073001</v>
      </c>
      <c r="AG40" s="401">
        <v>2969.734969355</v>
      </c>
      <c r="AH40" s="401">
        <v>2495</v>
      </c>
      <c r="AI40" s="401">
        <v>2501.9835914729001</v>
      </c>
      <c r="AJ40" s="402">
        <v>2702.5942401177999</v>
      </c>
      <c r="AK40" s="401">
        <v>3133</v>
      </c>
      <c r="AL40" s="401">
        <v>3179.7004841978001</v>
      </c>
      <c r="AM40" s="401">
        <v>2924.4664529245001</v>
      </c>
      <c r="AN40" s="402">
        <v>2826.5591424526001</v>
      </c>
      <c r="AO40" s="401">
        <v>3121.6294955535</v>
      </c>
      <c r="AP40" s="401">
        <v>3946.5945244220998</v>
      </c>
      <c r="AQ40" s="401">
        <v>3656.4140737458001</v>
      </c>
    </row>
    <row r="41" spans="1:43" ht="12.75" x14ac:dyDescent="0.2">
      <c r="A41" s="403" t="s">
        <v>482</v>
      </c>
      <c r="B41" s="404">
        <v>-3.3</v>
      </c>
      <c r="C41" s="404">
        <v>0.2</v>
      </c>
      <c r="D41" s="404">
        <v>10.7</v>
      </c>
      <c r="E41" s="404">
        <v>4</v>
      </c>
      <c r="F41" s="404">
        <v>-3</v>
      </c>
      <c r="G41" s="404">
        <v>-7</v>
      </c>
      <c r="H41" s="404">
        <v>20</v>
      </c>
      <c r="I41" s="404">
        <v>-4</v>
      </c>
      <c r="J41" s="404">
        <v>-4</v>
      </c>
      <c r="K41" s="404">
        <v>-1</v>
      </c>
      <c r="L41" s="272"/>
      <c r="M41" s="404">
        <v>13</v>
      </c>
      <c r="N41" s="404">
        <v>6.4912047924012608</v>
      </c>
      <c r="O41" s="404">
        <v>-4</v>
      </c>
      <c r="P41" s="405">
        <v>1</v>
      </c>
      <c r="Q41" s="404">
        <v>-1</v>
      </c>
      <c r="R41" s="404">
        <v>-2</v>
      </c>
      <c r="S41" s="404">
        <v>-3</v>
      </c>
      <c r="T41" s="405">
        <v>-4</v>
      </c>
      <c r="U41" s="404">
        <v>-7</v>
      </c>
      <c r="V41" s="404">
        <v>-22</v>
      </c>
      <c r="W41" s="404">
        <v>-3</v>
      </c>
      <c r="X41" s="405">
        <v>5</v>
      </c>
      <c r="Y41" s="404">
        <v>14</v>
      </c>
      <c r="Z41" s="404">
        <v>42</v>
      </c>
      <c r="AA41" s="404">
        <v>14</v>
      </c>
      <c r="AB41" s="405">
        <v>16</v>
      </c>
      <c r="AC41" s="404">
        <v>11</v>
      </c>
      <c r="AD41" s="404">
        <v>-8</v>
      </c>
      <c r="AE41" s="404">
        <v>-10</v>
      </c>
      <c r="AF41" s="405">
        <v>-7</v>
      </c>
      <c r="AG41" s="404">
        <v>-10</v>
      </c>
      <c r="AH41" s="404">
        <v>-1</v>
      </c>
      <c r="AI41" s="404">
        <v>2</v>
      </c>
      <c r="AJ41" s="405">
        <v>-6</v>
      </c>
      <c r="AK41" s="404">
        <v>-1</v>
      </c>
      <c r="AL41" s="404">
        <v>-6</v>
      </c>
      <c r="AM41" s="404">
        <v>0</v>
      </c>
      <c r="AN41" s="405">
        <v>3</v>
      </c>
      <c r="AO41" s="404">
        <v>2</v>
      </c>
      <c r="AP41" s="404">
        <v>2</v>
      </c>
      <c r="AQ41" s="404">
        <v>8</v>
      </c>
    </row>
    <row r="42" spans="1:43" ht="12.75" x14ac:dyDescent="0.2">
      <c r="A42" s="403" t="s">
        <v>483</v>
      </c>
      <c r="B42" s="404">
        <v>7</v>
      </c>
      <c r="C42" s="404">
        <v>-2</v>
      </c>
      <c r="D42" s="404">
        <v>2</v>
      </c>
      <c r="E42" s="404">
        <v>1.1586400491804034</v>
      </c>
      <c r="F42" s="404">
        <v>4</v>
      </c>
      <c r="G42" s="404">
        <v>-5.971418616766071</v>
      </c>
      <c r="H42" s="404">
        <v>-4.083182608544794</v>
      </c>
      <c r="I42" s="404">
        <v>10</v>
      </c>
      <c r="J42" s="404">
        <v>1.8871423424659326</v>
      </c>
      <c r="K42" s="404">
        <v>-1.2789383460010324</v>
      </c>
      <c r="L42" s="272"/>
      <c r="M42" s="404">
        <v>-5</v>
      </c>
      <c r="N42" s="404">
        <v>1.6220011635119005</v>
      </c>
      <c r="O42" s="404">
        <v>4.5202872883908931</v>
      </c>
      <c r="P42" s="405">
        <v>3.3255581517195836</v>
      </c>
      <c r="Q42" s="404">
        <v>4.2654307786442214</v>
      </c>
      <c r="R42" s="404">
        <v>2.42606750478497</v>
      </c>
      <c r="S42" s="404">
        <v>5.3119620897946387</v>
      </c>
      <c r="T42" s="405">
        <v>3</v>
      </c>
      <c r="U42" s="404">
        <v>2</v>
      </c>
      <c r="V42" s="404">
        <v>-3.9657663695967322</v>
      </c>
      <c r="W42" s="404">
        <v>-10.629186939252701</v>
      </c>
      <c r="X42" s="405">
        <v>-11.172206583033395</v>
      </c>
      <c r="Y42" s="404">
        <v>-11.588156910275133</v>
      </c>
      <c r="Z42" s="404">
        <v>-7.3044925465504642</v>
      </c>
      <c r="AA42" s="404">
        <v>2.2885422220546401</v>
      </c>
      <c r="AB42" s="405">
        <v>0.92564885192998547</v>
      </c>
      <c r="AC42" s="404">
        <v>7.5606167218913791</v>
      </c>
      <c r="AD42" s="404">
        <v>9.0928274090434282</v>
      </c>
      <c r="AE42" s="404">
        <v>11.653780883098058</v>
      </c>
      <c r="AF42" s="405">
        <v>9.9677228808328753</v>
      </c>
      <c r="AG42" s="404">
        <v>4.9636051196080748</v>
      </c>
      <c r="AH42" s="404">
        <v>3</v>
      </c>
      <c r="AI42" s="404">
        <v>0.48977256283228221</v>
      </c>
      <c r="AJ42" s="405">
        <v>-1.2133929898359495</v>
      </c>
      <c r="AK42" s="404">
        <v>-2</v>
      </c>
      <c r="AL42" s="404">
        <v>-0.61653814045777544</v>
      </c>
      <c r="AM42" s="404">
        <v>-3.4200063187536953</v>
      </c>
      <c r="AN42" s="405">
        <v>1.3149713190309902</v>
      </c>
      <c r="AO42" s="404">
        <v>-1.5795791515372335E-3</v>
      </c>
      <c r="AP42" s="404">
        <v>-8.8946880061716609</v>
      </c>
      <c r="AQ42" s="404">
        <v>-8.0807836706281453</v>
      </c>
    </row>
    <row r="43" spans="1:43" ht="12.75" x14ac:dyDescent="0.2">
      <c r="A43" s="403" t="s">
        <v>484</v>
      </c>
      <c r="B43" s="404">
        <v>0.1</v>
      </c>
      <c r="C43" s="404">
        <v>0</v>
      </c>
      <c r="D43" s="404">
        <v>1.1000000000000001</v>
      </c>
      <c r="E43" s="404">
        <v>0.86727794334444475</v>
      </c>
      <c r="F43" s="404">
        <v>11</v>
      </c>
      <c r="G43" s="404">
        <v>-1.7595896260006456</v>
      </c>
      <c r="H43" s="404">
        <v>3.5080348587870707</v>
      </c>
      <c r="I43" s="404">
        <v>1</v>
      </c>
      <c r="J43" s="404">
        <v>19.303569655857988</v>
      </c>
      <c r="K43" s="404">
        <v>24.092480809260437</v>
      </c>
      <c r="L43" s="272"/>
      <c r="M43" s="404">
        <v>1</v>
      </c>
      <c r="N43" s="404">
        <v>1</v>
      </c>
      <c r="O43" s="404">
        <v>1.3710515320232382</v>
      </c>
      <c r="P43" s="405">
        <v>0.50981290958297043</v>
      </c>
      <c r="Q43" s="404">
        <v>5.467123022559643</v>
      </c>
      <c r="R43" s="404">
        <v>14.203290021702189</v>
      </c>
      <c r="S43" s="404">
        <v>14.732231754079745</v>
      </c>
      <c r="T43" s="405">
        <v>10</v>
      </c>
      <c r="U43" s="404">
        <v>0</v>
      </c>
      <c r="V43" s="404">
        <v>-4.4901305826913047</v>
      </c>
      <c r="W43" s="404">
        <v>-1.8777001908363027</v>
      </c>
      <c r="X43" s="405">
        <v>-0.70748613713816344</v>
      </c>
      <c r="Y43" s="404">
        <v>0</v>
      </c>
      <c r="Z43" s="404">
        <v>0</v>
      </c>
      <c r="AA43" s="404">
        <v>10.871206150999994</v>
      </c>
      <c r="AB43" s="405">
        <v>3.3254085674142364</v>
      </c>
      <c r="AC43" s="404">
        <v>3.1725313915130671</v>
      </c>
      <c r="AD43" s="404">
        <v>3.7352494999714074</v>
      </c>
      <c r="AE43" s="404">
        <v>-5.1811017976718343</v>
      </c>
      <c r="AF43" s="405">
        <v>2.2015052470045848</v>
      </c>
      <c r="AG43" s="406">
        <v>24.136204449664248</v>
      </c>
      <c r="AH43" s="404">
        <v>25</v>
      </c>
      <c r="AI43" s="404">
        <v>15.283953967095467</v>
      </c>
      <c r="AJ43" s="405">
        <v>12.044235082711193</v>
      </c>
      <c r="AK43" s="404">
        <v>3</v>
      </c>
      <c r="AL43" s="404">
        <v>31.36507463028898</v>
      </c>
      <c r="AM43" s="404">
        <v>27.744695347820585</v>
      </c>
      <c r="AN43" s="405">
        <v>35.098620150635561</v>
      </c>
      <c r="AO43" s="404">
        <v>32.484298568677495</v>
      </c>
      <c r="AP43" s="404">
        <v>2.0596695461843231</v>
      </c>
      <c r="AQ43" s="404">
        <v>1.0525494284615748</v>
      </c>
    </row>
    <row r="44" spans="1:43" ht="12.75" x14ac:dyDescent="0.2">
      <c r="A44" s="407" t="s">
        <v>485</v>
      </c>
      <c r="B44" s="408">
        <v>4</v>
      </c>
      <c r="C44" s="408">
        <v>-2</v>
      </c>
      <c r="D44" s="408">
        <v>14</v>
      </c>
      <c r="E44" s="408">
        <v>6</v>
      </c>
      <c r="F44" s="408">
        <v>12</v>
      </c>
      <c r="G44" s="408">
        <v>-15</v>
      </c>
      <c r="H44" s="408">
        <v>20</v>
      </c>
      <c r="I44" s="408">
        <v>7</v>
      </c>
      <c r="J44" s="408">
        <v>17</v>
      </c>
      <c r="K44" s="408">
        <v>22</v>
      </c>
      <c r="L44" s="272"/>
      <c r="M44" s="408">
        <v>9</v>
      </c>
      <c r="N44" s="408">
        <v>9</v>
      </c>
      <c r="O44" s="408">
        <v>2</v>
      </c>
      <c r="P44" s="409">
        <v>5</v>
      </c>
      <c r="Q44" s="408">
        <v>8</v>
      </c>
      <c r="R44" s="408">
        <v>14</v>
      </c>
      <c r="S44" s="408">
        <v>17</v>
      </c>
      <c r="T44" s="409">
        <v>9</v>
      </c>
      <c r="U44" s="408">
        <v>-5</v>
      </c>
      <c r="V44" s="408">
        <v>-30</v>
      </c>
      <c r="W44" s="408">
        <v>-16</v>
      </c>
      <c r="X44" s="409">
        <v>-7</v>
      </c>
      <c r="Y44" s="408">
        <v>2</v>
      </c>
      <c r="Z44" s="408">
        <v>35</v>
      </c>
      <c r="AA44" s="408">
        <v>27</v>
      </c>
      <c r="AB44" s="409">
        <v>20</v>
      </c>
      <c r="AC44" s="408">
        <v>22</v>
      </c>
      <c r="AD44" s="408">
        <v>5</v>
      </c>
      <c r="AE44" s="408">
        <v>-3</v>
      </c>
      <c r="AF44" s="409">
        <v>5</v>
      </c>
      <c r="AG44" s="410">
        <v>19</v>
      </c>
      <c r="AH44" s="408">
        <v>27</v>
      </c>
      <c r="AI44" s="408">
        <v>17</v>
      </c>
      <c r="AJ44" s="409">
        <v>5</v>
      </c>
      <c r="AK44" s="408">
        <v>0</v>
      </c>
      <c r="AL44" s="408">
        <v>24</v>
      </c>
      <c r="AM44" s="408">
        <v>25</v>
      </c>
      <c r="AN44" s="409">
        <v>39</v>
      </c>
      <c r="AO44" s="408">
        <v>34</v>
      </c>
      <c r="AP44" s="408">
        <v>-5</v>
      </c>
      <c r="AQ44" s="408">
        <v>1</v>
      </c>
    </row>
    <row r="45" spans="1:43" ht="12.75" x14ac:dyDescent="0.2">
      <c r="A45" s="403" t="s">
        <v>486</v>
      </c>
      <c r="B45" s="401">
        <v>8109</v>
      </c>
      <c r="C45" s="401">
        <v>7947</v>
      </c>
      <c r="D45" s="401">
        <v>9047</v>
      </c>
      <c r="E45" s="401">
        <v>9611.2349159613004</v>
      </c>
      <c r="F45" s="401">
        <v>10768</v>
      </c>
      <c r="G45" s="401">
        <v>9185</v>
      </c>
      <c r="H45" s="401">
        <v>11025</v>
      </c>
      <c r="I45" s="401">
        <v>11795</v>
      </c>
      <c r="J45" s="401">
        <v>12466</v>
      </c>
      <c r="K45" s="401">
        <v>14663</v>
      </c>
      <c r="L45" s="272"/>
      <c r="M45" s="401">
        <v>2550</v>
      </c>
      <c r="N45" s="401">
        <v>2470</v>
      </c>
      <c r="O45" s="401">
        <v>2285</v>
      </c>
      <c r="P45" s="402">
        <v>2306</v>
      </c>
      <c r="Q45" s="401">
        <v>2760</v>
      </c>
      <c r="R45" s="401">
        <v>2826</v>
      </c>
      <c r="S45" s="401">
        <v>2665</v>
      </c>
      <c r="T45" s="402">
        <v>2517</v>
      </c>
      <c r="U45" s="401">
        <v>2619</v>
      </c>
      <c r="V45" s="401">
        <v>1980</v>
      </c>
      <c r="W45" s="401">
        <v>2249</v>
      </c>
      <c r="X45" s="402">
        <v>2337</v>
      </c>
      <c r="Y45" s="401">
        <v>2674</v>
      </c>
      <c r="Z45" s="401">
        <v>2678</v>
      </c>
      <c r="AA45" s="401">
        <v>2866</v>
      </c>
      <c r="AB45" s="402">
        <v>2806.7545752070996</v>
      </c>
      <c r="AC45" s="401">
        <v>3263</v>
      </c>
      <c r="AD45" s="401">
        <v>2824.9741680732</v>
      </c>
      <c r="AE45" s="401">
        <v>2767.2100897839</v>
      </c>
      <c r="AF45" s="402">
        <v>2940.0688603729</v>
      </c>
      <c r="AG45" s="412">
        <v>3534.8958989036</v>
      </c>
      <c r="AH45" s="401">
        <v>3180</v>
      </c>
      <c r="AI45" s="401">
        <v>2924.2664529246999</v>
      </c>
      <c r="AJ45" s="402">
        <v>2826.5591424527001</v>
      </c>
      <c r="AK45" s="401">
        <v>3122</v>
      </c>
      <c r="AL45" s="401">
        <v>3946.5945244220002</v>
      </c>
      <c r="AM45" s="401">
        <v>3656.4140737458001</v>
      </c>
      <c r="AN45" s="402">
        <v>3937.7525133742001</v>
      </c>
      <c r="AO45" s="401">
        <v>4187.0443860789001</v>
      </c>
      <c r="AP45" s="401">
        <v>3743.1885320716997</v>
      </c>
      <c r="AQ45" s="401">
        <v>3676.5417469862</v>
      </c>
    </row>
    <row r="46" spans="1:43" ht="12.75" x14ac:dyDescent="0.2">
      <c r="A46" s="413" t="s">
        <v>487</v>
      </c>
      <c r="B46" s="401"/>
      <c r="C46" s="401"/>
      <c r="D46" s="401"/>
      <c r="E46" s="401"/>
      <c r="F46" s="401"/>
      <c r="G46" s="401"/>
      <c r="H46" s="401"/>
      <c r="I46" s="401"/>
      <c r="J46" s="401"/>
      <c r="K46" s="401"/>
      <c r="L46" s="272"/>
      <c r="M46" s="401"/>
      <c r="N46" s="401"/>
      <c r="O46" s="401"/>
      <c r="P46" s="402"/>
      <c r="Q46" s="401"/>
      <c r="R46" s="401"/>
      <c r="S46" s="401"/>
      <c r="T46" s="402"/>
      <c r="U46" s="401"/>
      <c r="V46" s="401"/>
      <c r="W46" s="401"/>
      <c r="X46" s="411"/>
      <c r="Y46" s="401"/>
      <c r="Z46" s="401"/>
      <c r="AA46" s="401"/>
      <c r="AB46" s="411"/>
      <c r="AC46" s="401">
        <v>10</v>
      </c>
      <c r="AD46" s="401">
        <v>-18</v>
      </c>
      <c r="AE46" s="401">
        <v>-5</v>
      </c>
      <c r="AF46" s="411">
        <v>4</v>
      </c>
      <c r="AG46" s="401">
        <v>33</v>
      </c>
      <c r="AH46" s="401">
        <v>-11</v>
      </c>
      <c r="AI46" s="401">
        <v>-9</v>
      </c>
      <c r="AJ46" s="411">
        <v>0</v>
      </c>
      <c r="AK46" s="401">
        <v>14</v>
      </c>
      <c r="AL46" s="401">
        <v>-10</v>
      </c>
      <c r="AM46" s="401">
        <v>-6</v>
      </c>
      <c r="AN46" s="411">
        <v>5</v>
      </c>
      <c r="AO46" s="401">
        <v>9.6999999999999993</v>
      </c>
      <c r="AP46" s="401">
        <v>-1.2</v>
      </c>
      <c r="AQ46" s="401">
        <v>0</v>
      </c>
    </row>
    <row r="47" spans="1:43" ht="12.75" x14ac:dyDescent="0.2">
      <c r="A47" s="427" t="s">
        <v>488</v>
      </c>
      <c r="B47" s="428"/>
      <c r="C47" s="428"/>
      <c r="D47" s="428"/>
      <c r="E47" s="428"/>
      <c r="F47" s="428"/>
      <c r="G47" s="428"/>
      <c r="H47" s="428"/>
      <c r="I47" s="428"/>
      <c r="J47" s="428"/>
      <c r="K47" s="428"/>
      <c r="L47" s="32"/>
      <c r="M47" s="428"/>
      <c r="N47" s="428"/>
      <c r="O47" s="428"/>
      <c r="P47" s="411"/>
      <c r="Q47" s="428"/>
      <c r="R47" s="428"/>
      <c r="S47" s="428"/>
      <c r="T47" s="411"/>
      <c r="U47" s="428"/>
      <c r="V47" s="428"/>
      <c r="W47" s="428"/>
      <c r="X47" s="411"/>
      <c r="Y47" s="428"/>
      <c r="Z47" s="428"/>
      <c r="AA47" s="428" t="s">
        <v>497</v>
      </c>
      <c r="AB47" s="411" t="s">
        <v>495</v>
      </c>
      <c r="AC47" s="428" t="s">
        <v>495</v>
      </c>
      <c r="AD47" s="428" t="s">
        <v>195</v>
      </c>
      <c r="AE47" s="32" t="s">
        <v>495</v>
      </c>
      <c r="AF47" s="411" t="s">
        <v>498</v>
      </c>
      <c r="AG47" s="428" t="s">
        <v>499</v>
      </c>
      <c r="AH47" s="428" t="s">
        <v>495</v>
      </c>
      <c r="AI47" s="428" t="s">
        <v>495</v>
      </c>
      <c r="AJ47" s="411" t="s">
        <v>495</v>
      </c>
      <c r="AK47" s="428"/>
      <c r="AL47" s="428"/>
      <c r="AM47" s="428"/>
      <c r="AN47" s="411"/>
      <c r="AO47" s="428"/>
      <c r="AP47" s="428"/>
      <c r="AQ47" s="428"/>
    </row>
    <row r="48" spans="1:43" ht="33.75" x14ac:dyDescent="0.2">
      <c r="A48" s="413" t="s">
        <v>479</v>
      </c>
      <c r="B48" s="404"/>
      <c r="C48" s="404"/>
      <c r="D48" s="392"/>
      <c r="E48" s="392"/>
      <c r="F48" s="392"/>
      <c r="G48" s="392"/>
      <c r="H48" s="392"/>
      <c r="I48" s="392"/>
      <c r="J48" s="392"/>
      <c r="K48" s="392"/>
      <c r="L48" s="272"/>
      <c r="M48" s="404"/>
      <c r="N48" s="392"/>
      <c r="O48" s="392"/>
      <c r="P48" s="393"/>
      <c r="Q48" s="392"/>
      <c r="R48" s="392"/>
      <c r="S48" s="392"/>
      <c r="T48" s="393"/>
      <c r="U48" s="392"/>
      <c r="V48" s="392"/>
      <c r="W48" s="392"/>
      <c r="X48" s="393"/>
      <c r="Y48" s="392"/>
      <c r="Z48" s="392"/>
      <c r="AA48" s="392"/>
      <c r="AB48" s="393"/>
      <c r="AC48" s="392"/>
      <c r="AD48" s="392"/>
      <c r="AE48" s="392"/>
      <c r="AF48" s="393"/>
      <c r="AG48" s="392"/>
      <c r="AH48" s="392"/>
      <c r="AI48" s="392"/>
      <c r="AJ48" s="393"/>
      <c r="AK48" s="392"/>
      <c r="AL48" s="392"/>
      <c r="AM48" s="392"/>
      <c r="AN48" s="393"/>
      <c r="AO48" s="392"/>
      <c r="AP48" s="392"/>
      <c r="AQ48" s="392"/>
    </row>
    <row r="49" spans="1:43" ht="12.75" x14ac:dyDescent="0.2">
      <c r="A49" s="403"/>
      <c r="B49" s="404"/>
      <c r="C49" s="404"/>
      <c r="D49" s="392"/>
      <c r="E49" s="392"/>
      <c r="F49" s="392"/>
      <c r="G49" s="392"/>
      <c r="H49" s="392"/>
      <c r="I49" s="392"/>
      <c r="J49" s="392"/>
      <c r="K49" s="392"/>
      <c r="L49" s="272"/>
      <c r="M49" s="404"/>
      <c r="N49" s="392"/>
      <c r="O49" s="392"/>
      <c r="P49" s="393"/>
      <c r="Q49" s="392"/>
      <c r="R49" s="392"/>
      <c r="S49" s="392"/>
      <c r="T49" s="393"/>
      <c r="U49" s="392"/>
      <c r="V49" s="392"/>
      <c r="W49" s="392"/>
      <c r="X49" s="393"/>
      <c r="Y49" s="392"/>
      <c r="Z49" s="392"/>
      <c r="AA49" s="392"/>
      <c r="AB49" s="393"/>
      <c r="AC49" s="392"/>
      <c r="AD49" s="392"/>
      <c r="AE49" s="392"/>
      <c r="AF49" s="393"/>
      <c r="AG49" s="392"/>
      <c r="AH49" s="392"/>
      <c r="AI49" s="392"/>
      <c r="AJ49" s="393"/>
      <c r="AK49" s="392"/>
      <c r="AL49" s="392"/>
      <c r="AM49" s="392"/>
      <c r="AN49" s="393"/>
      <c r="AO49" s="392"/>
      <c r="AP49" s="392"/>
      <c r="AQ49" s="392"/>
    </row>
    <row r="50" spans="1:43" ht="12.75" x14ac:dyDescent="0.2">
      <c r="A50" s="431" t="s">
        <v>500</v>
      </c>
      <c r="B50" s="432">
        <v>2015</v>
      </c>
      <c r="C50" s="432">
        <v>2016</v>
      </c>
      <c r="D50" s="432">
        <v>2017</v>
      </c>
      <c r="E50" s="432">
        <v>2018</v>
      </c>
      <c r="F50" s="432">
        <v>2019</v>
      </c>
      <c r="G50" s="432">
        <v>2020</v>
      </c>
      <c r="H50" s="432">
        <v>2021</v>
      </c>
      <c r="I50" s="432">
        <v>2022</v>
      </c>
      <c r="J50" s="432">
        <v>2023</v>
      </c>
      <c r="K50" s="432"/>
      <c r="L50" s="433"/>
      <c r="M50" s="432">
        <v>2018</v>
      </c>
      <c r="N50" s="432"/>
      <c r="O50" s="432"/>
      <c r="P50" s="434"/>
      <c r="Q50" s="432">
        <v>2019</v>
      </c>
      <c r="R50" s="432"/>
      <c r="S50" s="432"/>
      <c r="T50" s="434"/>
      <c r="U50" s="432">
        <v>2020</v>
      </c>
      <c r="V50" s="432"/>
      <c r="W50" s="432"/>
      <c r="X50" s="434"/>
      <c r="Y50" s="432">
        <v>2021</v>
      </c>
      <c r="Z50" s="432"/>
      <c r="AA50" s="432"/>
      <c r="AB50" s="434" t="s">
        <v>306</v>
      </c>
      <c r="AC50" s="432">
        <v>2022</v>
      </c>
      <c r="AD50" s="432" t="s">
        <v>306</v>
      </c>
      <c r="AE50" s="432" t="s">
        <v>306</v>
      </c>
      <c r="AF50" s="434" t="s">
        <v>306</v>
      </c>
      <c r="AG50" s="435">
        <v>2023</v>
      </c>
      <c r="AH50" s="435"/>
      <c r="AI50" s="435"/>
      <c r="AJ50" s="436"/>
      <c r="AK50" s="432"/>
      <c r="AL50" s="432"/>
      <c r="AM50" s="432"/>
      <c r="AN50" s="436"/>
      <c r="AO50" s="432"/>
      <c r="AP50" s="432"/>
      <c r="AQ50" s="432"/>
    </row>
    <row r="51" spans="1:43" ht="12.75" x14ac:dyDescent="0.2">
      <c r="A51" s="437"/>
      <c r="B51" s="438" t="s">
        <v>501</v>
      </c>
      <c r="C51" s="438" t="s">
        <v>501</v>
      </c>
      <c r="D51" s="438" t="s">
        <v>501</v>
      </c>
      <c r="E51" s="438" t="s">
        <v>501</v>
      </c>
      <c r="F51" s="438" t="s">
        <v>501</v>
      </c>
      <c r="G51" s="438" t="s">
        <v>501</v>
      </c>
      <c r="H51" s="438" t="s">
        <v>501</v>
      </c>
      <c r="I51" s="438" t="s">
        <v>501</v>
      </c>
      <c r="J51" s="438" t="s">
        <v>502</v>
      </c>
      <c r="K51" s="438"/>
      <c r="L51" s="433"/>
      <c r="M51" s="438" t="s">
        <v>503</v>
      </c>
      <c r="N51" s="438" t="s">
        <v>504</v>
      </c>
      <c r="O51" s="438" t="s">
        <v>505</v>
      </c>
      <c r="P51" s="439" t="s">
        <v>506</v>
      </c>
      <c r="Q51" s="438" t="s">
        <v>503</v>
      </c>
      <c r="R51" s="438" t="s">
        <v>504</v>
      </c>
      <c r="S51" s="438" t="s">
        <v>505</v>
      </c>
      <c r="T51" s="439" t="s">
        <v>506</v>
      </c>
      <c r="U51" s="438" t="s">
        <v>503</v>
      </c>
      <c r="V51" s="438" t="s">
        <v>504</v>
      </c>
      <c r="W51" s="438" t="s">
        <v>505</v>
      </c>
      <c r="X51" s="439" t="s">
        <v>506</v>
      </c>
      <c r="Y51" s="438" t="s">
        <v>503</v>
      </c>
      <c r="Z51" s="438" t="s">
        <v>504</v>
      </c>
      <c r="AA51" s="438" t="s">
        <v>505</v>
      </c>
      <c r="AB51" s="439" t="s">
        <v>506</v>
      </c>
      <c r="AC51" s="438" t="s">
        <v>503</v>
      </c>
      <c r="AD51" s="438" t="s">
        <v>504</v>
      </c>
      <c r="AE51" s="438" t="s">
        <v>505</v>
      </c>
      <c r="AF51" s="439" t="s">
        <v>506</v>
      </c>
      <c r="AG51" s="440" t="s">
        <v>503</v>
      </c>
      <c r="AH51" s="440" t="s">
        <v>504</v>
      </c>
      <c r="AI51" s="440" t="s">
        <v>505</v>
      </c>
      <c r="AJ51" s="441" t="s">
        <v>506</v>
      </c>
      <c r="AK51" s="438"/>
      <c r="AL51" s="438"/>
      <c r="AM51" s="438"/>
      <c r="AN51" s="441"/>
      <c r="AO51" s="438"/>
      <c r="AP51" s="438"/>
      <c r="AQ51" s="438"/>
    </row>
    <row r="52" spans="1:43" ht="12.75" x14ac:dyDescent="0.2">
      <c r="A52" s="442" t="s">
        <v>507</v>
      </c>
      <c r="B52" s="442"/>
      <c r="C52" s="442"/>
      <c r="D52" s="442"/>
      <c r="E52" s="442"/>
      <c r="F52" s="442"/>
      <c r="G52" s="442"/>
      <c r="H52" s="442"/>
      <c r="I52" s="442">
        <v>11</v>
      </c>
      <c r="J52" s="442"/>
      <c r="K52" s="442"/>
      <c r="L52" s="442"/>
      <c r="M52" s="442"/>
      <c r="N52" s="442"/>
      <c r="O52" s="442"/>
      <c r="P52" s="442"/>
      <c r="Q52" s="442"/>
      <c r="R52" s="442"/>
      <c r="S52" s="442"/>
      <c r="T52" s="442"/>
      <c r="U52" s="442"/>
      <c r="V52" s="442"/>
      <c r="W52" s="442"/>
      <c r="X52" s="442"/>
      <c r="Y52" s="442"/>
      <c r="Z52" s="442"/>
      <c r="AA52" s="442"/>
      <c r="AB52" s="442"/>
      <c r="AC52" s="442"/>
      <c r="AD52" s="442">
        <v>18</v>
      </c>
      <c r="AE52" s="442">
        <v>5</v>
      </c>
      <c r="AF52" s="443">
        <v>3</v>
      </c>
      <c r="AG52" s="413">
        <v>1</v>
      </c>
      <c r="AH52" s="413">
        <v>-4</v>
      </c>
      <c r="AI52" s="413">
        <v>0</v>
      </c>
      <c r="AJ52" s="444"/>
      <c r="AK52" s="442"/>
      <c r="AL52" s="442"/>
      <c r="AM52" s="442"/>
      <c r="AN52" s="444"/>
      <c r="AO52" s="442"/>
      <c r="AP52" s="442"/>
      <c r="AQ52" s="442"/>
    </row>
    <row r="53" spans="1:43" ht="12.75" x14ac:dyDescent="0.2">
      <c r="A53" s="442" t="s">
        <v>342</v>
      </c>
      <c r="B53" s="442"/>
      <c r="C53" s="442"/>
      <c r="D53" s="442"/>
      <c r="E53" s="442"/>
      <c r="F53" s="442"/>
      <c r="G53" s="442"/>
      <c r="H53" s="442"/>
      <c r="I53" s="442">
        <v>16</v>
      </c>
      <c r="J53" s="442"/>
      <c r="K53" s="442"/>
      <c r="L53" s="442"/>
      <c r="M53" s="442"/>
      <c r="N53" s="442"/>
      <c r="O53" s="442"/>
      <c r="P53" s="442"/>
      <c r="Q53" s="442"/>
      <c r="R53" s="442"/>
      <c r="S53" s="442"/>
      <c r="T53" s="442"/>
      <c r="U53" s="442"/>
      <c r="V53" s="442"/>
      <c r="W53" s="392"/>
      <c r="X53" s="392"/>
      <c r="Y53" s="392"/>
      <c r="Z53" s="392"/>
      <c r="AA53" s="392"/>
      <c r="AB53" s="442"/>
      <c r="AC53" s="442"/>
      <c r="AD53" s="442">
        <v>25</v>
      </c>
      <c r="AE53" s="442">
        <v>8</v>
      </c>
      <c r="AF53" s="443">
        <v>7</v>
      </c>
      <c r="AG53" s="413">
        <v>2</v>
      </c>
      <c r="AH53" s="413">
        <v>-4</v>
      </c>
      <c r="AI53" s="413">
        <v>-1</v>
      </c>
      <c r="AJ53" s="444"/>
      <c r="AK53" s="392"/>
      <c r="AL53" s="442"/>
      <c r="AM53" s="442"/>
      <c r="AN53" s="444"/>
      <c r="AO53" s="392"/>
      <c r="AP53" s="442"/>
      <c r="AQ53" s="442"/>
    </row>
    <row r="54" spans="1:43" ht="12.75" x14ac:dyDescent="0.2">
      <c r="A54" s="442" t="s">
        <v>297</v>
      </c>
      <c r="B54" s="442"/>
      <c r="C54" s="442"/>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v>-7</v>
      </c>
      <c r="AF54" s="443">
        <v>1</v>
      </c>
      <c r="AG54" s="413">
        <v>-7</v>
      </c>
      <c r="AH54" s="413">
        <v>-13</v>
      </c>
      <c r="AI54" s="413">
        <v>-5</v>
      </c>
      <c r="AJ54" s="444"/>
      <c r="AK54" s="442"/>
      <c r="AL54" s="442"/>
      <c r="AM54" s="442"/>
      <c r="AN54" s="444"/>
      <c r="AO54" s="442"/>
      <c r="AP54" s="442"/>
      <c r="AQ54" s="442"/>
    </row>
    <row r="55" spans="1:43" ht="12.75" x14ac:dyDescent="0.2">
      <c r="A55" s="442" t="s">
        <v>339</v>
      </c>
      <c r="B55" s="442"/>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v>22</v>
      </c>
      <c r="AF55" s="443">
        <v>11</v>
      </c>
      <c r="AG55" s="413">
        <v>11</v>
      </c>
      <c r="AH55" s="413">
        <v>5</v>
      </c>
      <c r="AI55" s="413">
        <v>3</v>
      </c>
      <c r="AJ55" s="444"/>
      <c r="AK55" s="442"/>
      <c r="AL55" s="442"/>
      <c r="AM55" s="442"/>
      <c r="AN55" s="444"/>
      <c r="AO55" s="442"/>
      <c r="AP55" s="442"/>
      <c r="AQ55" s="442"/>
    </row>
    <row r="56" spans="1:43" ht="12.75" x14ac:dyDescent="0.2">
      <c r="A56" s="442" t="s">
        <v>340</v>
      </c>
      <c r="B56" s="442"/>
      <c r="C56" s="442"/>
      <c r="D56" s="442"/>
      <c r="E56" s="442"/>
      <c r="F56" s="442"/>
      <c r="G56" s="442"/>
      <c r="H56" s="442"/>
      <c r="I56" s="442">
        <v>1</v>
      </c>
      <c r="J56" s="442"/>
      <c r="K56" s="442"/>
      <c r="L56" s="442"/>
      <c r="M56" s="442"/>
      <c r="N56" s="442"/>
      <c r="O56" s="442"/>
      <c r="P56" s="442"/>
      <c r="Q56" s="442"/>
      <c r="R56" s="442"/>
      <c r="S56" s="442"/>
      <c r="T56" s="442"/>
      <c r="U56" s="442"/>
      <c r="V56" s="442"/>
      <c r="W56" s="442"/>
      <c r="X56" s="442"/>
      <c r="Y56" s="445"/>
      <c r="Z56" s="442"/>
      <c r="AA56" s="442"/>
      <c r="AB56" s="442"/>
      <c r="AC56" s="442"/>
      <c r="AD56" s="442">
        <v>-2</v>
      </c>
      <c r="AE56" s="442">
        <v>-2</v>
      </c>
      <c r="AF56" s="443">
        <v>-4</v>
      </c>
      <c r="AG56" s="413">
        <v>-7</v>
      </c>
      <c r="AH56" s="413">
        <v>-2</v>
      </c>
      <c r="AI56" s="413">
        <v>-1</v>
      </c>
      <c r="AJ56" s="444"/>
      <c r="AK56" s="445"/>
      <c r="AL56" s="442"/>
      <c r="AM56" s="442"/>
      <c r="AN56" s="444"/>
      <c r="AO56" s="445"/>
      <c r="AP56" s="442"/>
      <c r="AQ56" s="442"/>
    </row>
    <row r="57" spans="1:43" ht="12.75" x14ac:dyDescent="0.2">
      <c r="A57" s="442"/>
      <c r="B57" s="442"/>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13"/>
      <c r="AH57" s="413"/>
      <c r="AI57" s="413"/>
      <c r="AJ57" s="413"/>
      <c r="AK57" s="442"/>
      <c r="AL57" s="442"/>
      <c r="AM57" s="442"/>
      <c r="AN57" s="413"/>
      <c r="AO57" s="442"/>
      <c r="AP57" s="442"/>
      <c r="AQ57" s="442"/>
    </row>
    <row r="58" spans="1:43" ht="12.75" x14ac:dyDescent="0.2">
      <c r="A58" s="403"/>
      <c r="B58" s="403"/>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row>
    <row r="59" spans="1:43" ht="12.75" x14ac:dyDescent="0.2">
      <c r="A59" s="446" t="s">
        <v>508</v>
      </c>
      <c r="B59" s="392"/>
      <c r="C59" s="392"/>
      <c r="D59" s="392"/>
      <c r="E59" s="392"/>
      <c r="F59" s="392"/>
      <c r="G59" s="392"/>
      <c r="H59" s="392"/>
      <c r="I59" s="392"/>
      <c r="J59" s="392"/>
      <c r="K59" s="392"/>
      <c r="L59" s="27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row>
    <row r="60" spans="1:43" ht="12.75" x14ac:dyDescent="0.2">
      <c r="A60" s="423" t="s">
        <v>301</v>
      </c>
      <c r="B60" s="397">
        <v>2015</v>
      </c>
      <c r="C60" s="397">
        <v>2016</v>
      </c>
      <c r="D60" s="397">
        <v>2017</v>
      </c>
      <c r="E60" s="397">
        <v>2018</v>
      </c>
      <c r="F60" s="397">
        <v>2019</v>
      </c>
      <c r="G60" s="397">
        <v>2020</v>
      </c>
      <c r="H60" s="397">
        <v>2021</v>
      </c>
      <c r="I60" s="397">
        <v>2022</v>
      </c>
      <c r="J60" s="397">
        <v>2023</v>
      </c>
      <c r="K60" s="397">
        <v>2024</v>
      </c>
      <c r="L60" s="447"/>
      <c r="M60" s="397" t="s">
        <v>131</v>
      </c>
      <c r="N60" s="397" t="s">
        <v>132</v>
      </c>
      <c r="O60" s="397" t="s">
        <v>133</v>
      </c>
      <c r="P60" s="399" t="s">
        <v>134</v>
      </c>
      <c r="Q60" s="397" t="s">
        <v>135</v>
      </c>
      <c r="R60" s="397" t="s">
        <v>136</v>
      </c>
      <c r="S60" s="397" t="s">
        <v>137</v>
      </c>
      <c r="T60" s="399" t="s">
        <v>138</v>
      </c>
      <c r="U60" s="397" t="s">
        <v>139</v>
      </c>
      <c r="V60" s="397" t="s">
        <v>140</v>
      </c>
      <c r="W60" s="397" t="s">
        <v>141</v>
      </c>
      <c r="X60" s="399" t="s">
        <v>142</v>
      </c>
      <c r="Y60" s="397" t="s">
        <v>143</v>
      </c>
      <c r="Z60" s="397" t="s">
        <v>144</v>
      </c>
      <c r="AA60" s="397" t="s">
        <v>145</v>
      </c>
      <c r="AB60" s="399" t="s">
        <v>146</v>
      </c>
      <c r="AC60" s="397" t="s">
        <v>147</v>
      </c>
      <c r="AD60" s="397" t="s">
        <v>148</v>
      </c>
      <c r="AE60" s="397" t="s">
        <v>149</v>
      </c>
      <c r="AF60" s="399" t="s">
        <v>150</v>
      </c>
      <c r="AG60" s="397" t="s">
        <v>151</v>
      </c>
      <c r="AH60" s="397" t="s">
        <v>152</v>
      </c>
      <c r="AI60" s="397" t="s">
        <v>153</v>
      </c>
      <c r="AJ60" s="399" t="s">
        <v>154</v>
      </c>
      <c r="AK60" s="397" t="s">
        <v>155</v>
      </c>
      <c r="AL60" s="397" t="s">
        <v>156</v>
      </c>
      <c r="AM60" s="397" t="s">
        <v>157</v>
      </c>
      <c r="AN60" s="399" t="s">
        <v>158</v>
      </c>
      <c r="AO60" s="397" t="s">
        <v>159</v>
      </c>
      <c r="AP60" s="397" t="s">
        <v>160</v>
      </c>
      <c r="AQ60" s="397" t="s">
        <v>161</v>
      </c>
    </row>
    <row r="61" spans="1:43" ht="12.75" x14ac:dyDescent="0.2">
      <c r="A61" s="400" t="s">
        <v>481</v>
      </c>
      <c r="B61" s="401">
        <v>27609</v>
      </c>
      <c r="C61" s="401">
        <v>28663</v>
      </c>
      <c r="D61" s="401">
        <v>27102</v>
      </c>
      <c r="E61" s="401">
        <v>31363.994574501499</v>
      </c>
      <c r="F61" s="401">
        <v>38285</v>
      </c>
      <c r="G61" s="401">
        <v>40849</v>
      </c>
      <c r="H61" s="401">
        <v>36122</v>
      </c>
      <c r="I61" s="401">
        <v>39645</v>
      </c>
      <c r="J61" s="401">
        <v>49694</v>
      </c>
      <c r="K61" s="401">
        <v>60343</v>
      </c>
      <c r="L61" s="272"/>
      <c r="M61" s="401">
        <v>7411</v>
      </c>
      <c r="N61" s="401">
        <v>7879</v>
      </c>
      <c r="O61" s="401">
        <v>7610</v>
      </c>
      <c r="P61" s="402">
        <v>8464</v>
      </c>
      <c r="Q61" s="401">
        <v>8233</v>
      </c>
      <c r="R61" s="401">
        <v>9843</v>
      </c>
      <c r="S61" s="401">
        <v>9651</v>
      </c>
      <c r="T61" s="402">
        <v>10558</v>
      </c>
      <c r="U61" s="401">
        <v>9785</v>
      </c>
      <c r="V61" s="401">
        <v>10626</v>
      </c>
      <c r="W61" s="401">
        <v>10158</v>
      </c>
      <c r="X61" s="402">
        <v>10280</v>
      </c>
      <c r="Y61" s="401">
        <v>9134</v>
      </c>
      <c r="Z61" s="401">
        <v>8458</v>
      </c>
      <c r="AA61" s="401">
        <v>8724</v>
      </c>
      <c r="AB61" s="402">
        <v>9805.7240076528997</v>
      </c>
      <c r="AC61" s="401">
        <v>8773</v>
      </c>
      <c r="AD61" s="401">
        <v>9733.3236759028005</v>
      </c>
      <c r="AE61" s="401">
        <v>9965.6555233908002</v>
      </c>
      <c r="AF61" s="402">
        <v>11172.561748705801</v>
      </c>
      <c r="AG61" s="401">
        <v>11088.396492030701</v>
      </c>
      <c r="AH61" s="401">
        <v>11867.7694568323</v>
      </c>
      <c r="AI61" s="401">
        <v>12802.0434848401</v>
      </c>
      <c r="AJ61" s="402">
        <v>13936.3026103212</v>
      </c>
      <c r="AK61" s="401">
        <v>13867.5831329346</v>
      </c>
      <c r="AL61" s="401">
        <v>15909.9330569741</v>
      </c>
      <c r="AM61" s="401">
        <v>14997.068450600798</v>
      </c>
      <c r="AN61" s="402">
        <v>15568.6525443059</v>
      </c>
      <c r="AO61" s="401">
        <v>14142.8285693899</v>
      </c>
      <c r="AP61" s="401">
        <v>16510.755905984301</v>
      </c>
      <c r="AQ61" s="401">
        <v>15699.440096490898</v>
      </c>
    </row>
    <row r="62" spans="1:43" ht="12.75" x14ac:dyDescent="0.2">
      <c r="A62" s="403" t="s">
        <v>482</v>
      </c>
      <c r="B62" s="404">
        <v>-3.2</v>
      </c>
      <c r="C62" s="404">
        <v>-3.4</v>
      </c>
      <c r="D62" s="404">
        <v>14.22</v>
      </c>
      <c r="E62" s="404">
        <v>18</v>
      </c>
      <c r="F62" s="404">
        <v>1</v>
      </c>
      <c r="G62" s="404">
        <v>-5</v>
      </c>
      <c r="H62" s="404">
        <v>12</v>
      </c>
      <c r="I62" s="404">
        <v>11</v>
      </c>
      <c r="J62" s="404">
        <v>9</v>
      </c>
      <c r="K62" s="404">
        <v>2</v>
      </c>
      <c r="L62" s="272"/>
      <c r="M62" s="404">
        <v>13.7346913034308</v>
      </c>
      <c r="N62" s="404">
        <v>21.759477415893503</v>
      </c>
      <c r="O62" s="404">
        <v>19</v>
      </c>
      <c r="P62" s="405">
        <v>19</v>
      </c>
      <c r="Q62" s="404">
        <v>14</v>
      </c>
      <c r="R62" s="404">
        <v>3</v>
      </c>
      <c r="S62" s="404">
        <v>-3</v>
      </c>
      <c r="T62" s="405">
        <v>-7</v>
      </c>
      <c r="U62" s="404">
        <v>-8</v>
      </c>
      <c r="V62" s="404">
        <v>-15</v>
      </c>
      <c r="W62" s="404">
        <v>-3</v>
      </c>
      <c r="X62" s="405">
        <v>6</v>
      </c>
      <c r="Y62" s="404">
        <v>6</v>
      </c>
      <c r="Z62" s="404">
        <v>22</v>
      </c>
      <c r="AA62" s="404">
        <v>11</v>
      </c>
      <c r="AB62" s="405">
        <v>9</v>
      </c>
      <c r="AC62" s="404">
        <v>14</v>
      </c>
      <c r="AD62" s="404">
        <v>9</v>
      </c>
      <c r="AE62" s="404">
        <v>12</v>
      </c>
      <c r="AF62" s="405">
        <v>8</v>
      </c>
      <c r="AG62" s="404">
        <v>8</v>
      </c>
      <c r="AH62" s="404">
        <v>17</v>
      </c>
      <c r="AI62" s="404">
        <v>7</v>
      </c>
      <c r="AJ62" s="405">
        <v>8</v>
      </c>
      <c r="AK62" s="404">
        <v>3</v>
      </c>
      <c r="AL62" s="404">
        <v>-1</v>
      </c>
      <c r="AM62" s="404">
        <v>3</v>
      </c>
      <c r="AN62" s="405">
        <v>4</v>
      </c>
      <c r="AO62" s="404">
        <v>3</v>
      </c>
      <c r="AP62" s="404">
        <v>1</v>
      </c>
      <c r="AQ62" s="404">
        <v>5</v>
      </c>
    </row>
    <row r="63" spans="1:43" ht="12.75" x14ac:dyDescent="0.2">
      <c r="A63" s="403" t="s">
        <v>483</v>
      </c>
      <c r="B63" s="404">
        <v>7</v>
      </c>
      <c r="C63" s="404">
        <v>-2</v>
      </c>
      <c r="D63" s="404">
        <v>1</v>
      </c>
      <c r="E63" s="404">
        <v>0.91385979656160232</v>
      </c>
      <c r="F63" s="404">
        <v>4</v>
      </c>
      <c r="G63" s="404">
        <v>-6.1381877863039529</v>
      </c>
      <c r="H63" s="404">
        <v>-3.8827544406426733</v>
      </c>
      <c r="I63" s="404">
        <v>11</v>
      </c>
      <c r="J63" s="404">
        <v>2.9831288888756808</v>
      </c>
      <c r="K63" s="404">
        <v>-1.7283348113960026</v>
      </c>
      <c r="L63" s="272"/>
      <c r="M63" s="404">
        <v>-4.7246503043515391</v>
      </c>
      <c r="N63" s="404">
        <v>0.67866958442179881</v>
      </c>
      <c r="O63" s="404">
        <v>4.6003748476852468</v>
      </c>
      <c r="P63" s="405">
        <v>2.7728522572686036</v>
      </c>
      <c r="Q63" s="404">
        <v>4.4818192429260577</v>
      </c>
      <c r="R63" s="404">
        <v>2.5892597747202784</v>
      </c>
      <c r="S63" s="404">
        <v>4.9574943446918134</v>
      </c>
      <c r="T63" s="405">
        <v>3</v>
      </c>
      <c r="U63" s="404">
        <v>1</v>
      </c>
      <c r="V63" s="404">
        <v>-4.0429681846364067</v>
      </c>
      <c r="W63" s="404">
        <v>-10.307503540577597</v>
      </c>
      <c r="X63" s="405">
        <v>-10.661534362174388</v>
      </c>
      <c r="Y63" s="404">
        <v>-10.127080034945168</v>
      </c>
      <c r="Z63" s="404">
        <v>-7.9875581850540378</v>
      </c>
      <c r="AA63" s="404">
        <v>-0.16873193581885215</v>
      </c>
      <c r="AB63" s="405">
        <v>2.1760451716142963</v>
      </c>
      <c r="AC63" s="404">
        <v>7.7574158891933962</v>
      </c>
      <c r="AD63" s="404">
        <v>10.279760122695727</v>
      </c>
      <c r="AE63" s="404">
        <v>13.770578174109</v>
      </c>
      <c r="AF63" s="405">
        <v>12.729777814218746</v>
      </c>
      <c r="AG63" s="404">
        <v>6.8200912181374944</v>
      </c>
      <c r="AH63" s="404">
        <v>5.1523899620957883</v>
      </c>
      <c r="AI63" s="404">
        <v>1.4584944497227423</v>
      </c>
      <c r="AJ63" s="405">
        <v>-0.51660429187812418</v>
      </c>
      <c r="AK63" s="404">
        <v>-2.8324405029878705</v>
      </c>
      <c r="AL63" s="404">
        <v>-1.0145149801044184</v>
      </c>
      <c r="AM63" s="404">
        <v>-3.8837944046127886</v>
      </c>
      <c r="AN63" s="405">
        <v>0.60199060909584701</v>
      </c>
      <c r="AO63" s="404">
        <v>-0.12712580271469323</v>
      </c>
      <c r="AP63" s="404">
        <v>-8.7982982479602949</v>
      </c>
      <c r="AQ63" s="404">
        <v>-8.4358434574415515</v>
      </c>
    </row>
    <row r="64" spans="1:43" ht="12.75" x14ac:dyDescent="0.2">
      <c r="A64" s="403" t="s">
        <v>484</v>
      </c>
      <c r="B64" s="404">
        <v>0</v>
      </c>
      <c r="C64" s="404">
        <v>0</v>
      </c>
      <c r="D64" s="404">
        <v>0.5</v>
      </c>
      <c r="E64" s="404">
        <v>2.5850474741007949</v>
      </c>
      <c r="F64" s="404">
        <v>2</v>
      </c>
      <c r="G64" s="404">
        <v>-0.63557200854913731</v>
      </c>
      <c r="H64" s="404">
        <v>1.751007567806051</v>
      </c>
      <c r="I64" s="404">
        <v>3</v>
      </c>
      <c r="J64" s="404">
        <v>8.8952105465862541</v>
      </c>
      <c r="K64" s="404">
        <v>5.0325174558529779</v>
      </c>
      <c r="L64" s="272"/>
      <c r="M64" s="404">
        <v>2</v>
      </c>
      <c r="N64" s="404">
        <v>2</v>
      </c>
      <c r="O64" s="404">
        <v>2.5727099261473176</v>
      </c>
      <c r="P64" s="405">
        <v>2.9408291759450096</v>
      </c>
      <c r="Q64" s="404">
        <v>0.67531681233072915</v>
      </c>
      <c r="R64" s="404">
        <v>1.516792253275228</v>
      </c>
      <c r="S64" s="404">
        <v>2.9530508267620377</v>
      </c>
      <c r="T64" s="405">
        <v>1</v>
      </c>
      <c r="U64" s="404">
        <v>0</v>
      </c>
      <c r="V64" s="404">
        <v>-1.4542560819783696</v>
      </c>
      <c r="W64" s="404">
        <v>-0.76946918845358081</v>
      </c>
      <c r="X64" s="405">
        <v>-9.1598586467587895E-2</v>
      </c>
      <c r="Y64" s="404">
        <v>0.14166062181057551</v>
      </c>
      <c r="Z64" s="404">
        <v>0.5459390481939046</v>
      </c>
      <c r="AA64" s="404">
        <v>2.9463040137193239</v>
      </c>
      <c r="AB64" s="405">
        <v>3.2259840956039421</v>
      </c>
      <c r="AC64" s="404">
        <v>3.7287415534473909</v>
      </c>
      <c r="AD64" s="404">
        <v>3.4063224649096728</v>
      </c>
      <c r="AE64" s="404">
        <v>1.7105711038962244</v>
      </c>
      <c r="AF64" s="405">
        <v>4.1197835738345168</v>
      </c>
      <c r="AG64" s="404">
        <v>9.5959939656471835</v>
      </c>
      <c r="AH64" s="404">
        <v>12.132085475667877</v>
      </c>
      <c r="AI64" s="404">
        <v>9.2448189417603928</v>
      </c>
      <c r="AJ64" s="405">
        <v>5.2595993112164932</v>
      </c>
      <c r="AK64" s="404">
        <v>1.6603404686796035</v>
      </c>
      <c r="AL64" s="404">
        <v>6.194398075267177</v>
      </c>
      <c r="AM64" s="404">
        <v>6.0078423785823611</v>
      </c>
      <c r="AN64" s="405">
        <v>5.9093747925377507</v>
      </c>
      <c r="AO64" s="404">
        <v>6.9054379259129348</v>
      </c>
      <c r="AP64" s="404">
        <v>0.4397578796091558</v>
      </c>
      <c r="AQ64" s="404">
        <v>0.16751507304823102</v>
      </c>
    </row>
    <row r="65" spans="1:43" ht="12.75" x14ac:dyDescent="0.2">
      <c r="A65" s="407" t="s">
        <v>485</v>
      </c>
      <c r="B65" s="408">
        <v>4</v>
      </c>
      <c r="C65" s="408">
        <v>-5</v>
      </c>
      <c r="D65" s="408">
        <v>16</v>
      </c>
      <c r="E65" s="408">
        <v>22</v>
      </c>
      <c r="F65" s="408">
        <v>7</v>
      </c>
      <c r="G65" s="408">
        <v>-12</v>
      </c>
      <c r="H65" s="408">
        <v>10</v>
      </c>
      <c r="I65" s="408">
        <v>25</v>
      </c>
      <c r="J65" s="408">
        <v>21</v>
      </c>
      <c r="K65" s="408">
        <v>5</v>
      </c>
      <c r="L65" s="272"/>
      <c r="M65" s="408">
        <v>11</v>
      </c>
      <c r="N65" s="408">
        <v>25</v>
      </c>
      <c r="O65" s="408">
        <v>27</v>
      </c>
      <c r="P65" s="409">
        <v>25</v>
      </c>
      <c r="Q65" s="408">
        <v>19</v>
      </c>
      <c r="R65" s="408">
        <v>8</v>
      </c>
      <c r="S65" s="408">
        <v>5</v>
      </c>
      <c r="T65" s="409">
        <v>-3</v>
      </c>
      <c r="U65" s="408">
        <v>-7</v>
      </c>
      <c r="V65" s="408">
        <v>-20</v>
      </c>
      <c r="W65" s="408">
        <v>-14</v>
      </c>
      <c r="X65" s="409">
        <v>-5</v>
      </c>
      <c r="Y65" s="408">
        <v>-4</v>
      </c>
      <c r="Z65" s="408">
        <v>15</v>
      </c>
      <c r="AA65" s="408">
        <v>14</v>
      </c>
      <c r="AB65" s="409">
        <v>14</v>
      </c>
      <c r="AC65" s="408">
        <v>26</v>
      </c>
      <c r="AD65" s="408">
        <v>22</v>
      </c>
      <c r="AE65" s="408">
        <v>28</v>
      </c>
      <c r="AF65" s="409">
        <v>25</v>
      </c>
      <c r="AG65" s="408">
        <v>25</v>
      </c>
      <c r="AH65" s="408">
        <v>34</v>
      </c>
      <c r="AI65" s="408">
        <v>17</v>
      </c>
      <c r="AJ65" s="409">
        <v>12</v>
      </c>
      <c r="AK65" s="408">
        <v>2</v>
      </c>
      <c r="AL65" s="408">
        <v>4</v>
      </c>
      <c r="AM65" s="408">
        <v>5</v>
      </c>
      <c r="AN65" s="409">
        <v>11</v>
      </c>
      <c r="AO65" s="408">
        <v>10</v>
      </c>
      <c r="AP65" s="408">
        <v>-8</v>
      </c>
      <c r="AQ65" s="408">
        <v>-3</v>
      </c>
    </row>
    <row r="66" spans="1:43" ht="12.75" x14ac:dyDescent="0.2">
      <c r="A66" s="403" t="s">
        <v>486</v>
      </c>
      <c r="B66" s="424">
        <v>28663</v>
      </c>
      <c r="C66" s="424">
        <v>27102</v>
      </c>
      <c r="D66" s="424">
        <v>31363.994574501499</v>
      </c>
      <c r="E66" s="424">
        <v>38285.266855336195</v>
      </c>
      <c r="F66" s="424">
        <v>40849</v>
      </c>
      <c r="G66" s="424">
        <v>36122</v>
      </c>
      <c r="H66" s="424">
        <v>39645</v>
      </c>
      <c r="I66" s="424">
        <v>49694</v>
      </c>
      <c r="J66" s="424">
        <v>60343</v>
      </c>
      <c r="K66" s="424">
        <v>63604</v>
      </c>
      <c r="L66" s="272"/>
      <c r="M66" s="424">
        <v>8233</v>
      </c>
      <c r="N66" s="424">
        <v>9843</v>
      </c>
      <c r="O66" s="424">
        <v>9651</v>
      </c>
      <c r="P66" s="425">
        <v>10558</v>
      </c>
      <c r="Q66" s="424">
        <v>9785</v>
      </c>
      <c r="R66" s="424">
        <v>10626</v>
      </c>
      <c r="S66" s="424">
        <v>10158</v>
      </c>
      <c r="T66" s="425">
        <v>10280</v>
      </c>
      <c r="U66" s="424">
        <v>9134</v>
      </c>
      <c r="V66" s="424">
        <v>8458</v>
      </c>
      <c r="W66" s="424">
        <v>8724</v>
      </c>
      <c r="X66" s="425">
        <v>9806</v>
      </c>
      <c r="Y66" s="424">
        <v>8773</v>
      </c>
      <c r="Z66" s="424">
        <v>9733</v>
      </c>
      <c r="AA66" s="424">
        <v>9966</v>
      </c>
      <c r="AB66" s="425">
        <v>11172.561748706199</v>
      </c>
      <c r="AC66" s="424">
        <v>11088</v>
      </c>
      <c r="AD66" s="424">
        <v>11867.769456832501</v>
      </c>
      <c r="AE66" s="424">
        <v>12802.343484839999</v>
      </c>
      <c r="AF66" s="425">
        <v>13936.3026103215</v>
      </c>
      <c r="AG66" s="424">
        <v>13867.5831329346</v>
      </c>
      <c r="AH66" s="424">
        <v>15909.933056974</v>
      </c>
      <c r="AI66" s="424">
        <v>14997.068450601</v>
      </c>
      <c r="AJ66" s="425">
        <v>15568.452544305701</v>
      </c>
      <c r="AK66" s="424">
        <v>14142.8285693898</v>
      </c>
      <c r="AL66" s="424">
        <v>16510.755905984199</v>
      </c>
      <c r="AM66" s="424">
        <v>15699.4400964908</v>
      </c>
      <c r="AN66" s="425">
        <v>17249.7849331328</v>
      </c>
      <c r="AO66" s="424">
        <v>15535.7063562821</v>
      </c>
      <c r="AP66" s="424">
        <v>15129.878603667101</v>
      </c>
      <c r="AQ66" s="424">
        <v>15242.3110648578</v>
      </c>
    </row>
    <row r="67" spans="1:43" ht="12.75" x14ac:dyDescent="0.2">
      <c r="A67" s="403"/>
      <c r="B67" s="404"/>
      <c r="C67" s="404"/>
      <c r="D67" s="392"/>
      <c r="E67" s="404"/>
      <c r="F67" s="404"/>
      <c r="G67" s="404"/>
      <c r="H67" s="404"/>
      <c r="I67" s="404"/>
      <c r="J67" s="404"/>
      <c r="K67" s="404"/>
      <c r="L67" s="272"/>
      <c r="M67" s="404"/>
      <c r="N67" s="392"/>
      <c r="O67" s="392"/>
      <c r="P67" s="393"/>
      <c r="Q67" s="404"/>
      <c r="R67" s="392"/>
      <c r="S67" s="392"/>
      <c r="T67" s="393"/>
      <c r="U67" s="404"/>
      <c r="V67" s="404"/>
      <c r="W67" s="404"/>
      <c r="X67" s="405"/>
      <c r="Y67" s="404"/>
      <c r="Z67" s="404"/>
      <c r="AA67" s="404"/>
      <c r="AB67" s="405"/>
      <c r="AC67" s="404"/>
      <c r="AD67" s="404"/>
      <c r="AE67" s="404"/>
      <c r="AF67" s="405"/>
      <c r="AG67" s="404"/>
      <c r="AH67" s="404"/>
      <c r="AI67" s="404"/>
      <c r="AJ67" s="405"/>
      <c r="AK67" s="404"/>
      <c r="AL67" s="404"/>
      <c r="AM67" s="404"/>
      <c r="AN67" s="405"/>
      <c r="AO67" s="404"/>
      <c r="AP67" s="404"/>
      <c r="AQ67" s="404"/>
    </row>
    <row r="68" spans="1:43" ht="12.75" x14ac:dyDescent="0.2">
      <c r="A68" s="423" t="s">
        <v>493</v>
      </c>
      <c r="B68" s="397">
        <v>2015</v>
      </c>
      <c r="C68" s="397">
        <v>2016</v>
      </c>
      <c r="D68" s="397">
        <v>2017</v>
      </c>
      <c r="E68" s="397">
        <v>2018</v>
      </c>
      <c r="F68" s="397">
        <v>2019</v>
      </c>
      <c r="G68" s="397">
        <v>2020</v>
      </c>
      <c r="H68" s="397">
        <v>2021</v>
      </c>
      <c r="I68" s="397">
        <v>2022</v>
      </c>
      <c r="J68" s="397">
        <v>2023</v>
      </c>
      <c r="K68" s="397">
        <v>2024</v>
      </c>
      <c r="L68" s="398"/>
      <c r="M68" s="397" t="s">
        <v>131</v>
      </c>
      <c r="N68" s="397" t="s">
        <v>132</v>
      </c>
      <c r="O68" s="397" t="s">
        <v>133</v>
      </c>
      <c r="P68" s="399" t="s">
        <v>134</v>
      </c>
      <c r="Q68" s="397" t="s">
        <v>135</v>
      </c>
      <c r="R68" s="397" t="s">
        <v>136</v>
      </c>
      <c r="S68" s="397" t="s">
        <v>137</v>
      </c>
      <c r="T68" s="399" t="s">
        <v>138</v>
      </c>
      <c r="U68" s="397" t="s">
        <v>139</v>
      </c>
      <c r="V68" s="397" t="s">
        <v>140</v>
      </c>
      <c r="W68" s="397" t="s">
        <v>141</v>
      </c>
      <c r="X68" s="399" t="s">
        <v>142</v>
      </c>
      <c r="Y68" s="397" t="s">
        <v>143</v>
      </c>
      <c r="Z68" s="397" t="s">
        <v>144</v>
      </c>
      <c r="AA68" s="397" t="s">
        <v>145</v>
      </c>
      <c r="AB68" s="399" t="s">
        <v>146</v>
      </c>
      <c r="AC68" s="397" t="s">
        <v>147</v>
      </c>
      <c r="AD68" s="397" t="s">
        <v>148</v>
      </c>
      <c r="AE68" s="397" t="s">
        <v>149</v>
      </c>
      <c r="AF68" s="399" t="s">
        <v>150</v>
      </c>
      <c r="AG68" s="397" t="s">
        <v>151</v>
      </c>
      <c r="AH68" s="397" t="s">
        <v>152</v>
      </c>
      <c r="AI68" s="397" t="s">
        <v>153</v>
      </c>
      <c r="AJ68" s="399" t="s">
        <v>154</v>
      </c>
      <c r="AK68" s="397" t="s">
        <v>155</v>
      </c>
      <c r="AL68" s="397" t="s">
        <v>156</v>
      </c>
      <c r="AM68" s="397" t="s">
        <v>157</v>
      </c>
      <c r="AN68" s="399" t="s">
        <v>158</v>
      </c>
      <c r="AO68" s="397" t="s">
        <v>159</v>
      </c>
      <c r="AP68" s="397" t="s">
        <v>160</v>
      </c>
      <c r="AQ68" s="397" t="s">
        <v>161</v>
      </c>
    </row>
    <row r="69" spans="1:43" ht="12.75" x14ac:dyDescent="0.2">
      <c r="A69" s="400" t="s">
        <v>481</v>
      </c>
      <c r="B69" s="424">
        <v>19461</v>
      </c>
      <c r="C69" s="424">
        <v>20317</v>
      </c>
      <c r="D69" s="424">
        <v>18898</v>
      </c>
      <c r="E69" s="424">
        <v>22383.0855085734</v>
      </c>
      <c r="F69" s="424">
        <v>28540</v>
      </c>
      <c r="G69" s="424">
        <v>29891</v>
      </c>
      <c r="H69" s="424">
        <v>26927</v>
      </c>
      <c r="I69" s="424">
        <v>29320</v>
      </c>
      <c r="J69" s="424">
        <v>38904</v>
      </c>
      <c r="K69" s="424">
        <v>47530</v>
      </c>
      <c r="L69" s="272"/>
      <c r="M69" s="424">
        <v>5220</v>
      </c>
      <c r="N69" s="424">
        <v>5495</v>
      </c>
      <c r="O69" s="424">
        <v>5406</v>
      </c>
      <c r="P69" s="425">
        <v>6262</v>
      </c>
      <c r="Q69" s="424">
        <v>5943</v>
      </c>
      <c r="R69" s="424">
        <v>7325</v>
      </c>
      <c r="S69" s="424">
        <v>7178</v>
      </c>
      <c r="T69" s="425">
        <v>8094</v>
      </c>
      <c r="U69" s="424">
        <v>7115</v>
      </c>
      <c r="V69" s="424">
        <v>7702</v>
      </c>
      <c r="W69" s="424">
        <v>7334</v>
      </c>
      <c r="X69" s="425">
        <v>7740</v>
      </c>
      <c r="Y69" s="424">
        <v>6579</v>
      </c>
      <c r="Z69" s="424">
        <v>6422</v>
      </c>
      <c r="AA69" s="424">
        <v>6471</v>
      </c>
      <c r="AB69" s="425">
        <v>7454.7975964984998</v>
      </c>
      <c r="AC69" s="424">
        <v>6391</v>
      </c>
      <c r="AD69" s="424">
        <v>7187.1050946749001</v>
      </c>
      <c r="AE69" s="424">
        <v>7241.6238343598998</v>
      </c>
      <c r="AF69" s="425">
        <v>8499.9494975015004</v>
      </c>
      <c r="AG69" s="424">
        <v>8485.0400528851005</v>
      </c>
      <c r="AH69" s="424">
        <v>9059.9807295390001</v>
      </c>
      <c r="AI69" s="424">
        <v>10070.484137253501</v>
      </c>
      <c r="AJ69" s="425">
        <v>11288.754794475301</v>
      </c>
      <c r="AK69" s="424">
        <v>10732.9447077799</v>
      </c>
      <c r="AL69" s="424">
        <v>12509.7765310253</v>
      </c>
      <c r="AM69" s="424">
        <v>11729.024263104999</v>
      </c>
      <c r="AN69" s="425">
        <v>12557.686848122099</v>
      </c>
      <c r="AO69" s="424">
        <v>11212.365580766</v>
      </c>
      <c r="AP69" s="424">
        <v>12515.526100765101</v>
      </c>
      <c r="AQ69" s="424">
        <v>11875.4769268457</v>
      </c>
    </row>
    <row r="70" spans="1:43" ht="12.75" x14ac:dyDescent="0.2">
      <c r="A70" s="403" t="s">
        <v>482</v>
      </c>
      <c r="B70" s="404">
        <v>-2.2000000000000002</v>
      </c>
      <c r="C70" s="404">
        <v>-4.5</v>
      </c>
      <c r="D70" s="404">
        <v>16.149999999999999</v>
      </c>
      <c r="E70" s="404">
        <v>24</v>
      </c>
      <c r="F70" s="404">
        <v>2</v>
      </c>
      <c r="G70" s="404">
        <v>-4</v>
      </c>
      <c r="H70" s="404">
        <v>11</v>
      </c>
      <c r="I70" s="404">
        <v>13</v>
      </c>
      <c r="J70" s="404">
        <v>12</v>
      </c>
      <c r="K70" s="404">
        <v>5</v>
      </c>
      <c r="L70" s="272"/>
      <c r="M70" s="404">
        <v>16</v>
      </c>
      <c r="N70" s="404">
        <v>29.65161598880503</v>
      </c>
      <c r="O70" s="404">
        <v>25</v>
      </c>
      <c r="P70" s="405">
        <v>22</v>
      </c>
      <c r="Q70" s="404">
        <v>17</v>
      </c>
      <c r="R70" s="404">
        <v>3</v>
      </c>
      <c r="S70" s="404">
        <v>-2</v>
      </c>
      <c r="T70" s="405">
        <v>-6</v>
      </c>
      <c r="U70" s="404">
        <v>-8</v>
      </c>
      <c r="V70" s="404">
        <v>-13</v>
      </c>
      <c r="W70" s="404">
        <v>-2</v>
      </c>
      <c r="X70" s="405">
        <v>7</v>
      </c>
      <c r="Y70" s="404">
        <v>7</v>
      </c>
      <c r="Z70" s="404">
        <v>19</v>
      </c>
      <c r="AA70" s="404">
        <v>9</v>
      </c>
      <c r="AB70" s="405">
        <v>9</v>
      </c>
      <c r="AC70" s="404">
        <v>17</v>
      </c>
      <c r="AD70" s="404">
        <v>8</v>
      </c>
      <c r="AE70" s="404">
        <v>18</v>
      </c>
      <c r="AF70" s="405">
        <v>12</v>
      </c>
      <c r="AG70" s="404">
        <v>10</v>
      </c>
      <c r="AH70" s="404">
        <v>22</v>
      </c>
      <c r="AI70" s="404">
        <v>7</v>
      </c>
      <c r="AJ70" s="405">
        <v>8</v>
      </c>
      <c r="AK70" s="404">
        <v>6</v>
      </c>
      <c r="AL70" s="404">
        <v>1</v>
      </c>
      <c r="AM70" s="404">
        <v>5</v>
      </c>
      <c r="AN70" s="405">
        <v>6</v>
      </c>
      <c r="AO70" s="404">
        <v>4</v>
      </c>
      <c r="AP70" s="404">
        <v>1</v>
      </c>
      <c r="AQ70" s="404">
        <v>6</v>
      </c>
    </row>
    <row r="71" spans="1:43" ht="12.75" x14ac:dyDescent="0.2">
      <c r="A71" s="403" t="s">
        <v>483</v>
      </c>
      <c r="B71" s="404">
        <v>6</v>
      </c>
      <c r="C71" s="404">
        <v>-2</v>
      </c>
      <c r="D71" s="404">
        <v>2</v>
      </c>
      <c r="E71" s="404">
        <v>0.75469250118649756</v>
      </c>
      <c r="F71" s="404">
        <v>4</v>
      </c>
      <c r="G71" s="404">
        <v>-6.2751009879195987</v>
      </c>
      <c r="H71" s="404">
        <v>-3.9252113897303409</v>
      </c>
      <c r="I71" s="404">
        <v>12</v>
      </c>
      <c r="J71" s="404">
        <v>3.2003739500039914</v>
      </c>
      <c r="K71" s="404">
        <v>-1.8766334422764683</v>
      </c>
      <c r="L71" s="272"/>
      <c r="M71" s="404">
        <v>-4.9621141467681982</v>
      </c>
      <c r="N71" s="404">
        <v>0.4187266962524962</v>
      </c>
      <c r="O71" s="404">
        <v>4.5674480876842862</v>
      </c>
      <c r="P71" s="405">
        <v>2.5160988226223919</v>
      </c>
      <c r="Q71" s="404">
        <v>4.487466757530564</v>
      </c>
      <c r="R71" s="404">
        <v>2.620196627962426</v>
      </c>
      <c r="S71" s="404">
        <v>4.8776320513127276</v>
      </c>
      <c r="T71" s="405">
        <v>3</v>
      </c>
      <c r="U71" s="404">
        <v>0</v>
      </c>
      <c r="V71" s="404">
        <v>-4.2546499208722688</v>
      </c>
      <c r="W71" s="404">
        <v>-10.417057261053438</v>
      </c>
      <c r="X71" s="405">
        <v>-10.530384318218564</v>
      </c>
      <c r="Y71" s="404">
        <v>-10.060591357244645</v>
      </c>
      <c r="Z71" s="404">
        <v>-8.2349255394889873</v>
      </c>
      <c r="AA71" s="404">
        <v>-0.30702769329448981</v>
      </c>
      <c r="AB71" s="405">
        <v>2.0686559529565844</v>
      </c>
      <c r="AC71" s="404">
        <v>7.8465699672707947</v>
      </c>
      <c r="AD71" s="404">
        <v>10.238393406313618</v>
      </c>
      <c r="AE71" s="404">
        <v>14.624860986628319</v>
      </c>
      <c r="AF71" s="405">
        <v>13.382063109111817</v>
      </c>
      <c r="AG71" s="404">
        <v>7.162242694516106</v>
      </c>
      <c r="AH71" s="404">
        <v>5.7144295598598971</v>
      </c>
      <c r="AI71" s="404">
        <v>1.5608360562799366</v>
      </c>
      <c r="AJ71" s="405">
        <v>-0.33260831194024965</v>
      </c>
      <c r="AK71" s="404">
        <v>-3.0109409260237379</v>
      </c>
      <c r="AL71" s="404">
        <v>-1.1325917380286126</v>
      </c>
      <c r="AM71" s="404">
        <v>-4.0941138641653358</v>
      </c>
      <c r="AN71" s="405">
        <v>0.42273868024267547</v>
      </c>
      <c r="AO71" s="404">
        <v>-0.16181609843710004</v>
      </c>
      <c r="AP71" s="404">
        <v>-10</v>
      </c>
      <c r="AQ71" s="404">
        <v>-8.6548366597322186</v>
      </c>
    </row>
    <row r="72" spans="1:43" ht="12.75" x14ac:dyDescent="0.2">
      <c r="A72" s="403" t="s">
        <v>484</v>
      </c>
      <c r="B72" s="404">
        <v>0</v>
      </c>
      <c r="C72" s="404">
        <v>0</v>
      </c>
      <c r="D72" s="404">
        <v>0.3</v>
      </c>
      <c r="E72" s="404">
        <v>3.3199532376417289</v>
      </c>
      <c r="F72" s="404">
        <v>-1</v>
      </c>
      <c r="G72" s="404">
        <v>5.3267376984594828E-3</v>
      </c>
      <c r="H72" s="404">
        <v>1.7527178270817203</v>
      </c>
      <c r="I72" s="404">
        <v>3</v>
      </c>
      <c r="J72" s="404">
        <v>6.8631676461106466</v>
      </c>
      <c r="K72" s="404">
        <v>0.38233958306098781</v>
      </c>
      <c r="L72" s="272"/>
      <c r="M72" s="404">
        <v>3</v>
      </c>
      <c r="N72" s="404">
        <v>3</v>
      </c>
      <c r="O72" s="404">
        <v>3.2243763239486549</v>
      </c>
      <c r="P72" s="405">
        <v>3.7717342857121068</v>
      </c>
      <c r="Q72" s="404">
        <v>-0.9691395495127233</v>
      </c>
      <c r="R72" s="404">
        <v>-0.75631945487105079</v>
      </c>
      <c r="S72" s="404">
        <v>-0.77324686311412461</v>
      </c>
      <c r="T72" s="405">
        <v>-1</v>
      </c>
      <c r="U72" s="404">
        <v>0</v>
      </c>
      <c r="V72" s="404">
        <v>-0.18985787582445951</v>
      </c>
      <c r="W72" s="404">
        <v>1.9950670268902015E-2</v>
      </c>
      <c r="X72" s="405">
        <v>0.23695245264588347</v>
      </c>
      <c r="Y72" s="404">
        <v>0.19667995190570739</v>
      </c>
      <c r="Z72" s="404">
        <v>0.71898282202546071</v>
      </c>
      <c r="AA72" s="404">
        <v>3.1380079179650946</v>
      </c>
      <c r="AB72" s="405">
        <v>2.8138987242347979</v>
      </c>
      <c r="AC72" s="404">
        <v>3.4177633277541917</v>
      </c>
      <c r="AD72" s="404">
        <v>3.1696115696998084</v>
      </c>
      <c r="AE72" s="404">
        <v>1.8451987397341956</v>
      </c>
      <c r="AF72" s="405">
        <v>4.9910912240184766</v>
      </c>
      <c r="AG72" s="404">
        <v>8.9559810392787824</v>
      </c>
      <c r="AH72" s="404">
        <v>9.9181285949481559</v>
      </c>
      <c r="AI72" s="404">
        <v>6.7589220748311876</v>
      </c>
      <c r="AJ72" s="405">
        <v>2.9313177453597143</v>
      </c>
      <c r="AK72" s="404">
        <v>0.94555372817524042</v>
      </c>
      <c r="AL72" s="404">
        <v>0.14820578184685163</v>
      </c>
      <c r="AM72" s="404">
        <v>0.26347541385270434</v>
      </c>
      <c r="AN72" s="405">
        <v>0.24523861001284117</v>
      </c>
      <c r="AO72" s="404">
        <v>0.22357569069994068</v>
      </c>
      <c r="AP72" s="404">
        <v>-3.2152064464585351E-4</v>
      </c>
      <c r="AQ72" s="404">
        <v>2.0496018955648847E-3</v>
      </c>
    </row>
    <row r="73" spans="1:43" ht="12.75" x14ac:dyDescent="0.2">
      <c r="A73" s="407" t="s">
        <v>485</v>
      </c>
      <c r="B73" s="408">
        <v>4</v>
      </c>
      <c r="C73" s="408">
        <v>-7</v>
      </c>
      <c r="D73" s="408">
        <v>18</v>
      </c>
      <c r="E73" s="408">
        <v>28</v>
      </c>
      <c r="F73" s="408">
        <v>5</v>
      </c>
      <c r="G73" s="408">
        <v>-10</v>
      </c>
      <c r="H73" s="408">
        <v>9</v>
      </c>
      <c r="I73" s="408">
        <v>28</v>
      </c>
      <c r="J73" s="408">
        <v>22</v>
      </c>
      <c r="K73" s="408">
        <v>3</v>
      </c>
      <c r="L73" s="272"/>
      <c r="M73" s="408">
        <v>14</v>
      </c>
      <c r="N73" s="408">
        <v>33</v>
      </c>
      <c r="O73" s="408">
        <v>33</v>
      </c>
      <c r="P73" s="409">
        <v>29</v>
      </c>
      <c r="Q73" s="408">
        <v>20</v>
      </c>
      <c r="R73" s="408">
        <v>5</v>
      </c>
      <c r="S73" s="408">
        <v>2</v>
      </c>
      <c r="T73" s="409">
        <v>-4</v>
      </c>
      <c r="U73" s="408">
        <v>-8</v>
      </c>
      <c r="V73" s="408">
        <v>-17</v>
      </c>
      <c r="W73" s="408">
        <v>-12</v>
      </c>
      <c r="X73" s="409">
        <v>-4</v>
      </c>
      <c r="Y73" s="408">
        <v>-3</v>
      </c>
      <c r="Z73" s="408">
        <v>12</v>
      </c>
      <c r="AA73" s="408">
        <v>12</v>
      </c>
      <c r="AB73" s="409">
        <v>14</v>
      </c>
      <c r="AC73" s="408">
        <v>28</v>
      </c>
      <c r="AD73" s="408">
        <v>21</v>
      </c>
      <c r="AE73" s="408">
        <v>35</v>
      </c>
      <c r="AF73" s="409">
        <v>30</v>
      </c>
      <c r="AG73" s="408">
        <v>26</v>
      </c>
      <c r="AH73" s="408">
        <v>38</v>
      </c>
      <c r="AI73" s="408">
        <v>16</v>
      </c>
      <c r="AJ73" s="409">
        <v>11</v>
      </c>
      <c r="AK73" s="408">
        <v>4</v>
      </c>
      <c r="AL73" s="408">
        <v>0</v>
      </c>
      <c r="AM73" s="408">
        <v>1</v>
      </c>
      <c r="AN73" s="409">
        <v>6</v>
      </c>
      <c r="AO73" s="408">
        <v>4</v>
      </c>
      <c r="AP73" s="408">
        <v>-9</v>
      </c>
      <c r="AQ73" s="408">
        <v>-3</v>
      </c>
    </row>
    <row r="74" spans="1:43" ht="12.75" x14ac:dyDescent="0.2">
      <c r="A74" s="403" t="s">
        <v>486</v>
      </c>
      <c r="B74" s="424">
        <v>20317</v>
      </c>
      <c r="C74" s="424">
        <v>18898</v>
      </c>
      <c r="D74" s="424">
        <v>22383.085508573698</v>
      </c>
      <c r="E74" s="424">
        <v>28540.006055286198</v>
      </c>
      <c r="F74" s="424">
        <v>29891</v>
      </c>
      <c r="G74" s="424">
        <v>26927</v>
      </c>
      <c r="H74" s="424">
        <v>29320</v>
      </c>
      <c r="I74" s="424">
        <v>37661</v>
      </c>
      <c r="J74" s="424">
        <v>47530</v>
      </c>
      <c r="K74" s="424">
        <v>48914</v>
      </c>
      <c r="L74" s="272"/>
      <c r="M74" s="424">
        <v>5943</v>
      </c>
      <c r="N74" s="424">
        <v>7325</v>
      </c>
      <c r="O74" s="424">
        <v>7178</v>
      </c>
      <c r="P74" s="425">
        <v>8094</v>
      </c>
      <c r="Q74" s="424">
        <v>7115</v>
      </c>
      <c r="R74" s="424">
        <v>7702</v>
      </c>
      <c r="S74" s="424">
        <v>7334</v>
      </c>
      <c r="T74" s="425">
        <v>7740</v>
      </c>
      <c r="U74" s="424">
        <v>6579</v>
      </c>
      <c r="V74" s="424">
        <v>6422</v>
      </c>
      <c r="W74" s="424">
        <v>6471</v>
      </c>
      <c r="X74" s="425">
        <v>7456</v>
      </c>
      <c r="Y74" s="424">
        <v>6391</v>
      </c>
      <c r="Z74" s="424">
        <v>7187</v>
      </c>
      <c r="AA74" s="424">
        <v>7242</v>
      </c>
      <c r="AB74" s="425">
        <v>11172.561748706199</v>
      </c>
      <c r="AC74" s="424">
        <v>8196</v>
      </c>
      <c r="AD74" s="424">
        <v>8700</v>
      </c>
      <c r="AE74" s="424">
        <v>9747</v>
      </c>
      <c r="AF74" s="425">
        <v>11018.116516412201</v>
      </c>
      <c r="AG74" s="424">
        <v>10733.144707779898</v>
      </c>
      <c r="AH74" s="424">
        <v>12509.976531025301</v>
      </c>
      <c r="AI74" s="424">
        <v>11729.224263105099</v>
      </c>
      <c r="AJ74" s="425">
        <v>12557.886848122002</v>
      </c>
      <c r="AK74" s="424">
        <v>11212.3655807659</v>
      </c>
      <c r="AL74" s="424">
        <v>12515.526100764999</v>
      </c>
      <c r="AM74" s="424">
        <v>11875.4769268458</v>
      </c>
      <c r="AN74" s="425">
        <v>13310.6616328978</v>
      </c>
      <c r="AO74" s="424">
        <v>11703.6239788041</v>
      </c>
      <c r="AP74" s="424">
        <v>11435.453801408499</v>
      </c>
      <c r="AQ74" s="424">
        <v>11512.600039725001</v>
      </c>
    </row>
    <row r="75" spans="1:43" ht="12.75" x14ac:dyDescent="0.2">
      <c r="A75" s="403"/>
      <c r="B75" s="404"/>
      <c r="C75" s="404"/>
      <c r="D75" s="392"/>
      <c r="E75" s="404"/>
      <c r="F75" s="404"/>
      <c r="G75" s="404"/>
      <c r="H75" s="404"/>
      <c r="I75" s="404"/>
      <c r="J75" s="404"/>
      <c r="K75" s="404"/>
      <c r="L75" s="272"/>
      <c r="M75" s="404"/>
      <c r="N75" s="392"/>
      <c r="O75" s="392"/>
      <c r="P75" s="393"/>
      <c r="Q75" s="404"/>
      <c r="R75" s="392"/>
      <c r="S75" s="392"/>
      <c r="T75" s="393"/>
      <c r="U75" s="404"/>
      <c r="V75" s="404"/>
      <c r="W75" s="404"/>
      <c r="X75" s="405"/>
      <c r="Y75" s="404"/>
      <c r="Z75" s="404"/>
      <c r="AA75" s="404"/>
      <c r="AB75" s="405"/>
      <c r="AC75" s="404"/>
      <c r="AD75" s="404"/>
      <c r="AE75" s="404"/>
      <c r="AF75" s="405"/>
      <c r="AG75" s="404"/>
      <c r="AH75" s="404"/>
      <c r="AI75" s="404"/>
      <c r="AJ75" s="405"/>
      <c r="AK75" s="404"/>
      <c r="AL75" s="404"/>
      <c r="AM75" s="404"/>
      <c r="AN75" s="405"/>
      <c r="AO75" s="404"/>
      <c r="AP75" s="404"/>
      <c r="AQ75" s="404"/>
    </row>
    <row r="76" spans="1:43" ht="12.75" x14ac:dyDescent="0.2">
      <c r="A76" s="423" t="s">
        <v>297</v>
      </c>
      <c r="B76" s="397">
        <v>2015</v>
      </c>
      <c r="C76" s="397">
        <v>2016</v>
      </c>
      <c r="D76" s="397">
        <v>2017</v>
      </c>
      <c r="E76" s="397">
        <v>2018</v>
      </c>
      <c r="F76" s="397">
        <v>2019</v>
      </c>
      <c r="G76" s="397">
        <v>2020</v>
      </c>
      <c r="H76" s="397">
        <v>2021</v>
      </c>
      <c r="I76" s="397">
        <v>2022</v>
      </c>
      <c r="J76" s="397">
        <v>2023</v>
      </c>
      <c r="K76" s="397">
        <v>2024</v>
      </c>
      <c r="L76" s="398"/>
      <c r="M76" s="397" t="s">
        <v>131</v>
      </c>
      <c r="N76" s="397" t="s">
        <v>132</v>
      </c>
      <c r="O76" s="397" t="s">
        <v>133</v>
      </c>
      <c r="P76" s="399" t="s">
        <v>134</v>
      </c>
      <c r="Q76" s="397" t="s">
        <v>135</v>
      </c>
      <c r="R76" s="397" t="s">
        <v>136</v>
      </c>
      <c r="S76" s="397" t="s">
        <v>137</v>
      </c>
      <c r="T76" s="399" t="s">
        <v>138</v>
      </c>
      <c r="U76" s="397" t="s">
        <v>139</v>
      </c>
      <c r="V76" s="397" t="s">
        <v>140</v>
      </c>
      <c r="W76" s="397" t="s">
        <v>141</v>
      </c>
      <c r="X76" s="399" t="s">
        <v>142</v>
      </c>
      <c r="Y76" s="397" t="s">
        <v>143</v>
      </c>
      <c r="Z76" s="397" t="s">
        <v>144</v>
      </c>
      <c r="AA76" s="397" t="s">
        <v>145</v>
      </c>
      <c r="AB76" s="399" t="s">
        <v>146</v>
      </c>
      <c r="AC76" s="397" t="s">
        <v>147</v>
      </c>
      <c r="AD76" s="397" t="s">
        <v>148</v>
      </c>
      <c r="AE76" s="397" t="s">
        <v>149</v>
      </c>
      <c r="AF76" s="399" t="s">
        <v>150</v>
      </c>
      <c r="AG76" s="397" t="s">
        <v>151</v>
      </c>
      <c r="AH76" s="397" t="s">
        <v>152</v>
      </c>
      <c r="AI76" s="397" t="s">
        <v>153</v>
      </c>
      <c r="AJ76" s="399" t="s">
        <v>154</v>
      </c>
      <c r="AK76" s="397" t="s">
        <v>155</v>
      </c>
      <c r="AL76" s="397" t="s">
        <v>156</v>
      </c>
      <c r="AM76" s="397" t="s">
        <v>157</v>
      </c>
      <c r="AN76" s="399" t="s">
        <v>158</v>
      </c>
      <c r="AO76" s="397" t="s">
        <v>159</v>
      </c>
      <c r="AP76" s="397" t="s">
        <v>160</v>
      </c>
      <c r="AQ76" s="397" t="s">
        <v>161</v>
      </c>
    </row>
    <row r="77" spans="1:43" ht="12.75" x14ac:dyDescent="0.2">
      <c r="A77" s="400" t="s">
        <v>481</v>
      </c>
      <c r="B77" s="424">
        <v>0</v>
      </c>
      <c r="C77" s="424">
        <v>8510</v>
      </c>
      <c r="D77" s="424">
        <v>7710</v>
      </c>
      <c r="E77" s="424">
        <v>10276.325125165898</v>
      </c>
      <c r="F77" s="424">
        <v>14238</v>
      </c>
      <c r="G77" s="424">
        <v>13861</v>
      </c>
      <c r="H77" s="424">
        <v>11382</v>
      </c>
      <c r="I77" s="424">
        <v>12197</v>
      </c>
      <c r="J77" s="424">
        <v>16442</v>
      </c>
      <c r="K77" s="424">
        <v>20410</v>
      </c>
      <c r="L77" s="272"/>
      <c r="M77" s="424">
        <v>2219</v>
      </c>
      <c r="N77" s="424">
        <v>2469</v>
      </c>
      <c r="O77" s="424">
        <v>2414</v>
      </c>
      <c r="P77" s="425">
        <v>3174</v>
      </c>
      <c r="Q77" s="424">
        <v>2678</v>
      </c>
      <c r="R77" s="424">
        <v>3640</v>
      </c>
      <c r="S77" s="424">
        <v>3570</v>
      </c>
      <c r="T77" s="425">
        <v>4350</v>
      </c>
      <c r="U77" s="424">
        <v>3313</v>
      </c>
      <c r="V77" s="424">
        <v>3638</v>
      </c>
      <c r="W77" s="424">
        <v>3198</v>
      </c>
      <c r="X77" s="425">
        <v>3712</v>
      </c>
      <c r="Y77" s="424">
        <v>2519</v>
      </c>
      <c r="Z77" s="424">
        <v>2768</v>
      </c>
      <c r="AA77" s="424">
        <v>2688</v>
      </c>
      <c r="AB77" s="425">
        <v>3407.3960914652002</v>
      </c>
      <c r="AC77" s="424">
        <v>2562</v>
      </c>
      <c r="AD77" s="424">
        <v>3052.2486924113</v>
      </c>
      <c r="AE77" s="424">
        <v>2792.0781614924999</v>
      </c>
      <c r="AF77" s="425">
        <v>3790.6080838184007</v>
      </c>
      <c r="AG77" s="424">
        <v>3698.7304317127</v>
      </c>
      <c r="AH77" s="424">
        <v>3550.0012442187999</v>
      </c>
      <c r="AI77" s="424">
        <v>4155.3568106990015</v>
      </c>
      <c r="AJ77" s="425">
        <v>5036.8462749858008</v>
      </c>
      <c r="AK77" s="424">
        <v>4120.4110178054998</v>
      </c>
      <c r="AL77" s="424">
        <v>5488.7468488042996</v>
      </c>
      <c r="AM77" s="424">
        <v>4870.4002468865983</v>
      </c>
      <c r="AN77" s="425">
        <v>5929.6256847931991</v>
      </c>
      <c r="AO77" s="424">
        <v>4708.3182788562999</v>
      </c>
      <c r="AP77" s="424">
        <v>5546.6454628759011</v>
      </c>
      <c r="AQ77" s="424">
        <v>5178.4339756838008</v>
      </c>
    </row>
    <row r="78" spans="1:43" ht="12.75" x14ac:dyDescent="0.2">
      <c r="A78" s="403" t="s">
        <v>482</v>
      </c>
      <c r="B78" s="404">
        <v>0</v>
      </c>
      <c r="C78" s="404">
        <v>-7.4</v>
      </c>
      <c r="D78" s="404">
        <v>31.49</v>
      </c>
      <c r="E78" s="404">
        <v>34</v>
      </c>
      <c r="F78" s="404">
        <v>-5</v>
      </c>
      <c r="G78" s="404">
        <v>-13</v>
      </c>
      <c r="H78" s="404">
        <v>9</v>
      </c>
      <c r="I78" s="404">
        <v>11</v>
      </c>
      <c r="J78" s="404">
        <v>12</v>
      </c>
      <c r="K78" s="404">
        <v>6</v>
      </c>
      <c r="L78" s="272"/>
      <c r="M78" s="404">
        <v>21</v>
      </c>
      <c r="N78" s="429">
        <v>42.546180842285075</v>
      </c>
      <c r="O78" s="429">
        <v>39</v>
      </c>
      <c r="P78" s="430">
        <v>29</v>
      </c>
      <c r="Q78" s="404">
        <v>22</v>
      </c>
      <c r="R78" s="429">
        <v>-1</v>
      </c>
      <c r="S78" s="429">
        <v>-12</v>
      </c>
      <c r="T78" s="430">
        <v>-15</v>
      </c>
      <c r="U78" s="404">
        <v>-25</v>
      </c>
      <c r="V78" s="404">
        <v>-21</v>
      </c>
      <c r="W78" s="404">
        <v>-8</v>
      </c>
      <c r="X78" s="405">
        <v>0</v>
      </c>
      <c r="Y78" s="404">
        <v>11</v>
      </c>
      <c r="Z78" s="404">
        <v>17</v>
      </c>
      <c r="AA78" s="404">
        <v>0</v>
      </c>
      <c r="AB78" s="405">
        <v>7</v>
      </c>
      <c r="AC78" s="404">
        <v>20</v>
      </c>
      <c r="AD78" s="404">
        <v>-6</v>
      </c>
      <c r="AE78" s="404">
        <v>22</v>
      </c>
      <c r="AF78" s="405">
        <v>12</v>
      </c>
      <c r="AG78" s="404">
        <v>-1</v>
      </c>
      <c r="AH78" s="404">
        <v>37</v>
      </c>
      <c r="AI78" s="404">
        <v>5</v>
      </c>
      <c r="AJ78" s="405">
        <v>11</v>
      </c>
      <c r="AK78" s="404">
        <v>13</v>
      </c>
      <c r="AL78" s="404">
        <v>1</v>
      </c>
      <c r="AM78" s="404">
        <v>8</v>
      </c>
      <c r="AN78" s="405">
        <v>4</v>
      </c>
      <c r="AO78" s="404">
        <v>8</v>
      </c>
      <c r="AP78" s="404">
        <v>-1</v>
      </c>
      <c r="AQ78" s="404">
        <v>10</v>
      </c>
    </row>
    <row r="79" spans="1:43" ht="12.75" x14ac:dyDescent="0.2">
      <c r="A79" s="403" t="s">
        <v>483</v>
      </c>
      <c r="B79" s="404">
        <v>0</v>
      </c>
      <c r="C79" s="404">
        <v>-2</v>
      </c>
      <c r="D79" s="404">
        <v>1</v>
      </c>
      <c r="E79" s="404">
        <v>1.3442925360473661</v>
      </c>
      <c r="F79" s="404">
        <v>4</v>
      </c>
      <c r="G79" s="404">
        <v>-4.6418003772554446</v>
      </c>
      <c r="H79" s="404">
        <v>-3.6258458519364578</v>
      </c>
      <c r="I79" s="404">
        <v>12</v>
      </c>
      <c r="J79" s="404">
        <v>3.2783732480514165</v>
      </c>
      <c r="K79" s="404">
        <v>-1.5560202916157415</v>
      </c>
      <c r="L79" s="272"/>
      <c r="M79" s="404">
        <v>-4</v>
      </c>
      <c r="N79" s="404">
        <v>0.64122466135187706</v>
      </c>
      <c r="O79" s="404">
        <v>5.2355101537391011</v>
      </c>
      <c r="P79" s="405">
        <v>2.9054635824282227</v>
      </c>
      <c r="Q79" s="404">
        <v>5.020507706141637</v>
      </c>
      <c r="R79" s="404">
        <v>3.0475416339540446</v>
      </c>
      <c r="S79" s="404">
        <v>4.3910405915893111</v>
      </c>
      <c r="T79" s="405">
        <v>2</v>
      </c>
      <c r="U79" s="404">
        <v>1</v>
      </c>
      <c r="V79" s="404">
        <v>-2.6780815954308501</v>
      </c>
      <c r="W79" s="404">
        <v>-8.1915328376155117</v>
      </c>
      <c r="X79" s="405">
        <v>-8.2610357937007866</v>
      </c>
      <c r="Y79" s="404">
        <v>-9.2242855650961886</v>
      </c>
      <c r="Z79" s="404">
        <v>-7.8851465252857231</v>
      </c>
      <c r="AA79" s="404">
        <v>-0.24739205555794228</v>
      </c>
      <c r="AB79" s="405">
        <v>1.3185696182322182</v>
      </c>
      <c r="AC79" s="404">
        <v>8.5163516662758649</v>
      </c>
      <c r="AD79" s="404">
        <v>8.9669034502701539</v>
      </c>
      <c r="AE79" s="404">
        <v>15.256431052616943</v>
      </c>
      <c r="AF79" s="405">
        <v>13.002829641214916</v>
      </c>
      <c r="AG79" s="404">
        <v>5.9662157947322294</v>
      </c>
      <c r="AH79" s="404">
        <v>6.4114963578071338</v>
      </c>
      <c r="AI79" s="404">
        <v>1.8280416669978377</v>
      </c>
      <c r="AJ79" s="405">
        <v>0.46344801160326493</v>
      </c>
      <c r="AK79" s="404">
        <v>-3.196521407510204</v>
      </c>
      <c r="AL79" s="404">
        <v>-0.53615924813801996</v>
      </c>
      <c r="AM79" s="404">
        <v>-4.1796813275477147</v>
      </c>
      <c r="AN79" s="405">
        <v>0.82033876749246482</v>
      </c>
      <c r="AO79" s="404">
        <v>-0.11664074735690769</v>
      </c>
      <c r="AP79" s="404">
        <v>-9</v>
      </c>
      <c r="AQ79" s="404">
        <v>-9.2873748760392374</v>
      </c>
    </row>
    <row r="80" spans="1:43" ht="12.75" x14ac:dyDescent="0.2">
      <c r="A80" s="403" t="s">
        <v>484</v>
      </c>
      <c r="B80" s="404">
        <v>0</v>
      </c>
      <c r="C80" s="404">
        <v>0</v>
      </c>
      <c r="D80" s="404">
        <v>0.5</v>
      </c>
      <c r="E80" s="404">
        <v>4.2077825276184866</v>
      </c>
      <c r="F80" s="404">
        <v>-2</v>
      </c>
      <c r="G80" s="404">
        <v>-0.11213264920438543</v>
      </c>
      <c r="H80" s="404">
        <v>2.1452762504014071</v>
      </c>
      <c r="I80" s="404">
        <v>2</v>
      </c>
      <c r="J80" s="404">
        <v>2.5993124309479141</v>
      </c>
      <c r="K80" s="404">
        <v>2.1408464992667375</v>
      </c>
      <c r="L80" s="272"/>
      <c r="M80" s="404">
        <v>4</v>
      </c>
      <c r="N80" s="404">
        <v>3</v>
      </c>
      <c r="O80" s="404">
        <v>3.6623678396148542</v>
      </c>
      <c r="P80" s="405">
        <v>4.5806528035973422</v>
      </c>
      <c r="Q80" s="404">
        <v>-2.6213325868380886</v>
      </c>
      <c r="R80" s="404">
        <v>-2.0245423113043737</v>
      </c>
      <c r="S80" s="404">
        <v>-1.9495052648841589</v>
      </c>
      <c r="T80" s="405">
        <v>-2</v>
      </c>
      <c r="U80" s="404">
        <v>0</v>
      </c>
      <c r="V80" s="404">
        <v>-0.40193739802379291</v>
      </c>
      <c r="W80" s="404">
        <v>-5.1513142283087954E-2</v>
      </c>
      <c r="X80" s="405">
        <v>0.2179992260816157</v>
      </c>
      <c r="Y80" s="404">
        <v>0.17460985343799901</v>
      </c>
      <c r="Z80" s="404">
        <v>1.1869764096162334</v>
      </c>
      <c r="AA80" s="404">
        <v>3.5934529660071233</v>
      </c>
      <c r="AB80" s="405">
        <v>3.2376583408139585</v>
      </c>
      <c r="AC80" s="404">
        <v>3.7757539792687131</v>
      </c>
      <c r="AD80" s="404">
        <v>2.2285256077590829</v>
      </c>
      <c r="AE80" s="404">
        <v>0.24371897928038264</v>
      </c>
      <c r="AF80" s="405">
        <v>1.3937652094586845</v>
      </c>
      <c r="AG80" s="404">
        <v>0.39039179168828658</v>
      </c>
      <c r="AH80" s="404">
        <v>4.2624511054840033</v>
      </c>
      <c r="AI80" s="404">
        <v>3.5378869862039286</v>
      </c>
      <c r="AJ80" s="405">
        <v>2.275599549090277</v>
      </c>
      <c r="AK80" s="404">
        <v>4.4283163703724533</v>
      </c>
      <c r="AL80" s="404">
        <v>1.2120340446112234</v>
      </c>
      <c r="AM80" s="404">
        <v>2.1598157579837478</v>
      </c>
      <c r="AN80" s="405">
        <v>1.3953391385005371</v>
      </c>
      <c r="AO80" s="404">
        <v>2.1239005962929729E-12</v>
      </c>
      <c r="AP80" s="404">
        <v>-3.6057830149522716E-12</v>
      </c>
      <c r="AQ80" s="404">
        <v>3.862171477692548E-12</v>
      </c>
    </row>
    <row r="81" spans="1:43" ht="12.75" x14ac:dyDescent="0.2">
      <c r="A81" s="407" t="s">
        <v>485</v>
      </c>
      <c r="B81" s="408">
        <v>0</v>
      </c>
      <c r="C81" s="408">
        <v>-9</v>
      </c>
      <c r="D81" s="408">
        <v>33</v>
      </c>
      <c r="E81" s="408">
        <v>39</v>
      </c>
      <c r="F81" s="408">
        <v>-3</v>
      </c>
      <c r="G81" s="408">
        <v>-18</v>
      </c>
      <c r="H81" s="408">
        <v>7</v>
      </c>
      <c r="I81" s="408">
        <v>25</v>
      </c>
      <c r="J81" s="408">
        <v>18</v>
      </c>
      <c r="K81" s="408">
        <v>6</v>
      </c>
      <c r="L81" s="272"/>
      <c r="M81" s="408">
        <v>21</v>
      </c>
      <c r="N81" s="408">
        <v>47</v>
      </c>
      <c r="O81" s="408">
        <v>48</v>
      </c>
      <c r="P81" s="409">
        <v>37</v>
      </c>
      <c r="Q81" s="408">
        <v>24</v>
      </c>
      <c r="R81" s="408">
        <v>0</v>
      </c>
      <c r="S81" s="408">
        <v>-10</v>
      </c>
      <c r="T81" s="409">
        <v>-15</v>
      </c>
      <c r="U81" s="408">
        <v>-24</v>
      </c>
      <c r="V81" s="408">
        <v>-24</v>
      </c>
      <c r="W81" s="408">
        <v>-16</v>
      </c>
      <c r="X81" s="409">
        <v>-8</v>
      </c>
      <c r="Y81" s="408">
        <v>2</v>
      </c>
      <c r="Z81" s="408">
        <v>10</v>
      </c>
      <c r="AA81" s="408">
        <v>4</v>
      </c>
      <c r="AB81" s="409">
        <v>11</v>
      </c>
      <c r="AC81" s="408">
        <v>33</v>
      </c>
      <c r="AD81" s="408">
        <v>5</v>
      </c>
      <c r="AE81" s="408">
        <v>37</v>
      </c>
      <c r="AF81" s="409">
        <v>26</v>
      </c>
      <c r="AG81" s="408">
        <v>5</v>
      </c>
      <c r="AH81" s="408">
        <v>47</v>
      </c>
      <c r="AI81" s="408">
        <v>11</v>
      </c>
      <c r="AJ81" s="409">
        <v>13</v>
      </c>
      <c r="AK81" s="408">
        <v>14</v>
      </c>
      <c r="AL81" s="408">
        <v>1</v>
      </c>
      <c r="AM81" s="408">
        <v>6</v>
      </c>
      <c r="AN81" s="409">
        <v>6</v>
      </c>
      <c r="AO81" s="408">
        <v>8</v>
      </c>
      <c r="AP81" s="408">
        <v>-10</v>
      </c>
      <c r="AQ81" s="408">
        <v>1</v>
      </c>
    </row>
    <row r="82" spans="1:43" ht="12.75" x14ac:dyDescent="0.2">
      <c r="A82" s="403" t="s">
        <v>486</v>
      </c>
      <c r="B82" s="424">
        <v>8510</v>
      </c>
      <c r="C82" s="424">
        <v>7710</v>
      </c>
      <c r="D82" s="424">
        <v>10276</v>
      </c>
      <c r="E82" s="424">
        <v>14237.832176572398</v>
      </c>
      <c r="F82" s="424">
        <v>13861</v>
      </c>
      <c r="G82" s="424">
        <v>11382</v>
      </c>
      <c r="H82" s="424">
        <v>12197</v>
      </c>
      <c r="I82" s="424">
        <v>15199</v>
      </c>
      <c r="J82" s="424">
        <v>19400</v>
      </c>
      <c r="K82" s="424">
        <v>21726</v>
      </c>
      <c r="L82" s="272"/>
      <c r="M82" s="424">
        <v>2678</v>
      </c>
      <c r="N82" s="424">
        <v>3640</v>
      </c>
      <c r="O82" s="424">
        <v>3570</v>
      </c>
      <c r="P82" s="425">
        <v>4350</v>
      </c>
      <c r="Q82" s="424">
        <v>3313</v>
      </c>
      <c r="R82" s="424">
        <v>3638</v>
      </c>
      <c r="S82" s="424">
        <v>3198</v>
      </c>
      <c r="T82" s="425">
        <v>3712</v>
      </c>
      <c r="U82" s="424">
        <v>2519</v>
      </c>
      <c r="V82" s="424">
        <v>2768</v>
      </c>
      <c r="W82" s="424">
        <v>2688</v>
      </c>
      <c r="X82" s="425">
        <v>3408</v>
      </c>
      <c r="Y82" s="424">
        <v>2562</v>
      </c>
      <c r="Z82" s="424">
        <v>3051</v>
      </c>
      <c r="AA82" s="424">
        <v>2792</v>
      </c>
      <c r="AB82" s="425">
        <v>3790.6080838187008</v>
      </c>
      <c r="AC82" s="424">
        <v>3410</v>
      </c>
      <c r="AD82" s="424">
        <v>3190.0958032311009</v>
      </c>
      <c r="AE82" s="424">
        <v>3832.0367570295002</v>
      </c>
      <c r="AF82" s="425">
        <v>4765.9577860557019</v>
      </c>
      <c r="AG82" s="424">
        <v>3880.7236650608984</v>
      </c>
      <c r="AH82" s="424">
        <v>5232.7209269842015</v>
      </c>
      <c r="AI82" s="424">
        <v>4619.3574354577986</v>
      </c>
      <c r="AJ82" s="425">
        <v>5666.7265806310015</v>
      </c>
      <c r="AK82" s="424">
        <v>4708.3182788561999</v>
      </c>
      <c r="AL82" s="424">
        <v>5546.6454628757992</v>
      </c>
      <c r="AM82" s="424">
        <v>5178.4339756839008</v>
      </c>
      <c r="AN82" s="425">
        <v>6292.6693177953994</v>
      </c>
      <c r="AO82" s="424">
        <v>5072</v>
      </c>
      <c r="AP82" s="424">
        <v>5012.1048618576997</v>
      </c>
      <c r="AQ82" s="424">
        <v>5225.0331658966006</v>
      </c>
    </row>
    <row r="83" spans="1:43" ht="12.75" x14ac:dyDescent="0.2">
      <c r="A83" s="403"/>
      <c r="B83" s="404"/>
      <c r="C83" s="404"/>
      <c r="D83" s="392"/>
      <c r="E83" s="404"/>
      <c r="F83" s="404"/>
      <c r="G83" s="404"/>
      <c r="H83" s="404"/>
      <c r="I83" s="404"/>
      <c r="J83" s="404"/>
      <c r="K83" s="404"/>
      <c r="L83" s="272"/>
      <c r="M83" s="404"/>
      <c r="N83" s="392"/>
      <c r="O83" s="392"/>
      <c r="P83" s="393"/>
      <c r="Q83" s="404"/>
      <c r="R83" s="392"/>
      <c r="S83" s="392"/>
      <c r="T83" s="393"/>
      <c r="U83" s="404"/>
      <c r="V83" s="404"/>
      <c r="W83" s="404"/>
      <c r="X83" s="405"/>
      <c r="Y83" s="404"/>
      <c r="Z83" s="404"/>
      <c r="AA83" s="404"/>
      <c r="AB83" s="405"/>
      <c r="AC83" s="404"/>
      <c r="AD83" s="404"/>
      <c r="AE83" s="404"/>
      <c r="AF83" s="405"/>
      <c r="AG83" s="404"/>
      <c r="AH83" s="404"/>
      <c r="AI83" s="404"/>
      <c r="AJ83" s="405"/>
      <c r="AK83" s="404"/>
      <c r="AL83" s="404"/>
      <c r="AM83" s="404"/>
      <c r="AN83" s="405"/>
      <c r="AO83" s="404"/>
      <c r="AP83" s="404"/>
      <c r="AQ83" s="404"/>
    </row>
    <row r="84" spans="1:43" ht="12.75" x14ac:dyDescent="0.2">
      <c r="A84" s="423" t="s">
        <v>509</v>
      </c>
      <c r="B84" s="397">
        <v>2015</v>
      </c>
      <c r="C84" s="397">
        <v>2016</v>
      </c>
      <c r="D84" s="397">
        <v>2017</v>
      </c>
      <c r="E84" s="397">
        <v>2018</v>
      </c>
      <c r="F84" s="397">
        <v>2019</v>
      </c>
      <c r="G84" s="397">
        <v>2020</v>
      </c>
      <c r="H84" s="397">
        <v>2021</v>
      </c>
      <c r="I84" s="397">
        <v>2022</v>
      </c>
      <c r="J84" s="397">
        <v>2023</v>
      </c>
      <c r="K84" s="397">
        <v>2024</v>
      </c>
      <c r="L84" s="398"/>
      <c r="M84" s="397" t="s">
        <v>131</v>
      </c>
      <c r="N84" s="397" t="s">
        <v>132</v>
      </c>
      <c r="O84" s="397" t="s">
        <v>133</v>
      </c>
      <c r="P84" s="399" t="s">
        <v>134</v>
      </c>
      <c r="Q84" s="397" t="s">
        <v>135</v>
      </c>
      <c r="R84" s="397" t="s">
        <v>136</v>
      </c>
      <c r="S84" s="397" t="s">
        <v>137</v>
      </c>
      <c r="T84" s="399" t="s">
        <v>138</v>
      </c>
      <c r="U84" s="397" t="s">
        <v>139</v>
      </c>
      <c r="V84" s="397" t="s">
        <v>140</v>
      </c>
      <c r="W84" s="397" t="s">
        <v>141</v>
      </c>
      <c r="X84" s="399" t="s">
        <v>142</v>
      </c>
      <c r="Y84" s="397" t="s">
        <v>143</v>
      </c>
      <c r="Z84" s="397" t="s">
        <v>144</v>
      </c>
      <c r="AA84" s="397" t="s">
        <v>145</v>
      </c>
      <c r="AB84" s="399" t="s">
        <v>146</v>
      </c>
      <c r="AC84" s="397" t="s">
        <v>147</v>
      </c>
      <c r="AD84" s="397" t="s">
        <v>148</v>
      </c>
      <c r="AE84" s="397" t="s">
        <v>149</v>
      </c>
      <c r="AF84" s="399" t="s">
        <v>150</v>
      </c>
      <c r="AG84" s="397" t="s">
        <v>151</v>
      </c>
      <c r="AH84" s="397" t="s">
        <v>152</v>
      </c>
      <c r="AI84" s="397" t="s">
        <v>153</v>
      </c>
      <c r="AJ84" s="399" t="s">
        <v>154</v>
      </c>
      <c r="AK84" s="397" t="s">
        <v>155</v>
      </c>
      <c r="AL84" s="397" t="s">
        <v>156</v>
      </c>
      <c r="AM84" s="397" t="s">
        <v>157</v>
      </c>
      <c r="AN84" s="399" t="s">
        <v>158</v>
      </c>
      <c r="AO84" s="397" t="s">
        <v>159</v>
      </c>
      <c r="AP84" s="397" t="s">
        <v>160</v>
      </c>
      <c r="AQ84" s="397" t="s">
        <v>161</v>
      </c>
    </row>
    <row r="85" spans="1:43" ht="12.75" x14ac:dyDescent="0.2">
      <c r="A85" s="400" t="s">
        <v>481</v>
      </c>
      <c r="B85" s="424">
        <v>0</v>
      </c>
      <c r="C85" s="424">
        <v>11807</v>
      </c>
      <c r="D85" s="424">
        <v>11188</v>
      </c>
      <c r="E85" s="424">
        <v>12106.760383407502</v>
      </c>
      <c r="F85" s="424">
        <v>14302</v>
      </c>
      <c r="G85" s="424">
        <v>16030</v>
      </c>
      <c r="H85" s="424">
        <v>15545</v>
      </c>
      <c r="I85" s="424">
        <v>17123</v>
      </c>
      <c r="J85" s="424">
        <v>22462</v>
      </c>
      <c r="K85" s="424">
        <v>27120</v>
      </c>
      <c r="L85" s="272"/>
      <c r="M85" s="424">
        <v>3001</v>
      </c>
      <c r="N85" s="424">
        <v>3026</v>
      </c>
      <c r="O85" s="424">
        <v>2992</v>
      </c>
      <c r="P85" s="425">
        <v>3088</v>
      </c>
      <c r="Q85" s="424">
        <v>3265</v>
      </c>
      <c r="R85" s="424">
        <v>3685</v>
      </c>
      <c r="S85" s="424">
        <v>3608</v>
      </c>
      <c r="T85" s="425">
        <v>3744</v>
      </c>
      <c r="U85" s="424">
        <v>3802</v>
      </c>
      <c r="V85" s="424">
        <v>4064</v>
      </c>
      <c r="W85" s="424">
        <v>4136</v>
      </c>
      <c r="X85" s="425">
        <v>4028</v>
      </c>
      <c r="Y85" s="424">
        <v>4060</v>
      </c>
      <c r="Z85" s="424">
        <v>3654</v>
      </c>
      <c r="AA85" s="424">
        <v>3783</v>
      </c>
      <c r="AB85" s="425">
        <v>4048.4015050332996</v>
      </c>
      <c r="AC85" s="424">
        <v>3829</v>
      </c>
      <c r="AD85" s="424">
        <v>4134.8564022636001</v>
      </c>
      <c r="AE85" s="424">
        <v>4449.5456728673998</v>
      </c>
      <c r="AF85" s="425">
        <v>4709.3414136830997</v>
      </c>
      <c r="AG85" s="424">
        <v>4786.3096211724005</v>
      </c>
      <c r="AH85" s="424">
        <v>5509.9794853202002</v>
      </c>
      <c r="AI85" s="424">
        <v>5915.4273265544998</v>
      </c>
      <c r="AJ85" s="425">
        <v>6252.2085194894998</v>
      </c>
      <c r="AK85" s="424">
        <v>6612.8336899743999</v>
      </c>
      <c r="AL85" s="424">
        <v>7021.3296822210004</v>
      </c>
      <c r="AM85" s="424">
        <v>6858.5240162184</v>
      </c>
      <c r="AN85" s="425">
        <v>6628.0611633289</v>
      </c>
      <c r="AO85" s="424">
        <v>6504.0473019096999</v>
      </c>
      <c r="AP85" s="424">
        <v>6968.8806378891995</v>
      </c>
      <c r="AQ85" s="424">
        <v>6696.5429511618995</v>
      </c>
    </row>
    <row r="86" spans="1:43" ht="12.75" x14ac:dyDescent="0.2">
      <c r="A86" s="403" t="s">
        <v>482</v>
      </c>
      <c r="B86" s="404">
        <v>0</v>
      </c>
      <c r="C86" s="404">
        <v>-2.4</v>
      </c>
      <c r="D86" s="404">
        <v>3.92</v>
      </c>
      <c r="E86" s="404">
        <v>15</v>
      </c>
      <c r="F86" s="404">
        <v>8</v>
      </c>
      <c r="G86" s="404">
        <v>5</v>
      </c>
      <c r="H86" s="404">
        <v>13</v>
      </c>
      <c r="I86" s="404">
        <v>15</v>
      </c>
      <c r="J86" s="404">
        <v>12</v>
      </c>
      <c r="K86" s="404">
        <v>3</v>
      </c>
      <c r="L86" s="272"/>
      <c r="M86" s="404">
        <v>12.183014796612806</v>
      </c>
      <c r="N86" s="404">
        <v>19.130356094998316</v>
      </c>
      <c r="O86" s="404">
        <v>14</v>
      </c>
      <c r="P86" s="405">
        <v>16</v>
      </c>
      <c r="Q86" s="404">
        <v>12</v>
      </c>
      <c r="R86" s="404">
        <v>8</v>
      </c>
      <c r="S86" s="404">
        <v>10</v>
      </c>
      <c r="T86" s="405">
        <v>5</v>
      </c>
      <c r="U86" s="404">
        <v>7</v>
      </c>
      <c r="V86" s="404">
        <v>-4</v>
      </c>
      <c r="W86" s="404">
        <v>3</v>
      </c>
      <c r="X86" s="405">
        <v>13</v>
      </c>
      <c r="Y86" s="404">
        <v>5</v>
      </c>
      <c r="Z86" s="404">
        <v>21</v>
      </c>
      <c r="AA86" s="404">
        <v>15</v>
      </c>
      <c r="AB86" s="405">
        <v>11</v>
      </c>
      <c r="AC86" s="404">
        <v>15</v>
      </c>
      <c r="AD86" s="404">
        <v>18</v>
      </c>
      <c r="AE86" s="404">
        <v>16</v>
      </c>
      <c r="AF86" s="405">
        <v>10</v>
      </c>
      <c r="AG86" s="404">
        <v>19</v>
      </c>
      <c r="AH86" s="404">
        <v>13</v>
      </c>
      <c r="AI86" s="404">
        <v>10</v>
      </c>
      <c r="AJ86" s="405">
        <v>8</v>
      </c>
      <c r="AK86" s="404">
        <v>2</v>
      </c>
      <c r="AL86" s="404">
        <v>2</v>
      </c>
      <c r="AM86" s="404">
        <v>3</v>
      </c>
      <c r="AN86" s="405">
        <v>7</v>
      </c>
      <c r="AO86" s="404">
        <v>2</v>
      </c>
      <c r="AP86" s="404">
        <v>2</v>
      </c>
      <c r="AQ86" s="404">
        <v>3</v>
      </c>
    </row>
    <row r="87" spans="1:43" ht="12.75" x14ac:dyDescent="0.2">
      <c r="A87" s="403" t="s">
        <v>483</v>
      </c>
      <c r="B87" s="404">
        <v>0</v>
      </c>
      <c r="C87" s="404">
        <v>-3</v>
      </c>
      <c r="D87" s="404">
        <v>4</v>
      </c>
      <c r="E87" s="404">
        <v>0.25423478498825874</v>
      </c>
      <c r="F87" s="404">
        <v>4</v>
      </c>
      <c r="G87" s="404">
        <v>-7.6810604278769938</v>
      </c>
      <c r="H87" s="404">
        <v>-4.1434931398847823</v>
      </c>
      <c r="I87" s="404">
        <v>12</v>
      </c>
      <c r="J87" s="404">
        <v>3.1416815828750853</v>
      </c>
      <c r="K87" s="404">
        <v>-2.1248016475759242</v>
      </c>
      <c r="L87" s="272"/>
      <c r="M87" s="404">
        <v>-5.40759775345692</v>
      </c>
      <c r="N87" s="404">
        <v>0.23718052208889645</v>
      </c>
      <c r="O87" s="404">
        <v>4.0284941076476972</v>
      </c>
      <c r="P87" s="405">
        <v>2.1158821914549502</v>
      </c>
      <c r="Q87" s="404">
        <v>4.0648838791306785</v>
      </c>
      <c r="R87" s="404">
        <v>2.2089137106933485</v>
      </c>
      <c r="S87" s="404">
        <v>5.3479218846486365</v>
      </c>
      <c r="T87" s="405">
        <v>3</v>
      </c>
      <c r="U87" s="404">
        <v>0</v>
      </c>
      <c r="V87" s="404">
        <v>-5.6581088595430842</v>
      </c>
      <c r="W87" s="404">
        <v>-12.130087116764598</v>
      </c>
      <c r="X87" s="405">
        <v>-12.616309013758652</v>
      </c>
      <c r="Y87" s="404">
        <v>-10.577025788819247</v>
      </c>
      <c r="Z87" s="404">
        <v>-8.4992773782346465</v>
      </c>
      <c r="AA87" s="404">
        <v>-0.34920063990701772</v>
      </c>
      <c r="AB87" s="405">
        <v>2.6969495122278935</v>
      </c>
      <c r="AC87" s="404">
        <v>7.4012792663285989</v>
      </c>
      <c r="AD87" s="404">
        <v>11.176454012625046</v>
      </c>
      <c r="AE87" s="404">
        <v>14.228565956153231</v>
      </c>
      <c r="AF87" s="405">
        <v>13.687449502812873</v>
      </c>
      <c r="AG87" s="404">
        <v>8.0869424359482878</v>
      </c>
      <c r="AH87" s="404">
        <v>5.2653193403213763</v>
      </c>
      <c r="AI87" s="404">
        <v>1.3731480971165479</v>
      </c>
      <c r="AJ87" s="405">
        <v>-0.97388162386669763</v>
      </c>
      <c r="AK87" s="404">
        <v>-2.891496956304354</v>
      </c>
      <c r="AL87" s="404">
        <v>-1.6089764034745693</v>
      </c>
      <c r="AM87" s="404">
        <v>-4.031135168686057</v>
      </c>
      <c r="AN87" s="405">
        <v>5.8018861887570876E-2</v>
      </c>
      <c r="AO87" s="404">
        <v>-0.19451880205707106</v>
      </c>
      <c r="AP87" s="404">
        <v>-9.5287633633477338</v>
      </c>
      <c r="AQ87" s="404">
        <v>-8.9450346610621203</v>
      </c>
    </row>
    <row r="88" spans="1:43" ht="12.75" x14ac:dyDescent="0.2">
      <c r="A88" s="403" t="s">
        <v>484</v>
      </c>
      <c r="B88" s="404">
        <v>0</v>
      </c>
      <c r="C88" s="404">
        <v>0</v>
      </c>
      <c r="D88" s="404">
        <v>0.3</v>
      </c>
      <c r="E88" s="404">
        <v>2.5663558961142288</v>
      </c>
      <c r="F88" s="404">
        <v>0</v>
      </c>
      <c r="G88" s="404">
        <v>0.10689912630422839</v>
      </c>
      <c r="H88" s="404">
        <v>1.4652839165199316</v>
      </c>
      <c r="I88" s="404">
        <v>4</v>
      </c>
      <c r="J88" s="404">
        <v>9.9841678160968907</v>
      </c>
      <c r="K88" s="404">
        <v>-0.94094949966638386</v>
      </c>
      <c r="L88" s="272"/>
      <c r="M88" s="404">
        <v>2</v>
      </c>
      <c r="N88" s="404">
        <v>3</v>
      </c>
      <c r="O88" s="404">
        <v>2.8710300069147108</v>
      </c>
      <c r="P88" s="405">
        <v>2.9402706363607036</v>
      </c>
      <c r="Q88" s="404">
        <v>0.38586517096454831</v>
      </c>
      <c r="R88" s="404">
        <v>0.49665933545794283</v>
      </c>
      <c r="S88" s="404">
        <v>0.39086429361162944</v>
      </c>
      <c r="T88" s="405">
        <v>0</v>
      </c>
      <c r="U88" s="404">
        <v>0</v>
      </c>
      <c r="V88" s="404">
        <v>0</v>
      </c>
      <c r="W88" s="404">
        <v>7.5199874798604072E-2</v>
      </c>
      <c r="X88" s="405">
        <v>0.25442120749587344</v>
      </c>
      <c r="Y88" s="404">
        <v>0.21036964891008042</v>
      </c>
      <c r="Z88" s="404">
        <v>0.36454743674118761</v>
      </c>
      <c r="AA88" s="404">
        <v>2.8144389742574969</v>
      </c>
      <c r="AB88" s="405">
        <v>2.4570424501357149</v>
      </c>
      <c r="AC88" s="404">
        <v>3.1783004798013477</v>
      </c>
      <c r="AD88" s="404">
        <v>3.8639024327110758</v>
      </c>
      <c r="AE88" s="404">
        <v>2.8501230609972721</v>
      </c>
      <c r="AF88" s="405">
        <v>8.6932990609641703</v>
      </c>
      <c r="AG88" s="404">
        <v>15.578409620419894</v>
      </c>
      <c r="AH88" s="404">
        <v>13.562000986485968</v>
      </c>
      <c r="AI88" s="404">
        <v>9.0214101494326506</v>
      </c>
      <c r="AJ88" s="405">
        <v>3.4595398973507199</v>
      </c>
      <c r="AK88" s="404">
        <v>-1.2243736293315646</v>
      </c>
      <c r="AL88" s="404">
        <v>-0.68336959499703132</v>
      </c>
      <c r="AM88" s="404">
        <v>-1.0835194245488142</v>
      </c>
      <c r="AN88" s="405">
        <v>-0.78366946216157785</v>
      </c>
      <c r="AO88" s="404">
        <v>0.38542345446257087</v>
      </c>
      <c r="AP88" s="404">
        <v>-5.7742415304430107E-4</v>
      </c>
      <c r="AQ88" s="404">
        <v>3.6347112498960128E-3</v>
      </c>
    </row>
    <row r="89" spans="1:43" ht="12.75" x14ac:dyDescent="0.2">
      <c r="A89" s="407" t="s">
        <v>485</v>
      </c>
      <c r="B89" s="408">
        <v>0</v>
      </c>
      <c r="C89" s="408">
        <v>-5</v>
      </c>
      <c r="D89" s="408">
        <v>8</v>
      </c>
      <c r="E89" s="408">
        <v>18</v>
      </c>
      <c r="F89" s="408">
        <v>12</v>
      </c>
      <c r="G89" s="408">
        <v>-3</v>
      </c>
      <c r="H89" s="408">
        <v>10</v>
      </c>
      <c r="I89" s="408">
        <v>31</v>
      </c>
      <c r="J89" s="408">
        <v>25</v>
      </c>
      <c r="K89" s="408">
        <v>0</v>
      </c>
      <c r="L89" s="272"/>
      <c r="M89" s="408">
        <v>9</v>
      </c>
      <c r="N89" s="408">
        <v>22</v>
      </c>
      <c r="O89" s="408">
        <v>21</v>
      </c>
      <c r="P89" s="409">
        <v>21</v>
      </c>
      <c r="Q89" s="408">
        <v>16</v>
      </c>
      <c r="R89" s="408">
        <v>10</v>
      </c>
      <c r="S89" s="408">
        <v>15</v>
      </c>
      <c r="T89" s="409">
        <v>8</v>
      </c>
      <c r="U89" s="408">
        <v>7</v>
      </c>
      <c r="V89" s="408">
        <v>-10</v>
      </c>
      <c r="W89" s="408">
        <v>-9</v>
      </c>
      <c r="X89" s="409">
        <v>0</v>
      </c>
      <c r="Y89" s="408">
        <v>-6</v>
      </c>
      <c r="Z89" s="408">
        <v>13</v>
      </c>
      <c r="AA89" s="408">
        <v>18</v>
      </c>
      <c r="AB89" s="409">
        <v>16</v>
      </c>
      <c r="AC89" s="408">
        <v>25</v>
      </c>
      <c r="AD89" s="408">
        <v>33</v>
      </c>
      <c r="AE89" s="408">
        <v>33</v>
      </c>
      <c r="AF89" s="409">
        <v>33</v>
      </c>
      <c r="AG89" s="408">
        <v>43</v>
      </c>
      <c r="AH89" s="408">
        <v>32</v>
      </c>
      <c r="AI89" s="408">
        <v>20</v>
      </c>
      <c r="AJ89" s="409">
        <v>10</v>
      </c>
      <c r="AK89" s="408">
        <v>-2</v>
      </c>
      <c r="AL89" s="408">
        <v>-1</v>
      </c>
      <c r="AM89" s="408">
        <v>-2</v>
      </c>
      <c r="AN89" s="409">
        <v>6</v>
      </c>
      <c r="AO89" s="408">
        <v>2</v>
      </c>
      <c r="AP89" s="408">
        <v>-8</v>
      </c>
      <c r="AQ89" s="408">
        <v>-6</v>
      </c>
    </row>
    <row r="90" spans="1:43" ht="12.75" x14ac:dyDescent="0.2">
      <c r="A90" s="403" t="s">
        <v>486</v>
      </c>
      <c r="B90" s="424">
        <v>11807</v>
      </c>
      <c r="C90" s="424">
        <v>11188</v>
      </c>
      <c r="D90" s="424">
        <v>12107</v>
      </c>
      <c r="E90" s="424">
        <v>14302.1738787138</v>
      </c>
      <c r="F90" s="424">
        <v>16030</v>
      </c>
      <c r="G90" s="424">
        <v>15545</v>
      </c>
      <c r="H90" s="424">
        <v>17123</v>
      </c>
      <c r="I90" s="424">
        <v>22464</v>
      </c>
      <c r="J90" s="424">
        <v>28130</v>
      </c>
      <c r="K90" s="424">
        <v>27188</v>
      </c>
      <c r="L90" s="272"/>
      <c r="M90" s="424">
        <v>3265</v>
      </c>
      <c r="N90" s="424">
        <v>3685</v>
      </c>
      <c r="O90" s="424">
        <v>3608</v>
      </c>
      <c r="P90" s="425">
        <v>3744.4</v>
      </c>
      <c r="Q90" s="424">
        <v>3802</v>
      </c>
      <c r="R90" s="424">
        <v>4064</v>
      </c>
      <c r="S90" s="424">
        <v>4136</v>
      </c>
      <c r="T90" s="425">
        <v>4028</v>
      </c>
      <c r="U90" s="424">
        <v>4060</v>
      </c>
      <c r="V90" s="424">
        <v>3654</v>
      </c>
      <c r="W90" s="424">
        <v>3783</v>
      </c>
      <c r="X90" s="425">
        <v>4048</v>
      </c>
      <c r="Y90" s="424">
        <v>3829</v>
      </c>
      <c r="Z90" s="424">
        <v>4136</v>
      </c>
      <c r="AA90" s="424">
        <v>4450</v>
      </c>
      <c r="AB90" s="425">
        <v>4709.3414136830997</v>
      </c>
      <c r="AC90" s="424">
        <v>4786</v>
      </c>
      <c r="AD90" s="424">
        <v>5509.9794853202002</v>
      </c>
      <c r="AE90" s="424">
        <v>5915.4273265544998</v>
      </c>
      <c r="AF90" s="425">
        <v>6252.1587303564993</v>
      </c>
      <c r="AG90" s="424">
        <v>6852.4210427190001</v>
      </c>
      <c r="AH90" s="424">
        <v>7277.2556040410991</v>
      </c>
      <c r="AI90" s="424">
        <v>7109.8668276473009</v>
      </c>
      <c r="AJ90" s="425">
        <v>6891.160267491</v>
      </c>
      <c r="AK90" s="424">
        <v>6504.0473019096999</v>
      </c>
      <c r="AL90" s="424">
        <v>6968.8806378891995</v>
      </c>
      <c r="AM90" s="424">
        <v>6696.5429511618995</v>
      </c>
      <c r="AN90" s="425">
        <v>7017.4923151024004</v>
      </c>
      <c r="AO90" s="424">
        <v>6632.4520328037006</v>
      </c>
      <c r="AP90" s="424">
        <v>6423.3489395507995</v>
      </c>
      <c r="AQ90" s="424">
        <v>6287.5668738284003</v>
      </c>
    </row>
    <row r="91" spans="1:43" ht="12.75" x14ac:dyDescent="0.2">
      <c r="A91" s="403"/>
      <c r="B91" s="404"/>
      <c r="C91" s="404"/>
      <c r="D91" s="404"/>
      <c r="E91" s="392"/>
      <c r="F91" s="392"/>
      <c r="G91" s="392"/>
      <c r="H91" s="392"/>
      <c r="I91" s="392"/>
      <c r="J91" s="392"/>
      <c r="K91" s="392"/>
      <c r="L91" s="272"/>
      <c r="M91" s="404"/>
      <c r="N91" s="392"/>
      <c r="O91" s="448"/>
      <c r="P91" s="449"/>
      <c r="Q91" s="392"/>
      <c r="R91" s="392"/>
      <c r="S91" s="392"/>
      <c r="T91" s="393"/>
      <c r="U91" s="392"/>
      <c r="V91" s="392"/>
      <c r="W91" s="392"/>
      <c r="X91" s="393"/>
      <c r="Y91" s="392"/>
      <c r="Z91" s="392"/>
      <c r="AA91" s="392"/>
      <c r="AB91" s="393"/>
      <c r="AC91" s="392"/>
      <c r="AD91" s="392"/>
      <c r="AE91" s="392"/>
      <c r="AF91" s="393"/>
      <c r="AG91" s="392"/>
      <c r="AH91" s="392"/>
      <c r="AI91" s="392"/>
      <c r="AJ91" s="393"/>
      <c r="AK91" s="392"/>
      <c r="AL91" s="392"/>
      <c r="AM91" s="392"/>
      <c r="AN91" s="393"/>
      <c r="AO91" s="392"/>
      <c r="AP91" s="392"/>
      <c r="AQ91" s="392"/>
    </row>
    <row r="92" spans="1:43" ht="12.75" x14ac:dyDescent="0.2">
      <c r="A92" s="403"/>
      <c r="B92" s="404"/>
      <c r="C92" s="404"/>
      <c r="D92" s="392"/>
      <c r="E92" s="392"/>
      <c r="F92" s="392"/>
      <c r="G92" s="392"/>
      <c r="H92" s="392"/>
      <c r="I92" s="392"/>
      <c r="J92" s="392"/>
      <c r="K92" s="392"/>
      <c r="L92" s="272"/>
      <c r="M92" s="404"/>
      <c r="N92" s="392"/>
      <c r="O92" s="392"/>
      <c r="P92" s="393"/>
      <c r="Q92" s="392"/>
      <c r="R92" s="392"/>
      <c r="S92" s="392"/>
      <c r="T92" s="393"/>
      <c r="U92" s="392"/>
      <c r="V92" s="392"/>
      <c r="W92" s="392"/>
      <c r="X92" s="393"/>
      <c r="Y92" s="392"/>
      <c r="Z92" s="392"/>
      <c r="AA92" s="392"/>
      <c r="AB92" s="393"/>
      <c r="AC92" s="392"/>
      <c r="AD92" s="392"/>
      <c r="AE92" s="392"/>
      <c r="AF92" s="393"/>
      <c r="AG92" s="392"/>
      <c r="AH92" s="392"/>
      <c r="AI92" s="392"/>
      <c r="AJ92" s="393"/>
      <c r="AK92" s="392"/>
      <c r="AL92" s="392"/>
      <c r="AM92" s="392"/>
      <c r="AN92" s="393"/>
      <c r="AO92" s="392"/>
      <c r="AP92" s="392"/>
      <c r="AQ92" s="392"/>
    </row>
    <row r="93" spans="1:43" ht="12.75" x14ac:dyDescent="0.2">
      <c r="A93" s="423" t="s">
        <v>299</v>
      </c>
      <c r="B93" s="397">
        <v>2015</v>
      </c>
      <c r="C93" s="397">
        <v>2016</v>
      </c>
      <c r="D93" s="397">
        <v>2017</v>
      </c>
      <c r="E93" s="397">
        <v>2018</v>
      </c>
      <c r="F93" s="397">
        <v>2019</v>
      </c>
      <c r="G93" s="397">
        <v>2020</v>
      </c>
      <c r="H93" s="397">
        <v>2021</v>
      </c>
      <c r="I93" s="397">
        <v>2022</v>
      </c>
      <c r="J93" s="397">
        <v>2023</v>
      </c>
      <c r="K93" s="397">
        <v>2024</v>
      </c>
      <c r="L93" s="398"/>
      <c r="M93" s="397" t="s">
        <v>131</v>
      </c>
      <c r="N93" s="397" t="s">
        <v>132</v>
      </c>
      <c r="O93" s="397" t="s">
        <v>133</v>
      </c>
      <c r="P93" s="399" t="s">
        <v>134</v>
      </c>
      <c r="Q93" s="397" t="s">
        <v>135</v>
      </c>
      <c r="R93" s="397" t="s">
        <v>136</v>
      </c>
      <c r="S93" s="397" t="s">
        <v>137</v>
      </c>
      <c r="T93" s="399" t="s">
        <v>138</v>
      </c>
      <c r="U93" s="397" t="s">
        <v>139</v>
      </c>
      <c r="V93" s="397" t="s">
        <v>140</v>
      </c>
      <c r="W93" s="397" t="s">
        <v>141</v>
      </c>
      <c r="X93" s="399" t="s">
        <v>142</v>
      </c>
      <c r="Y93" s="397" t="s">
        <v>143</v>
      </c>
      <c r="Z93" s="397" t="s">
        <v>144</v>
      </c>
      <c r="AA93" s="397" t="s">
        <v>145</v>
      </c>
      <c r="AB93" s="399" t="s">
        <v>146</v>
      </c>
      <c r="AC93" s="397" t="s">
        <v>147</v>
      </c>
      <c r="AD93" s="397" t="s">
        <v>148</v>
      </c>
      <c r="AE93" s="397" t="s">
        <v>149</v>
      </c>
      <c r="AF93" s="399" t="s">
        <v>150</v>
      </c>
      <c r="AG93" s="397" t="s">
        <v>151</v>
      </c>
      <c r="AH93" s="397" t="s">
        <v>152</v>
      </c>
      <c r="AI93" s="397" t="s">
        <v>153</v>
      </c>
      <c r="AJ93" s="399" t="s">
        <v>154</v>
      </c>
      <c r="AK93" s="397" t="s">
        <v>155</v>
      </c>
      <c r="AL93" s="397" t="s">
        <v>156</v>
      </c>
      <c r="AM93" s="397" t="s">
        <v>157</v>
      </c>
      <c r="AN93" s="399" t="s">
        <v>158</v>
      </c>
      <c r="AO93" s="397" t="s">
        <v>159</v>
      </c>
      <c r="AP93" s="397" t="s">
        <v>160</v>
      </c>
      <c r="AQ93" s="397" t="s">
        <v>161</v>
      </c>
    </row>
    <row r="94" spans="1:43" ht="12.75" x14ac:dyDescent="0.2">
      <c r="A94" s="400" t="s">
        <v>481</v>
      </c>
      <c r="B94" s="424">
        <v>0</v>
      </c>
      <c r="C94" s="424">
        <v>8088</v>
      </c>
      <c r="D94" s="424">
        <v>7925</v>
      </c>
      <c r="E94" s="424">
        <v>8738.0039549529993</v>
      </c>
      <c r="F94" s="424">
        <v>9519</v>
      </c>
      <c r="G94" s="424">
        <v>10799</v>
      </c>
      <c r="H94" s="424">
        <v>9024</v>
      </c>
      <c r="I94" s="424">
        <v>10205</v>
      </c>
      <c r="J94" s="424">
        <v>10806</v>
      </c>
      <c r="K94" s="424">
        <v>12723</v>
      </c>
      <c r="L94" s="272"/>
      <c r="M94" s="424">
        <v>2161</v>
      </c>
      <c r="N94" s="424">
        <v>2297</v>
      </c>
      <c r="O94" s="424">
        <v>2141</v>
      </c>
      <c r="P94" s="425">
        <v>2139</v>
      </c>
      <c r="Q94" s="424">
        <v>2245</v>
      </c>
      <c r="R94" s="424">
        <v>2452</v>
      </c>
      <c r="S94" s="424">
        <v>2382</v>
      </c>
      <c r="T94" s="425">
        <v>2440</v>
      </c>
      <c r="U94" s="424">
        <v>2605</v>
      </c>
      <c r="V94" s="424">
        <v>2926</v>
      </c>
      <c r="W94" s="424">
        <v>2765</v>
      </c>
      <c r="X94" s="425">
        <v>2503</v>
      </c>
      <c r="Y94" s="424">
        <v>2505</v>
      </c>
      <c r="Z94" s="424">
        <v>2035</v>
      </c>
      <c r="AA94" s="424">
        <v>2196</v>
      </c>
      <c r="AB94" s="425">
        <v>2287.8856911399998</v>
      </c>
      <c r="AC94" s="424">
        <v>2345</v>
      </c>
      <c r="AD94" s="424">
        <v>2516.6963237712998</v>
      </c>
      <c r="AE94" s="424">
        <v>2699.2938455722001</v>
      </c>
      <c r="AF94" s="425">
        <v>2643.8295383447999</v>
      </c>
      <c r="AG94" s="424">
        <v>2587.5679193008</v>
      </c>
      <c r="AH94" s="424">
        <v>2793.9343391415</v>
      </c>
      <c r="AI94" s="424">
        <v>2711.2016151502003</v>
      </c>
      <c r="AJ94" s="425">
        <v>2713.0829341166</v>
      </c>
      <c r="AK94" s="424">
        <v>3125.4963094281002</v>
      </c>
      <c r="AL94" s="424">
        <v>3417.8026817412001</v>
      </c>
      <c r="AM94" s="424">
        <v>3194.7805751240003</v>
      </c>
      <c r="AN94" s="425">
        <v>2985.0522776819998</v>
      </c>
      <c r="AO94" s="424">
        <v>2948.8386474096001</v>
      </c>
      <c r="AP94" s="424">
        <v>3991.2357640446003</v>
      </c>
      <c r="AQ94" s="424">
        <v>3809.3538564467003</v>
      </c>
    </row>
    <row r="95" spans="1:43" ht="12.75" x14ac:dyDescent="0.2">
      <c r="A95" s="403" t="s">
        <v>482</v>
      </c>
      <c r="B95" s="404">
        <v>0</v>
      </c>
      <c r="C95" s="404">
        <v>0.1</v>
      </c>
      <c r="D95" s="404">
        <v>7.5</v>
      </c>
      <c r="E95" s="404">
        <v>7</v>
      </c>
      <c r="F95" s="404">
        <v>-2</v>
      </c>
      <c r="G95" s="404">
        <v>-8</v>
      </c>
      <c r="H95" s="404">
        <v>15</v>
      </c>
      <c r="I95" s="404">
        <v>5</v>
      </c>
      <c r="J95" s="404">
        <v>0</v>
      </c>
      <c r="K95" s="404">
        <v>-6</v>
      </c>
      <c r="L95" s="272"/>
      <c r="M95" s="404">
        <v>7</v>
      </c>
      <c r="N95" s="404">
        <v>4.6389142712498268</v>
      </c>
      <c r="O95" s="404">
        <v>5</v>
      </c>
      <c r="P95" s="405">
        <v>10</v>
      </c>
      <c r="Q95" s="404">
        <v>7</v>
      </c>
      <c r="R95" s="404">
        <v>4</v>
      </c>
      <c r="S95" s="404">
        <v>-3</v>
      </c>
      <c r="T95" s="405">
        <v>-10</v>
      </c>
      <c r="U95" s="404">
        <v>-5</v>
      </c>
      <c r="V95" s="404">
        <v>-22</v>
      </c>
      <c r="W95" s="404">
        <v>-8</v>
      </c>
      <c r="X95" s="405">
        <v>3</v>
      </c>
      <c r="Y95" s="404">
        <v>4</v>
      </c>
      <c r="Z95" s="404">
        <v>31</v>
      </c>
      <c r="AA95" s="404">
        <v>21</v>
      </c>
      <c r="AB95" s="405">
        <v>8</v>
      </c>
      <c r="AC95" s="404">
        <v>10</v>
      </c>
      <c r="AD95" s="404">
        <v>11</v>
      </c>
      <c r="AE95" s="404">
        <v>-1</v>
      </c>
      <c r="AF95" s="405">
        <v>1</v>
      </c>
      <c r="AG95" s="404">
        <v>3</v>
      </c>
      <c r="AH95" s="404">
        <v>0</v>
      </c>
      <c r="AI95" s="404">
        <v>-2</v>
      </c>
      <c r="AJ95" s="405">
        <v>-4</v>
      </c>
      <c r="AK95" s="404">
        <v>-8</v>
      </c>
      <c r="AL95" s="404">
        <v>-10</v>
      </c>
      <c r="AM95" s="404">
        <v>-5</v>
      </c>
      <c r="AN95" s="405">
        <v>-1</v>
      </c>
      <c r="AO95" s="404">
        <v>-3</v>
      </c>
      <c r="AP95" s="404">
        <v>-2</v>
      </c>
      <c r="AQ95" s="404">
        <v>4</v>
      </c>
    </row>
    <row r="96" spans="1:43" ht="12.75" x14ac:dyDescent="0.2">
      <c r="A96" s="403" t="s">
        <v>483</v>
      </c>
      <c r="B96" s="404">
        <v>0</v>
      </c>
      <c r="C96" s="404">
        <v>-2</v>
      </c>
      <c r="D96" s="404">
        <v>1</v>
      </c>
      <c r="E96" s="404">
        <v>1.2720852810985868</v>
      </c>
      <c r="F96" s="404">
        <v>4</v>
      </c>
      <c r="G96" s="404">
        <v>-5.7951892721513465</v>
      </c>
      <c r="H96" s="404">
        <v>-3.808239609149739</v>
      </c>
      <c r="I96" s="404">
        <v>10</v>
      </c>
      <c r="J96" s="404">
        <v>2.1815911345346826</v>
      </c>
      <c r="K96" s="404">
        <v>-1.2039404326909793</v>
      </c>
      <c r="L96" s="272"/>
      <c r="M96" s="404">
        <v>-4</v>
      </c>
      <c r="N96" s="404">
        <v>1.312793017497472</v>
      </c>
      <c r="O96" s="404">
        <v>4.7753367843072176</v>
      </c>
      <c r="P96" s="405">
        <v>3.2741314977066289</v>
      </c>
      <c r="Q96" s="404">
        <v>4.4232591819303417</v>
      </c>
      <c r="R96" s="404">
        <v>2.7004922264149385</v>
      </c>
      <c r="S96" s="404">
        <v>5.2823914191687038</v>
      </c>
      <c r="T96" s="405">
        <v>3</v>
      </c>
      <c r="U96" s="404">
        <v>2</v>
      </c>
      <c r="V96" s="404">
        <v>-3.4118556923882917</v>
      </c>
      <c r="W96" s="404">
        <v>-10.178155734451478</v>
      </c>
      <c r="X96" s="405">
        <v>-11.120625618798369</v>
      </c>
      <c r="Y96" s="404">
        <v>-10.401252522290431</v>
      </c>
      <c r="Z96" s="404">
        <v>-7.1489594763650883</v>
      </c>
      <c r="AA96" s="404">
        <v>0.20056534124088815</v>
      </c>
      <c r="AB96" s="405">
        <v>2.5363935826656232</v>
      </c>
      <c r="AC96" s="404">
        <v>7.5714991627056971</v>
      </c>
      <c r="AD96" s="404">
        <v>10.449371961279097</v>
      </c>
      <c r="AE96" s="404">
        <v>11.537309871892939</v>
      </c>
      <c r="AF96" s="405">
        <v>11.007846718922806</v>
      </c>
      <c r="AG96" s="404">
        <v>5.6670909423442026</v>
      </c>
      <c r="AH96" s="404">
        <v>3.4942066756514309</v>
      </c>
      <c r="AI96" s="404">
        <v>0.96237025580830948</v>
      </c>
      <c r="AJ96" s="405">
        <v>-1.2760162191677464</v>
      </c>
      <c r="AK96" s="404">
        <v>-2.2677132946405254</v>
      </c>
      <c r="AL96" s="404">
        <v>-0.58455104689138448</v>
      </c>
      <c r="AM96" s="404">
        <v>-3.2168065284987888</v>
      </c>
      <c r="AN96" s="405">
        <v>1.3549872653556541</v>
      </c>
      <c r="AO96" s="404">
        <v>-2.6063084552799725E-3</v>
      </c>
      <c r="AP96" s="404">
        <v>-8.3170457790699075</v>
      </c>
      <c r="AQ96" s="404">
        <v>-7.7371409578165</v>
      </c>
    </row>
    <row r="97" spans="1:43" ht="12.75" x14ac:dyDescent="0.2">
      <c r="A97" s="403" t="s">
        <v>484</v>
      </c>
      <c r="B97" s="404">
        <v>0</v>
      </c>
      <c r="C97" s="404">
        <v>0</v>
      </c>
      <c r="D97" s="404">
        <v>1.1000000000000001</v>
      </c>
      <c r="E97" s="404">
        <v>0.77557933488787023</v>
      </c>
      <c r="F97" s="404">
        <v>11</v>
      </c>
      <c r="G97" s="404">
        <v>-2.4188141957013194</v>
      </c>
      <c r="H97" s="404">
        <v>1.7790941160263769</v>
      </c>
      <c r="I97" s="404">
        <v>3</v>
      </c>
      <c r="J97" s="404">
        <v>16.197845426965966</v>
      </c>
      <c r="K97" s="404">
        <v>22.439904081225386</v>
      </c>
      <c r="L97" s="272"/>
      <c r="M97" s="404">
        <v>1</v>
      </c>
      <c r="N97" s="404">
        <v>1</v>
      </c>
      <c r="O97" s="404">
        <v>1.004544047992554</v>
      </c>
      <c r="P97" s="405">
        <v>0.59359591281883639</v>
      </c>
      <c r="Q97" s="404">
        <v>5.0423162583518932</v>
      </c>
      <c r="R97" s="404">
        <v>12.361337683523656</v>
      </c>
      <c r="S97" s="404">
        <v>14.298908480268684</v>
      </c>
      <c r="T97" s="405">
        <v>10</v>
      </c>
      <c r="U97" s="404">
        <v>-1</v>
      </c>
      <c r="V97" s="404">
        <v>-4.7805820372184842</v>
      </c>
      <c r="W97" s="404">
        <v>-2.8798025937113896</v>
      </c>
      <c r="X97" s="405">
        <v>-1.1092905072490828</v>
      </c>
      <c r="Y97" s="404">
        <v>0</v>
      </c>
      <c r="Z97" s="404">
        <v>0</v>
      </c>
      <c r="AA97" s="404">
        <v>2.4601411852298307</v>
      </c>
      <c r="AB97" s="405">
        <v>4.6563735202704706</v>
      </c>
      <c r="AC97" s="404">
        <v>4.6350951664387701</v>
      </c>
      <c r="AD97" s="404">
        <v>4.1209188467875135</v>
      </c>
      <c r="AE97" s="404">
        <v>1.3657045060348159</v>
      </c>
      <c r="AF97" s="405">
        <v>1.3633681658034</v>
      </c>
      <c r="AG97" s="404">
        <v>11.753248201998064</v>
      </c>
      <c r="AH97" s="404">
        <v>19.371514482019091</v>
      </c>
      <c r="AI97" s="404">
        <v>18.547848408383345</v>
      </c>
      <c r="AJ97" s="405">
        <v>14.82020319116495</v>
      </c>
      <c r="AK97" s="404">
        <v>4.1197724523968793</v>
      </c>
      <c r="AL97" s="404">
        <v>28.292574644764741</v>
      </c>
      <c r="AM97" s="404">
        <v>27.23495771437538</v>
      </c>
      <c r="AN97" s="405">
        <v>29.788883061217486</v>
      </c>
      <c r="AO97" s="404">
        <v>32.26884335880473</v>
      </c>
      <c r="AP97" s="404">
        <v>1.8201778690763455</v>
      </c>
      <c r="AQ97" s="404">
        <v>0.68398813886783805</v>
      </c>
    </row>
    <row r="98" spans="1:43" ht="12.75" x14ac:dyDescent="0.2">
      <c r="A98" s="407" t="s">
        <v>485</v>
      </c>
      <c r="B98" s="408">
        <v>0</v>
      </c>
      <c r="C98" s="408">
        <v>-2</v>
      </c>
      <c r="D98" s="408">
        <v>10</v>
      </c>
      <c r="E98" s="408">
        <v>9</v>
      </c>
      <c r="F98" s="408">
        <v>13</v>
      </c>
      <c r="G98" s="408">
        <v>-16</v>
      </c>
      <c r="H98" s="408">
        <v>13</v>
      </c>
      <c r="I98" s="408">
        <v>18</v>
      </c>
      <c r="J98" s="408">
        <v>18</v>
      </c>
      <c r="K98" s="408">
        <v>15</v>
      </c>
      <c r="L98" s="272"/>
      <c r="M98" s="408">
        <v>4</v>
      </c>
      <c r="N98" s="408">
        <v>7</v>
      </c>
      <c r="O98" s="408">
        <v>11</v>
      </c>
      <c r="P98" s="409">
        <v>14</v>
      </c>
      <c r="Q98" s="408">
        <v>16</v>
      </c>
      <c r="R98" s="408">
        <v>19</v>
      </c>
      <c r="S98" s="408">
        <v>16</v>
      </c>
      <c r="T98" s="409">
        <v>3</v>
      </c>
      <c r="U98" s="408">
        <v>-4</v>
      </c>
      <c r="V98" s="408">
        <v>-30</v>
      </c>
      <c r="W98" s="408">
        <v>-21</v>
      </c>
      <c r="X98" s="409">
        <v>-9</v>
      </c>
      <c r="Y98" s="408">
        <v>-6</v>
      </c>
      <c r="Z98" s="408">
        <v>24</v>
      </c>
      <c r="AA98" s="408">
        <v>23</v>
      </c>
      <c r="AB98" s="409">
        <v>16</v>
      </c>
      <c r="AC98" s="408">
        <v>23</v>
      </c>
      <c r="AD98" s="408">
        <v>25</v>
      </c>
      <c r="AE98" s="408">
        <v>12</v>
      </c>
      <c r="AF98" s="409">
        <v>13</v>
      </c>
      <c r="AG98" s="408">
        <v>21</v>
      </c>
      <c r="AH98" s="408">
        <v>22</v>
      </c>
      <c r="AI98" s="408">
        <v>18</v>
      </c>
      <c r="AJ98" s="409">
        <v>10</v>
      </c>
      <c r="AK98" s="408">
        <v>-6</v>
      </c>
      <c r="AL98" s="408">
        <v>17</v>
      </c>
      <c r="AM98" s="408">
        <v>19</v>
      </c>
      <c r="AN98" s="409">
        <v>30</v>
      </c>
      <c r="AO98" s="408">
        <v>29</v>
      </c>
      <c r="AP98" s="408">
        <v>-8</v>
      </c>
      <c r="AQ98" s="408">
        <v>-3</v>
      </c>
    </row>
    <row r="99" spans="1:43" ht="12.75" x14ac:dyDescent="0.2">
      <c r="A99" s="403" t="s">
        <v>486</v>
      </c>
      <c r="B99" s="424">
        <v>8088</v>
      </c>
      <c r="C99" s="424">
        <v>7925</v>
      </c>
      <c r="D99" s="424">
        <v>8738</v>
      </c>
      <c r="E99" s="424">
        <v>9519.4235616708993</v>
      </c>
      <c r="F99" s="424">
        <v>10799</v>
      </c>
      <c r="G99" s="424">
        <v>9024</v>
      </c>
      <c r="H99" s="424">
        <v>10205</v>
      </c>
      <c r="I99" s="424">
        <v>12049</v>
      </c>
      <c r="J99" s="424">
        <v>12723</v>
      </c>
      <c r="K99" s="424">
        <v>14640</v>
      </c>
      <c r="L99" s="272"/>
      <c r="M99" s="424">
        <v>2245</v>
      </c>
      <c r="N99" s="424">
        <v>2452</v>
      </c>
      <c r="O99" s="424">
        <v>2382</v>
      </c>
      <c r="P99" s="425">
        <v>2440</v>
      </c>
      <c r="Q99" s="424">
        <v>2605</v>
      </c>
      <c r="R99" s="424">
        <v>2926</v>
      </c>
      <c r="S99" s="424">
        <v>2765</v>
      </c>
      <c r="T99" s="425">
        <v>2503</v>
      </c>
      <c r="U99" s="424">
        <v>2505</v>
      </c>
      <c r="V99" s="424">
        <v>2035</v>
      </c>
      <c r="W99" s="424">
        <v>2196</v>
      </c>
      <c r="X99" s="425">
        <v>2288</v>
      </c>
      <c r="Y99" s="424">
        <v>2345</v>
      </c>
      <c r="Z99" s="424">
        <v>2517</v>
      </c>
      <c r="AA99" s="424">
        <v>2699</v>
      </c>
      <c r="AB99" s="425">
        <v>2643.8295383448999</v>
      </c>
      <c r="AC99" s="424">
        <v>2877</v>
      </c>
      <c r="AD99" s="424">
        <v>3153.8397801294</v>
      </c>
      <c r="AE99" s="424">
        <v>3034.4216688195997</v>
      </c>
      <c r="AF99" s="425">
        <v>2983.9212121799997</v>
      </c>
      <c r="AG99" s="424">
        <v>3125.4963094281002</v>
      </c>
      <c r="AH99" s="424">
        <v>3417.8026817410996</v>
      </c>
      <c r="AI99" s="424">
        <v>3194.7805751240999</v>
      </c>
      <c r="AJ99" s="425">
        <v>2985.0522776819003</v>
      </c>
      <c r="AK99" s="424">
        <v>2948.8386474096001</v>
      </c>
      <c r="AL99" s="424">
        <v>3991.2357640446003</v>
      </c>
      <c r="AM99" s="424">
        <v>3809.3538564464998</v>
      </c>
      <c r="AN99" s="425">
        <v>3890.3580650733998</v>
      </c>
      <c r="AO99" s="424">
        <v>3810.9029369288</v>
      </c>
      <c r="AP99" s="424">
        <v>3664.9993624146</v>
      </c>
      <c r="AQ99" s="424">
        <v>3704.3506572099004</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Apell</dc:creator>
  <cp:lastModifiedBy>Alexander Apell</cp:lastModifiedBy>
  <dcterms:created xsi:type="dcterms:W3CDTF">2025-10-28T16:30:24Z</dcterms:created>
  <dcterms:modified xsi:type="dcterms:W3CDTF">2025-10-28T16:32:11Z</dcterms:modified>
</cp:coreProperties>
</file>